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defaultThemeVersion="166925"/>
  <mc:AlternateContent xmlns:mc="http://schemas.openxmlformats.org/markup-compatibility/2006">
    <mc:Choice Requires="x15">
      <x15ac:absPath xmlns:x15ac="http://schemas.microsoft.com/office/spreadsheetml/2010/11/ac" url="Y:\Boletim-partilhada\"/>
    </mc:Choice>
  </mc:AlternateContent>
  <xr:revisionPtr revIDLastSave="0" documentId="13_ncr:1_{AAB907CE-736C-4D2C-8C2A-968E411D3216}" xr6:coauthVersionLast="47" xr6:coauthVersionMax="47" xr10:uidLastSave="{00000000-0000-0000-0000-000000000000}"/>
  <bookViews>
    <workbookView xWindow="-120" yWindow="-120" windowWidth="30960" windowHeight="16800" tabRatio="814" activeTab="1" xr2:uid="{00000000-000D-0000-FFFF-FFFF00000000}"/>
  </bookViews>
  <sheets>
    <sheet name="Capa" sheetId="30"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24" r:id="rId25"/>
    <sheet name="23 - Util. Cond. Dot. Orç" sheetId="25" r:id="rId26"/>
    <sheet name="24 - Desp. Efetiva por PO" sheetId="26" r:id="rId27"/>
    <sheet name="25 - Lista Entidades AC 2024" sheetId="27" r:id="rId28"/>
  </sheets>
  <definedNames>
    <definedName name="_Order1" hidden="1">255</definedName>
    <definedName name="_Order2" hidden="1">255</definedName>
    <definedName name="_Toc168407188" localSheetId="27">'25 - Lista Entidades AC 2024'!$B$10</definedName>
    <definedName name="_Toc168407189" localSheetId="27">'25 - Lista Entidades AC 2024'!$B$38</definedName>
    <definedName name="_Toc168407190" localSheetId="27">'25 - Lista Entidades AC 2024'!$B$70</definedName>
    <definedName name="_Toc168407191" localSheetId="27">'25 - Lista Entidades AC 2024'!$B$76</definedName>
    <definedName name="_Toc168407192" localSheetId="27">'25 - Lista Entidades AC 2024'!$B$94</definedName>
    <definedName name="_Toc168407193" localSheetId="27">'25 - Lista Entidades AC 2024'!$B$107</definedName>
    <definedName name="_Toc168407194" localSheetId="27">'25 - Lista Entidades AC 2024'!$B$131</definedName>
    <definedName name="_Toc168407195" localSheetId="27">'25 - Lista Entidades AC 2024'!$B$168</definedName>
    <definedName name="_Toc168407196" localSheetId="27">'25 - Lista Entidades AC 2024'!$B$170</definedName>
    <definedName name="_Toc168407197" localSheetId="27">'25 - Lista Entidades AC 2024'!$B$203</definedName>
    <definedName name="_Toc168407198" localSheetId="27">'25 - Lista Entidades AC 2024'!$B$218</definedName>
    <definedName name="_Toc168407199" localSheetId="27">'25 - Lista Entidades AC 2024'!$B$311</definedName>
    <definedName name="_Toc168407200" localSheetId="27">'25 - Lista Entidades AC 2024'!$B$330</definedName>
    <definedName name="_Toc168407201" localSheetId="27">'25 - Lista Entidades AC 2024'!$B$373</definedName>
    <definedName name="_Toc168407202" localSheetId="27">'25 - Lista Entidades AC 2024'!$B$437</definedName>
    <definedName name="_Toc168407203" localSheetId="27">'25 - Lista Entidades AC 2024'!$B$456</definedName>
    <definedName name="_Toc168407204" localSheetId="27">'25 - Lista Entidades AC 2024'!$B$486</definedName>
    <definedName name="anscount" hidden="1">1</definedName>
    <definedName name="_xlnm.Print_Area" localSheetId="2">'1 - Saldo Global Rec Desp'!$B$2:$J$27</definedName>
    <definedName name="_xlnm.Print_Area" localSheetId="12">'10 - SS'!$B$2:$H$77</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'!$B$2:$I$34</definedName>
    <definedName name="_xlnm.Print_Area" localSheetId="20">'18 - SNS exec fin'!$B$2:$H$40</definedName>
    <definedName name="_xlnm.Print_Area" localSheetId="21">'19 - Dív não Fin'!$B$2:$Q$58</definedName>
    <definedName name="_xlnm.Print_Area" localSheetId="3">'2 - Conta Consol AP'!$B$2:$N$108</definedName>
    <definedName name="_xlnm.Print_Area" localSheetId="4">'2 - Conta Consol AP_Texto'!$B$2:$L$52</definedName>
    <definedName name="_xlnm.Print_Area" localSheetId="22">'20 - CGA Ind'!$B$2:$O$281</definedName>
    <definedName name="_xlnm.Print_Area" localSheetId="23">'21 - Ef Temp AC+SS'!$B$2:$AE$88</definedName>
    <definedName name="_xlnm.Print_Area" localSheetId="24">'22 - Estimativas'!$B$2:$L$83</definedName>
    <definedName name="_xlnm.Print_Area" localSheetId="25">'23 - Util. Cond. Dot. Orç'!$B$2:$F$173</definedName>
    <definedName name="_xlnm.Print_Area" localSheetId="26">'24 - Desp. Efetiva por PO'!$B$2:$G$36</definedName>
    <definedName name="_xlnm.Print_Area" localSheetId="27">'25 - Lista Entidades AC 2024'!$B$2:$B$513</definedName>
    <definedName name="_xlnm.Print_Area" localSheetId="5">'3 - Conta AC + SS'!$B$2:$I$62</definedName>
    <definedName name="_xlnm.Print_Area" localSheetId="6">'4 - Conta AC'!$B$2:$I$61</definedName>
    <definedName name="_xlnm.Print_Area" localSheetId="7">'5 - Estado'!$B$2:$I$74</definedName>
    <definedName name="_xlnm.Print_Area" localSheetId="8">'6 - R_Est'!$B$2:$I$73</definedName>
    <definedName name="_xlnm.Print_Area" localSheetId="9">'7 - SFA'!$B$2:$I$79</definedName>
    <definedName name="_xlnm.Print_Area" localSheetId="10">'8 - EPR'!$B$2:$I$80</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19" l="1"/>
  <c r="B34" i="19" l="1"/>
  <c r="B32" i="19"/>
  <c r="Q54" i="23" l="1"/>
  <c r="Y77" i="23"/>
  <c r="Q77" i="23"/>
  <c r="AE77" i="23"/>
  <c r="R77" i="23"/>
  <c r="C77" i="23"/>
  <c r="AA79" i="23" l="1"/>
  <c r="AA72" i="23" l="1"/>
  <c r="C276" i="29" l="1"/>
  <c r="C275" i="29"/>
  <c r="C209" i="29"/>
  <c r="C208" i="29"/>
  <c r="C141" i="29"/>
  <c r="C140" i="29"/>
  <c r="C74" i="29" l="1"/>
  <c r="C73" i="29"/>
  <c r="B36" i="21"/>
  <c r="E9" i="9"/>
  <c r="B85" i="18" l="1"/>
  <c r="E43" i="24" l="1"/>
  <c r="C43" i="24"/>
  <c r="D79" i="24"/>
  <c r="D75" i="24"/>
  <c r="D74" i="24"/>
  <c r="D73" i="24"/>
  <c r="D72" i="24"/>
  <c r="D71" i="24"/>
  <c r="D65" i="24"/>
  <c r="D64" i="24"/>
  <c r="D63" i="24"/>
  <c r="D62" i="24"/>
  <c r="D61" i="24" s="1"/>
  <c r="D77" i="24" s="1"/>
  <c r="D57" i="24"/>
  <c r="D55" i="24"/>
  <c r="D54" i="24"/>
  <c r="D52" i="24"/>
  <c r="D51" i="24"/>
  <c r="D50" i="24"/>
  <c r="D47" i="24"/>
  <c r="D60" i="24" s="1"/>
  <c r="C79" i="24"/>
  <c r="C72" i="24"/>
  <c r="C71" i="24"/>
  <c r="C61" i="24"/>
  <c r="C77" i="24" s="1"/>
  <c r="C55" i="24"/>
  <c r="C52" i="24"/>
  <c r="C47" i="24"/>
  <c r="C60" i="24" s="1"/>
  <c r="C78" i="24" s="1"/>
  <c r="E79" i="24"/>
  <c r="D78" i="24" l="1"/>
  <c r="E73" i="24" l="1"/>
  <c r="E71" i="24"/>
  <c r="E63" i="24"/>
  <c r="E62" i="24"/>
  <c r="E31" i="24"/>
  <c r="E36" i="24"/>
  <c r="E25" i="24"/>
  <c r="E19" i="24"/>
  <c r="E11" i="24"/>
  <c r="F43" i="24" l="1"/>
  <c r="F36" i="24"/>
  <c r="F41" i="24" s="1"/>
  <c r="F35" i="24"/>
  <c r="F31" i="24"/>
  <c r="F27" i="24"/>
  <c r="F25" i="24"/>
  <c r="F19" i="24"/>
  <c r="F16" i="24"/>
  <c r="F14" i="24"/>
  <c r="F11" i="24"/>
  <c r="F24" i="24" s="1"/>
  <c r="F42" i="24" s="1"/>
  <c r="F9" i="24"/>
  <c r="D43" i="24"/>
  <c r="D35" i="24"/>
  <c r="D31" i="24"/>
  <c r="D29" i="24"/>
  <c r="D27" i="24"/>
  <c r="D26" i="24"/>
  <c r="D16" i="24"/>
  <c r="D14" i="24"/>
  <c r="C27" i="24"/>
  <c r="C26" i="24"/>
  <c r="P41" i="21"/>
  <c r="O41" i="21"/>
  <c r="N41" i="21"/>
  <c r="M41" i="21"/>
  <c r="L41" i="21"/>
  <c r="K41" i="21"/>
  <c r="J41" i="21"/>
  <c r="I41" i="21"/>
  <c r="H41" i="21"/>
  <c r="G41" i="21"/>
  <c r="F41" i="21"/>
  <c r="E41" i="21"/>
  <c r="D41" i="21"/>
  <c r="Q40" i="21"/>
  <c r="P12" i="21"/>
  <c r="O12" i="21"/>
  <c r="N12" i="21"/>
  <c r="M12" i="21"/>
  <c r="L12" i="21"/>
  <c r="K12" i="21"/>
  <c r="J12" i="21"/>
  <c r="I12" i="21"/>
  <c r="H12" i="21"/>
  <c r="G12" i="21"/>
  <c r="F12" i="21"/>
  <c r="E12" i="21"/>
  <c r="D12" i="21"/>
  <c r="E31" i="11" l="1"/>
  <c r="F31" i="11"/>
  <c r="E30" i="26"/>
  <c r="F129" i="25"/>
  <c r="F114" i="25"/>
  <c r="F107" i="25"/>
  <c r="F105" i="25"/>
  <c r="F95" i="25"/>
  <c r="F90" i="25"/>
  <c r="F82" i="25"/>
  <c r="F83" i="25" s="1"/>
  <c r="F79" i="25"/>
  <c r="F70" i="25"/>
  <c r="F66" i="25"/>
  <c r="F58" i="25"/>
  <c r="F49" i="25"/>
  <c r="F36" i="25"/>
  <c r="F32" i="25"/>
  <c r="F24" i="25"/>
  <c r="F33" i="25" s="1"/>
  <c r="F16" i="25"/>
  <c r="F52" i="13"/>
  <c r="F50" i="13" s="1"/>
  <c r="E52" i="13"/>
  <c r="E50" i="13"/>
  <c r="F42" i="13"/>
  <c r="E42" i="13"/>
  <c r="F36" i="13"/>
  <c r="E36" i="13"/>
  <c r="F35" i="13"/>
  <c r="E35" i="13"/>
  <c r="F27" i="13"/>
  <c r="F25" i="13" s="1"/>
  <c r="E27" i="13"/>
  <c r="E25" i="13"/>
  <c r="F18" i="13"/>
  <c r="E18" i="13"/>
  <c r="F13" i="13"/>
  <c r="E13" i="13"/>
  <c r="F12" i="13"/>
  <c r="E12" i="13"/>
  <c r="B78" i="12"/>
  <c r="F70" i="12"/>
  <c r="E70" i="12"/>
  <c r="F52" i="12"/>
  <c r="E52" i="12"/>
  <c r="F50" i="12"/>
  <c r="E50" i="12"/>
  <c r="F42" i="12"/>
  <c r="E42" i="12"/>
  <c r="F36" i="12"/>
  <c r="E36" i="12"/>
  <c r="F35" i="12"/>
  <c r="E35" i="12"/>
  <c r="F27" i="12"/>
  <c r="E27" i="12"/>
  <c r="F25" i="12"/>
  <c r="E25" i="12"/>
  <c r="F18" i="12"/>
  <c r="E18" i="12"/>
  <c r="F13" i="12"/>
  <c r="E13" i="12"/>
  <c r="F12" i="12"/>
  <c r="E12" i="12"/>
  <c r="B72" i="10"/>
  <c r="F52" i="10"/>
  <c r="E52" i="10"/>
  <c r="F50" i="10"/>
  <c r="E50" i="10"/>
  <c r="F42" i="10"/>
  <c r="E42" i="10"/>
  <c r="F36" i="10"/>
  <c r="E36" i="10"/>
  <c r="F35" i="10"/>
  <c r="E35" i="10"/>
  <c r="F45" i="6"/>
  <c r="E45" i="6"/>
  <c r="F43" i="6"/>
  <c r="E43" i="6"/>
  <c r="F37" i="6"/>
  <c r="E37" i="6"/>
  <c r="F31" i="6"/>
  <c r="E31" i="6"/>
  <c r="F30" i="6"/>
  <c r="E30" i="6"/>
  <c r="F24" i="6"/>
  <c r="F22" i="6" s="1"/>
  <c r="E24" i="6"/>
  <c r="E22" i="6" s="1"/>
  <c r="F17" i="6"/>
  <c r="F12" i="6" s="1"/>
  <c r="E17" i="6"/>
  <c r="E12" i="6" s="1"/>
  <c r="F13" i="6"/>
  <c r="E13" i="6"/>
  <c r="B9" i="25"/>
  <c r="Q81" i="23"/>
  <c r="Q80" i="23"/>
  <c r="Q79" i="23"/>
  <c r="Q78" i="23"/>
  <c r="Q76" i="23"/>
  <c r="Q75" i="23"/>
  <c r="Q74" i="23"/>
  <c r="Q73" i="23"/>
  <c r="Q72" i="23"/>
  <c r="Q71" i="23"/>
  <c r="Q70" i="23"/>
  <c r="Q69" i="23"/>
  <c r="Q68" i="23"/>
  <c r="Q67" i="23"/>
  <c r="Q66" i="23"/>
  <c r="Q65" i="23"/>
  <c r="Q64" i="23"/>
  <c r="Q63" i="23"/>
  <c r="Q62" i="23"/>
  <c r="Q61" i="23"/>
  <c r="Q60" i="23"/>
  <c r="Q59" i="23"/>
  <c r="Q58" i="23"/>
  <c r="Q57" i="23"/>
  <c r="Q56" i="23"/>
  <c r="Q55" i="23"/>
  <c r="B9" i="5"/>
  <c r="F9" i="9"/>
  <c r="D9" i="9"/>
  <c r="A19" i="30"/>
  <c r="B17" i="19"/>
  <c r="B16" i="19" l="1"/>
  <c r="Z72" i="23"/>
  <c r="Z79" i="23"/>
  <c r="E67" i="24" l="1"/>
  <c r="Q29" i="21" l="1"/>
  <c r="Q28" i="21"/>
  <c r="Q27" i="21"/>
  <c r="Q26" i="21"/>
  <c r="Q25" i="21"/>
  <c r="Q23" i="21"/>
  <c r="Q22" i="21"/>
  <c r="Q21" i="21"/>
  <c r="Q20" i="21"/>
  <c r="Q19" i="21"/>
  <c r="Q18" i="21"/>
  <c r="Q17" i="21"/>
  <c r="Q16" i="21"/>
  <c r="Q15" i="21"/>
  <c r="Q14" i="21"/>
  <c r="Q13" i="21"/>
  <c r="Q30" i="21" l="1"/>
  <c r="Q24" i="21"/>
  <c r="B83" i="18" l="1"/>
  <c r="M31" i="21" l="1"/>
  <c r="D31" i="21"/>
  <c r="G31" i="21" l="1"/>
  <c r="O31" i="21"/>
  <c r="H31" i="21"/>
  <c r="I31" i="21"/>
  <c r="K31" i="21"/>
  <c r="L31" i="21"/>
  <c r="J31" i="21"/>
  <c r="E31" i="21"/>
  <c r="F31" i="21"/>
  <c r="N31" i="21"/>
  <c r="F45" i="5"/>
  <c r="F43" i="5" s="1"/>
  <c r="E45" i="5"/>
  <c r="E43" i="5" s="1"/>
  <c r="F37" i="5"/>
  <c r="E37" i="5"/>
  <c r="F31" i="5"/>
  <c r="E31" i="5"/>
  <c r="F24" i="5"/>
  <c r="F22" i="5" s="1"/>
  <c r="E24" i="5"/>
  <c r="E22" i="5" s="1"/>
  <c r="F17" i="5"/>
  <c r="F12" i="5" s="1"/>
  <c r="E17" i="5"/>
  <c r="E12" i="5" s="1"/>
  <c r="F13" i="5"/>
  <c r="E13" i="5"/>
  <c r="E30" i="5" l="1"/>
  <c r="E50" i="5" s="1"/>
  <c r="E52" i="5" s="1"/>
  <c r="F29" i="5"/>
  <c r="F30" i="5"/>
  <c r="F50" i="5" s="1"/>
  <c r="F51" i="5" s="1"/>
  <c r="F55" i="5" s="1"/>
  <c r="E29" i="5"/>
  <c r="F54" i="5"/>
  <c r="E54" i="5"/>
  <c r="E53" i="5" l="1"/>
  <c r="E51" i="5"/>
  <c r="E55" i="5" s="1"/>
  <c r="F52" i="5"/>
  <c r="F53" i="5"/>
  <c r="E59" i="10"/>
  <c r="E54" i="6" l="1"/>
  <c r="F54" i="6"/>
  <c r="F59" i="10"/>
  <c r="F50" i="6"/>
  <c r="F53" i="6" s="1"/>
  <c r="E50" i="6"/>
  <c r="E53" i="6" s="1"/>
  <c r="E55" i="6"/>
  <c r="E29" i="6"/>
  <c r="E51" i="6" s="1"/>
  <c r="E56" i="6" s="1"/>
  <c r="F55" i="6"/>
  <c r="F29" i="6"/>
  <c r="F51" i="6" l="1"/>
  <c r="F56" i="6" s="1"/>
  <c r="E62" i="13"/>
  <c r="E59" i="12"/>
  <c r="E61" i="12" s="1"/>
  <c r="F63" i="12"/>
  <c r="E63" i="12"/>
  <c r="F62" i="13" l="1"/>
  <c r="E59" i="13"/>
  <c r="E61" i="13" s="1"/>
  <c r="F59" i="13"/>
  <c r="F61" i="13" s="1"/>
  <c r="E63" i="13"/>
  <c r="E34" i="13"/>
  <c r="F63" i="13"/>
  <c r="F34" i="13"/>
  <c r="E60" i="13"/>
  <c r="F60" i="13"/>
  <c r="F59" i="12"/>
  <c r="F61" i="12" s="1"/>
  <c r="E34" i="12"/>
  <c r="F34" i="12"/>
  <c r="F60" i="12"/>
  <c r="F62" i="12"/>
  <c r="E60" i="12"/>
  <c r="E62" i="12"/>
  <c r="F70" i="13" l="1"/>
  <c r="F64" i="13"/>
  <c r="E70" i="13"/>
  <c r="E64" i="13"/>
  <c r="E64" i="12"/>
  <c r="F64" i="12"/>
  <c r="B32" i="33" l="1"/>
  <c r="B33" i="33"/>
  <c r="B31" i="33"/>
  <c r="B30" i="33"/>
  <c r="B29" i="33"/>
  <c r="B27" i="33"/>
  <c r="B26" i="33"/>
  <c r="B25" i="33"/>
  <c r="B24" i="33"/>
  <c r="B23" i="33"/>
  <c r="B22" i="33"/>
  <c r="B28" i="33"/>
  <c r="B21" i="33"/>
  <c r="B11" i="33"/>
  <c r="B20" i="33"/>
  <c r="B19" i="33"/>
  <c r="B18" i="33"/>
  <c r="B17" i="33"/>
  <c r="B16" i="33"/>
  <c r="B15" i="33"/>
  <c r="B14" i="33"/>
  <c r="B12" i="33"/>
  <c r="B13" i="33"/>
  <c r="D34" i="20"/>
  <c r="C34" i="20"/>
  <c r="D25" i="20"/>
  <c r="C25" i="20"/>
  <c r="D21" i="20"/>
  <c r="D20" i="20" s="1"/>
  <c r="C21" i="20"/>
  <c r="C20" i="20" s="1"/>
  <c r="D13" i="20"/>
  <c r="D12" i="20" s="1"/>
  <c r="C13" i="20"/>
  <c r="C12" i="20" s="1"/>
  <c r="C19" i="20" s="1"/>
  <c r="D38" i="20" l="1"/>
  <c r="D39" i="20" s="1"/>
  <c r="C38" i="20"/>
  <c r="C39" i="20" s="1"/>
  <c r="D19" i="20"/>
  <c r="B37" i="21" l="1"/>
  <c r="P31" i="21" l="1"/>
  <c r="D14" i="2" l="1"/>
  <c r="E14" i="2"/>
  <c r="F14" i="2"/>
  <c r="G14" i="2"/>
  <c r="H14" i="2"/>
  <c r="I14" i="2"/>
  <c r="J14" i="2"/>
  <c r="K14" i="2"/>
  <c r="L14" i="2"/>
  <c r="D18" i="2"/>
  <c r="E18" i="2"/>
  <c r="F18" i="2"/>
  <c r="G18" i="2"/>
  <c r="H18" i="2"/>
  <c r="I18" i="2"/>
  <c r="J18" i="2"/>
  <c r="K18" i="2"/>
  <c r="L18" i="2"/>
  <c r="D25" i="2"/>
  <c r="E25" i="2"/>
  <c r="F25" i="2"/>
  <c r="G25" i="2"/>
  <c r="H25" i="2"/>
  <c r="I25" i="2"/>
  <c r="J25" i="2"/>
  <c r="K25" i="2"/>
  <c r="L25" i="2"/>
  <c r="G23" i="2" l="1"/>
  <c r="H23" i="2"/>
  <c r="F23" i="2"/>
  <c r="E23" i="2"/>
  <c r="D23" i="2"/>
  <c r="L23" i="2"/>
  <c r="K23" i="2"/>
  <c r="J23" i="2"/>
  <c r="I23" i="2"/>
  <c r="L13" i="2"/>
  <c r="K13" i="2"/>
  <c r="D13" i="2"/>
  <c r="G13" i="2"/>
  <c r="F13" i="2"/>
  <c r="E13" i="2"/>
  <c r="I13" i="2"/>
  <c r="J13" i="2"/>
  <c r="H13" i="2"/>
  <c r="H11" i="29" l="1"/>
  <c r="G12" i="29"/>
  <c r="F12" i="29"/>
  <c r="E12" i="29"/>
  <c r="D12" i="29"/>
  <c r="D10" i="29"/>
  <c r="B11" i="31" l="1"/>
  <c r="C12" i="31"/>
  <c r="B16" i="31"/>
  <c r="C16" i="31"/>
  <c r="B18" i="31"/>
  <c r="B19" i="31"/>
  <c r="B20" i="31"/>
  <c r="B21" i="31"/>
  <c r="B22" i="31"/>
  <c r="B24" i="31"/>
  <c r="C24" i="31"/>
  <c r="B26" i="31"/>
  <c r="B27" i="31"/>
  <c r="B29" i="31"/>
  <c r="C274" i="29"/>
  <c r="C273" i="29"/>
  <c r="C207" i="29"/>
  <c r="C206" i="29"/>
  <c r="C139" i="29"/>
  <c r="C138" i="29"/>
  <c r="C72" i="29"/>
  <c r="C71" i="29"/>
  <c r="C22" i="31" l="1"/>
  <c r="C11" i="31"/>
  <c r="E15" i="14"/>
  <c r="F15" i="14"/>
  <c r="D31" i="26" l="1"/>
  <c r="C31" i="26"/>
  <c r="G38" i="20" l="1"/>
  <c r="G37" i="20"/>
  <c r="G35" i="20"/>
  <c r="G34" i="20"/>
  <c r="G33" i="20"/>
  <c r="G32" i="20"/>
  <c r="G31" i="20"/>
  <c r="G30" i="20"/>
  <c r="G29" i="20"/>
  <c r="G28" i="20"/>
  <c r="G27" i="20"/>
  <c r="G26" i="20"/>
  <c r="G25" i="20"/>
  <c r="G24" i="20"/>
  <c r="G23" i="20"/>
  <c r="G22" i="20"/>
  <c r="G21" i="20"/>
  <c r="G20" i="20"/>
  <c r="G19" i="20"/>
  <c r="G18" i="20"/>
  <c r="G17" i="20"/>
  <c r="G16" i="20"/>
  <c r="G15" i="20"/>
  <c r="G14" i="20"/>
  <c r="G13" i="20"/>
  <c r="G12" i="20"/>
  <c r="G36" i="20"/>
  <c r="B76" i="23" l="1"/>
  <c r="C58" i="21"/>
  <c r="B26" i="32"/>
  <c r="B25" i="32"/>
  <c r="B24" i="32"/>
  <c r="B23" i="32"/>
  <c r="B22" i="32"/>
  <c r="B21" i="32"/>
  <c r="B20" i="32"/>
  <c r="B19" i="32"/>
  <c r="B18" i="32"/>
  <c r="B17" i="32"/>
  <c r="B16" i="32"/>
  <c r="B15" i="32"/>
  <c r="B14" i="32"/>
  <c r="B13" i="32"/>
  <c r="B12" i="32"/>
  <c r="B11" i="32"/>
  <c r="B27" i="32"/>
  <c r="B12" i="26"/>
  <c r="C13" i="25"/>
  <c r="C11" i="24"/>
  <c r="D11" i="24"/>
  <c r="B56" i="23" l="1"/>
  <c r="I16" i="1" l="1"/>
  <c r="I17" i="1"/>
  <c r="I18" i="1"/>
  <c r="I19" i="1"/>
  <c r="I20" i="1"/>
  <c r="I21" i="1"/>
  <c r="E18" i="16"/>
  <c r="F18" i="16"/>
  <c r="J19" i="17"/>
  <c r="I19" i="17"/>
  <c r="G19" i="17"/>
  <c r="F19" i="17"/>
  <c r="D19" i="17"/>
  <c r="C19" i="17"/>
  <c r="C21" i="14" l="1"/>
  <c r="D21" i="14"/>
  <c r="E21" i="14"/>
  <c r="F21" i="14"/>
  <c r="C70" i="29" l="1"/>
  <c r="C137" i="29"/>
  <c r="C205" i="29"/>
  <c r="C272" i="29"/>
  <c r="C271" i="29"/>
  <c r="H213" i="29"/>
  <c r="H146" i="29"/>
  <c r="B144" i="29"/>
  <c r="B36" i="26"/>
  <c r="B28" i="26" l="1"/>
  <c r="B27" i="26"/>
  <c r="B26" i="26"/>
  <c r="B23" i="26"/>
  <c r="B22" i="26"/>
  <c r="B21" i="26"/>
  <c r="B24" i="26"/>
  <c r="B25" i="26"/>
  <c r="B20" i="26"/>
  <c r="I72" i="10"/>
  <c r="H72" i="10"/>
  <c r="G72" i="10"/>
  <c r="F72" i="10"/>
  <c r="E72" i="10"/>
  <c r="D72" i="10"/>
  <c r="C72" i="10"/>
  <c r="B85" i="24" l="1"/>
  <c r="E72" i="24"/>
  <c r="E61" i="24"/>
  <c r="E55" i="24"/>
  <c r="E47" i="24"/>
  <c r="E45" i="24"/>
  <c r="E60" i="24" l="1"/>
  <c r="E77" i="24"/>
  <c r="F23" i="17"/>
  <c r="G23" i="17"/>
  <c r="C23" i="17"/>
  <c r="D23" i="17"/>
  <c r="E78" i="24" l="1"/>
  <c r="J23" i="17"/>
  <c r="I23" i="17"/>
  <c r="B514" i="27"/>
  <c r="B515" i="27"/>
  <c r="D87" i="25" l="1"/>
  <c r="D134" i="25"/>
  <c r="E19" i="10"/>
  <c r="F19" i="10"/>
  <c r="E20" i="10"/>
  <c r="F20" i="10"/>
  <c r="E21" i="10"/>
  <c r="F21" i="10"/>
  <c r="E22" i="10"/>
  <c r="F22" i="10"/>
  <c r="E24" i="10"/>
  <c r="F24" i="10"/>
  <c r="E26" i="10"/>
  <c r="F26" i="10"/>
  <c r="E28" i="10"/>
  <c r="F28" i="10"/>
  <c r="E29" i="10"/>
  <c r="F29" i="10"/>
  <c r="E30" i="10"/>
  <c r="F30" i="10"/>
  <c r="E31" i="10"/>
  <c r="F31" i="10"/>
  <c r="E32" i="10"/>
  <c r="F32" i="10"/>
  <c r="E33" i="10"/>
  <c r="F33" i="10"/>
  <c r="F139" i="25" l="1"/>
  <c r="F140" i="25" s="1"/>
  <c r="E139" i="25"/>
  <c r="E129" i="25"/>
  <c r="E114" i="25"/>
  <c r="E107" i="25"/>
  <c r="E105" i="25"/>
  <c r="E95" i="25"/>
  <c r="E90" i="25"/>
  <c r="E82" i="25"/>
  <c r="E83" i="25" s="1"/>
  <c r="E79" i="25"/>
  <c r="E70" i="25"/>
  <c r="E66" i="25"/>
  <c r="E58" i="25"/>
  <c r="E49" i="25"/>
  <c r="E36" i="25"/>
  <c r="E32" i="25"/>
  <c r="E24" i="25"/>
  <c r="E16" i="25"/>
  <c r="B130" i="25"/>
  <c r="C130" i="25"/>
  <c r="B115" i="25"/>
  <c r="C115" i="25"/>
  <c r="B109" i="25"/>
  <c r="C109" i="25"/>
  <c r="B92" i="25"/>
  <c r="B84" i="25"/>
  <c r="C84" i="25"/>
  <c r="C72" i="25"/>
  <c r="B72" i="25"/>
  <c r="D109" i="25"/>
  <c r="D126" i="25"/>
  <c r="D128" i="25"/>
  <c r="D119" i="25"/>
  <c r="D117" i="25"/>
  <c r="D116" i="25"/>
  <c r="E33" i="25" l="1"/>
  <c r="E140" i="25" s="1"/>
  <c r="B167" i="25"/>
  <c r="B172" i="25"/>
  <c r="C54" i="21" l="1"/>
  <c r="B34" i="21"/>
  <c r="C57" i="21"/>
  <c r="B33" i="21"/>
  <c r="C10" i="19" l="1"/>
  <c r="C10" i="16" l="1"/>
  <c r="C10" i="15"/>
  <c r="C10" i="14"/>
  <c r="C10" i="13"/>
  <c r="C10" i="12"/>
  <c r="C10" i="11"/>
  <c r="C10" i="10"/>
  <c r="C10" i="6"/>
  <c r="C10" i="2"/>
  <c r="C10" i="5"/>
  <c r="D10" i="5"/>
  <c r="C13" i="16" l="1"/>
  <c r="E13" i="16"/>
  <c r="F13" i="16"/>
  <c r="C45" i="5" l="1"/>
  <c r="C43" i="5"/>
  <c r="C37" i="5"/>
  <c r="C31" i="5"/>
  <c r="C24" i="5"/>
  <c r="C22" i="5" s="1"/>
  <c r="C17" i="5"/>
  <c r="C12" i="5" s="1"/>
  <c r="C29" i="5" s="1"/>
  <c r="C13" i="5"/>
  <c r="C30" i="5" l="1"/>
  <c r="C53" i="21"/>
  <c r="D25" i="18" l="1"/>
  <c r="C25" i="18"/>
  <c r="B8" i="20" l="1"/>
  <c r="C204" i="29" l="1"/>
  <c r="C136" i="29"/>
  <c r="C69" i="29"/>
  <c r="C38" i="14"/>
  <c r="C32" i="14"/>
  <c r="C28" i="14"/>
  <c r="C19" i="14"/>
  <c r="C18" i="14" s="1"/>
  <c r="C15" i="14"/>
  <c r="C13" i="14" s="1"/>
  <c r="C52" i="13"/>
  <c r="C50" i="13" s="1"/>
  <c r="C42" i="13"/>
  <c r="C36" i="13"/>
  <c r="C35" i="13" s="1"/>
  <c r="C27" i="13"/>
  <c r="C25" i="13" s="1"/>
  <c r="C18" i="13"/>
  <c r="C13" i="13"/>
  <c r="C12" i="13" s="1"/>
  <c r="C52" i="12"/>
  <c r="C50" i="12" s="1"/>
  <c r="C42" i="12"/>
  <c r="C36" i="12"/>
  <c r="C27" i="12"/>
  <c r="C25" i="12"/>
  <c r="C18" i="12"/>
  <c r="C13" i="12"/>
  <c r="C12" i="12" s="1"/>
  <c r="C34" i="12" s="1"/>
  <c r="C52" i="10"/>
  <c r="C50" i="10" s="1"/>
  <c r="C42" i="10"/>
  <c r="C36" i="10"/>
  <c r="C19" i="10"/>
  <c r="C18" i="10" s="1"/>
  <c r="C20" i="10"/>
  <c r="C21" i="10"/>
  <c r="C22" i="10"/>
  <c r="C24" i="10"/>
  <c r="C26" i="10"/>
  <c r="C28" i="10"/>
  <c r="C29" i="10"/>
  <c r="C30" i="10"/>
  <c r="C31" i="10"/>
  <c r="C32" i="10"/>
  <c r="C33" i="10"/>
  <c r="C45" i="6"/>
  <c r="C43" i="6" s="1"/>
  <c r="C37" i="6"/>
  <c r="C31" i="6"/>
  <c r="C30" i="6" s="1"/>
  <c r="C24" i="6"/>
  <c r="C22" i="6" s="1"/>
  <c r="C17" i="6"/>
  <c r="C12" i="6" s="1"/>
  <c r="C13" i="6"/>
  <c r="C35" i="10" l="1"/>
  <c r="C27" i="10"/>
  <c r="C35" i="12"/>
  <c r="C34" i="13"/>
  <c r="C31" i="14"/>
  <c r="C46" i="14" s="1"/>
  <c r="C25" i="10"/>
  <c r="C12" i="14"/>
  <c r="C30" i="14" s="1"/>
  <c r="C47" i="14" l="1"/>
  <c r="E13" i="11"/>
  <c r="F13" i="11"/>
  <c r="E17" i="11"/>
  <c r="E15" i="10" s="1"/>
  <c r="F17" i="11"/>
  <c r="F15" i="10" s="1"/>
  <c r="E26" i="11"/>
  <c r="E16" i="10" s="1"/>
  <c r="F26" i="11"/>
  <c r="F16" i="10" s="1"/>
  <c r="F17" i="10"/>
  <c r="E36" i="11"/>
  <c r="F36" i="11"/>
  <c r="E40" i="11"/>
  <c r="F40" i="11"/>
  <c r="E46" i="11"/>
  <c r="F46" i="11"/>
  <c r="E55" i="11"/>
  <c r="E53" i="11" s="1"/>
  <c r="F55" i="11"/>
  <c r="F53" i="11" s="1"/>
  <c r="F23" i="10" l="1"/>
  <c r="E23" i="10"/>
  <c r="F30" i="11"/>
  <c r="F29" i="11" s="1"/>
  <c r="E30" i="11"/>
  <c r="E29" i="11" s="1"/>
  <c r="E17" i="10"/>
  <c r="F12" i="11"/>
  <c r="F14" i="10"/>
  <c r="E12" i="11"/>
  <c r="E14" i="10"/>
  <c r="AE76" i="23"/>
  <c r="R76" i="23"/>
  <c r="C76" i="23"/>
  <c r="C11" i="33"/>
  <c r="C27" i="32"/>
  <c r="K62" i="17" l="1"/>
  <c r="H62" i="17"/>
  <c r="E62" i="17"/>
  <c r="K61" i="17"/>
  <c r="H61" i="17"/>
  <c r="E61" i="17"/>
  <c r="K60" i="17"/>
  <c r="H60" i="17"/>
  <c r="E60" i="17"/>
  <c r="K58" i="17"/>
  <c r="H58" i="17"/>
  <c r="E58" i="17"/>
  <c r="K55" i="17"/>
  <c r="H55" i="17"/>
  <c r="E55" i="17"/>
  <c r="K54" i="17"/>
  <c r="H54" i="17"/>
  <c r="E54" i="17"/>
  <c r="K53" i="17"/>
  <c r="H53" i="17"/>
  <c r="E53" i="17"/>
  <c r="K52" i="17"/>
  <c r="H52" i="17"/>
  <c r="E52" i="17"/>
  <c r="K50" i="17"/>
  <c r="H50" i="17"/>
  <c r="E50" i="17"/>
  <c r="K49" i="17"/>
  <c r="H49" i="17"/>
  <c r="E49" i="17"/>
  <c r="K48" i="17"/>
  <c r="H48" i="17"/>
  <c r="E48" i="17"/>
  <c r="K47" i="17"/>
  <c r="H47" i="17"/>
  <c r="E47" i="17"/>
  <c r="K46" i="17"/>
  <c r="H46" i="17"/>
  <c r="E46" i="17"/>
  <c r="K41" i="17"/>
  <c r="H41" i="17"/>
  <c r="E41" i="17"/>
  <c r="K40" i="17"/>
  <c r="H40" i="17"/>
  <c r="E40" i="17"/>
  <c r="K39" i="17"/>
  <c r="H39" i="17"/>
  <c r="E39" i="17"/>
  <c r="K38" i="17"/>
  <c r="H38" i="17"/>
  <c r="E38" i="17"/>
  <c r="K37" i="17"/>
  <c r="H37" i="17"/>
  <c r="E37" i="17"/>
  <c r="K35" i="17"/>
  <c r="H35" i="17"/>
  <c r="E35" i="17"/>
  <c r="K33" i="17"/>
  <c r="H33" i="17"/>
  <c r="E33" i="17"/>
  <c r="K31" i="17"/>
  <c r="H31" i="17"/>
  <c r="K30" i="17"/>
  <c r="H30" i="17"/>
  <c r="E30" i="17"/>
  <c r="K29" i="17"/>
  <c r="H29" i="17"/>
  <c r="E29" i="17"/>
  <c r="K28" i="17"/>
  <c r="H28" i="17"/>
  <c r="E28" i="17"/>
  <c r="K27" i="17"/>
  <c r="H27" i="17"/>
  <c r="E27" i="17"/>
  <c r="K26" i="17"/>
  <c r="H26" i="17"/>
  <c r="E26" i="17"/>
  <c r="K24" i="17"/>
  <c r="H24" i="17"/>
  <c r="E24" i="17"/>
  <c r="K22" i="17"/>
  <c r="H22" i="17"/>
  <c r="E22" i="17"/>
  <c r="K21" i="17"/>
  <c r="H21" i="17"/>
  <c r="E21" i="17"/>
  <c r="K20" i="17"/>
  <c r="H20" i="17"/>
  <c r="E20" i="17"/>
  <c r="K18" i="17"/>
  <c r="H18" i="17"/>
  <c r="E18" i="17"/>
  <c r="K17" i="17"/>
  <c r="H17" i="17"/>
  <c r="E17" i="17"/>
  <c r="K16" i="17"/>
  <c r="H16" i="17"/>
  <c r="E16" i="17"/>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C270" i="29" l="1"/>
  <c r="C203" i="29"/>
  <c r="C135" i="29"/>
  <c r="C68" i="29"/>
  <c r="B31" i="21"/>
  <c r="B30" i="21"/>
  <c r="C29" i="21"/>
  <c r="C28" i="21"/>
  <c r="C27" i="21"/>
  <c r="C26" i="21"/>
  <c r="C25" i="21"/>
  <c r="B25" i="21"/>
  <c r="B24" i="21"/>
  <c r="C23" i="21"/>
  <c r="C22" i="21"/>
  <c r="C21" i="21"/>
  <c r="C20" i="21"/>
  <c r="C19" i="21"/>
  <c r="B19" i="21"/>
  <c r="B18" i="21"/>
  <c r="C17" i="21"/>
  <c r="C16" i="21"/>
  <c r="C15" i="21"/>
  <c r="C14" i="21"/>
  <c r="C13" i="21"/>
  <c r="B13" i="21"/>
  <c r="Q11" i="21"/>
  <c r="B11" i="21"/>
  <c r="B10" i="21"/>
  <c r="I15" i="17"/>
  <c r="J15" i="17"/>
  <c r="D15" i="17"/>
  <c r="C15" i="17"/>
  <c r="G15" i="17"/>
  <c r="F15" i="17"/>
  <c r="B84" i="24"/>
  <c r="K15" i="17" l="1"/>
  <c r="H15" i="17"/>
  <c r="E15" i="17"/>
  <c r="H19" i="17"/>
  <c r="E19" i="17"/>
  <c r="K19" i="17"/>
  <c r="Q31" i="21"/>
  <c r="B54" i="2" l="1"/>
  <c r="B9" i="31"/>
  <c r="B8" i="33" l="1"/>
  <c r="C26" i="9" s="1"/>
  <c r="B8" i="27" l="1"/>
  <c r="C35" i="9" s="1"/>
  <c r="B8" i="26"/>
  <c r="C34" i="9" s="1"/>
  <c r="B8" i="25"/>
  <c r="C33" i="9" s="1"/>
  <c r="B8" i="24"/>
  <c r="C32" i="9" s="1"/>
  <c r="B8" i="23"/>
  <c r="C31" i="9" s="1"/>
  <c r="B8" i="29"/>
  <c r="C30" i="9" s="1"/>
  <c r="B8" i="21"/>
  <c r="C29" i="9" s="1"/>
  <c r="C28" i="9"/>
  <c r="B8" i="19"/>
  <c r="C27" i="9" s="1"/>
  <c r="B10" i="33"/>
  <c r="B8" i="32"/>
  <c r="C25" i="9" s="1"/>
  <c r="C10" i="31"/>
  <c r="B60" i="31"/>
  <c r="B59" i="31"/>
  <c r="B58" i="31"/>
  <c r="B8" i="31"/>
  <c r="B10" i="32"/>
  <c r="B34" i="33"/>
  <c r="C28" i="33"/>
  <c r="C21" i="33"/>
  <c r="B37" i="33"/>
  <c r="B36" i="33"/>
  <c r="B35" i="33"/>
  <c r="C10" i="33"/>
  <c r="C9" i="33"/>
  <c r="C24" i="9" l="1"/>
  <c r="C34" i="33"/>
  <c r="C10" i="32"/>
  <c r="B29" i="32"/>
  <c r="B28" i="32"/>
  <c r="B30" i="32"/>
  <c r="C9" i="32"/>
  <c r="B57" i="31"/>
  <c r="B56" i="31"/>
  <c r="B55" i="31"/>
  <c r="B49" i="31"/>
  <c r="B40" i="31"/>
  <c r="C9" i="31"/>
  <c r="B54" i="31"/>
  <c r="B53" i="31"/>
  <c r="B52" i="31"/>
  <c r="B50" i="31"/>
  <c r="B48" i="31"/>
  <c r="B47" i="31"/>
  <c r="B46" i="31"/>
  <c r="B45" i="31"/>
  <c r="B44" i="31"/>
  <c r="B43" i="31"/>
  <c r="B42" i="31"/>
  <c r="B41" i="31"/>
  <c r="B39" i="31"/>
  <c r="B38" i="31"/>
  <c r="B37" i="31"/>
  <c r="B36" i="31"/>
  <c r="B35" i="31"/>
  <c r="B34" i="31"/>
  <c r="B33" i="31"/>
  <c r="B32" i="31"/>
  <c r="B31" i="31"/>
  <c r="B30" i="31"/>
  <c r="C30" i="31" l="1"/>
  <c r="B79" i="13"/>
  <c r="B517" i="27"/>
  <c r="B516" i="27"/>
  <c r="B73" i="12"/>
  <c r="C53" i="31" l="1"/>
  <c r="C54" i="31" l="1"/>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29" i="19" l="1"/>
  <c r="B41" i="18"/>
  <c r="G10" i="19"/>
  <c r="B62" i="15" l="1"/>
  <c r="B61" i="15"/>
  <c r="B26" i="15"/>
  <c r="B27" i="15"/>
  <c r="D26" i="15"/>
  <c r="C269" i="29"/>
  <c r="C202" i="29"/>
  <c r="C134" i="29"/>
  <c r="C67" i="29"/>
  <c r="B73" i="23" l="1"/>
  <c r="AE70" i="23"/>
  <c r="D48" i="25" l="1"/>
  <c r="D47" i="25"/>
  <c r="D23" i="25"/>
  <c r="D18" i="25"/>
  <c r="D115" i="25"/>
  <c r="D97" i="25"/>
  <c r="D84" i="25"/>
  <c r="D80" i="25"/>
  <c r="D67" i="25"/>
  <c r="D59" i="25"/>
  <c r="D25" i="25"/>
  <c r="D13" i="25"/>
  <c r="D137" i="25"/>
  <c r="D135" i="25"/>
  <c r="D129" i="25"/>
  <c r="D125" i="25"/>
  <c r="D123" i="25"/>
  <c r="D122" i="25"/>
  <c r="D121" i="25"/>
  <c r="D120" i="25"/>
  <c r="D118" i="25"/>
  <c r="D88" i="25" l="1"/>
  <c r="D78" i="25"/>
  <c r="D77" i="25"/>
  <c r="D31" i="25"/>
  <c r="D30" i="25"/>
  <c r="D26" i="25"/>
  <c r="B54" i="10" l="1"/>
  <c r="K11" i="28" l="1"/>
  <c r="I11" i="28"/>
  <c r="E11" i="28"/>
  <c r="C11" i="28"/>
  <c r="B513" i="27" l="1"/>
  <c r="E10" i="26" l="1"/>
  <c r="C10" i="26"/>
  <c r="H11" i="20"/>
  <c r="G11" i="20"/>
  <c r="G10" i="20"/>
  <c r="E10" i="20"/>
  <c r="E10" i="19"/>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0" i="10"/>
  <c r="E10" i="10"/>
  <c r="I11" i="6"/>
  <c r="H10" i="6"/>
  <c r="E10" i="6"/>
  <c r="I11" i="5"/>
  <c r="H10" i="5"/>
  <c r="E10" i="5"/>
  <c r="D10" i="2"/>
  <c r="I10" i="1"/>
  <c r="B165" i="25"/>
  <c r="B26" i="1" l="1"/>
  <c r="B9" i="33" l="1"/>
  <c r="B9" i="32"/>
  <c r="B78" i="23"/>
  <c r="B78" i="13"/>
  <c r="C45" i="21"/>
  <c r="B58" i="6" l="1"/>
  <c r="B57" i="6"/>
  <c r="B21" i="19" l="1"/>
  <c r="B28" i="19" l="1"/>
  <c r="B27" i="19"/>
  <c r="B26" i="19"/>
  <c r="B25" i="19"/>
  <c r="B23" i="19"/>
  <c r="B22" i="19"/>
  <c r="B20" i="19"/>
  <c r="B19" i="19"/>
  <c r="B18" i="19"/>
  <c r="B15" i="19"/>
  <c r="B14" i="19"/>
  <c r="B77" i="13" l="1"/>
  <c r="B83" i="24" s="1"/>
  <c r="B76" i="13"/>
  <c r="B82" i="24" s="1"/>
  <c r="B75" i="23"/>
  <c r="B70" i="23"/>
  <c r="AE75" i="23"/>
  <c r="R75" i="23"/>
  <c r="C75" i="23"/>
  <c r="R70" i="23"/>
  <c r="C70" i="23"/>
  <c r="B8" i="18"/>
  <c r="B8" i="17"/>
  <c r="B8" i="16"/>
  <c r="B8" i="15"/>
  <c r="B8" i="14"/>
  <c r="B8" i="13"/>
  <c r="B8" i="12"/>
  <c r="B8" i="11"/>
  <c r="B8" i="10"/>
  <c r="B8" i="6"/>
  <c r="B8" i="5"/>
  <c r="E41" i="24" l="1"/>
  <c r="E24" i="24"/>
  <c r="E42" i="24" l="1"/>
  <c r="D77" i="18"/>
  <c r="C77" i="18"/>
  <c r="D61" i="18" l="1"/>
  <c r="C61" i="18"/>
  <c r="D54" i="18"/>
  <c r="C54" i="18"/>
  <c r="D48" i="18"/>
  <c r="C48" i="18"/>
  <c r="D36" i="18"/>
  <c r="C36" i="18"/>
  <c r="D22" i="18"/>
  <c r="C22" i="18"/>
  <c r="D14" i="18"/>
  <c r="C14" i="18"/>
  <c r="E61" i="18" l="1"/>
  <c r="E48" i="18"/>
  <c r="E36" i="18"/>
  <c r="E54" i="18"/>
  <c r="E22" i="18"/>
  <c r="E14" i="18"/>
  <c r="C59" i="18"/>
  <c r="D59" i="18"/>
  <c r="D47" i="18"/>
  <c r="C47" i="18"/>
  <c r="C34" i="18"/>
  <c r="D34" i="18"/>
  <c r="C13" i="18"/>
  <c r="D13" i="18"/>
  <c r="D65" i="16"/>
  <c r="D64" i="16"/>
  <c r="D61" i="16"/>
  <c r="D53" i="16"/>
  <c r="D52" i="16"/>
  <c r="D48" i="16"/>
  <c r="D46" i="16"/>
  <c r="D45" i="16"/>
  <c r="D44" i="16"/>
  <c r="D42" i="16"/>
  <c r="D41" i="16"/>
  <c r="D39" i="16"/>
  <c r="D38" i="16"/>
  <c r="D37" i="16"/>
  <c r="D36" i="16"/>
  <c r="D35" i="16"/>
  <c r="D31" i="16"/>
  <c r="D27" i="16"/>
  <c r="D25" i="16"/>
  <c r="D23" i="16"/>
  <c r="D22" i="16"/>
  <c r="D21" i="16"/>
  <c r="D19" i="16"/>
  <c r="D17" i="16"/>
  <c r="D16" i="16"/>
  <c r="D15" i="16"/>
  <c r="C63" i="15"/>
  <c r="C30" i="15"/>
  <c r="C12" i="15"/>
  <c r="C40" i="16"/>
  <c r="C26" i="16"/>
  <c r="C33" i="15" l="1"/>
  <c r="E59" i="18"/>
  <c r="E34" i="18"/>
  <c r="E13" i="18"/>
  <c r="C12" i="18"/>
  <c r="E47" i="18"/>
  <c r="C70" i="18"/>
  <c r="C49" i="16"/>
  <c r="C47" i="16" s="1"/>
  <c r="C34" i="16"/>
  <c r="C33" i="16" s="1"/>
  <c r="C18" i="16"/>
  <c r="C12" i="16" s="1"/>
  <c r="C24" i="16"/>
  <c r="D70" i="18"/>
  <c r="C36" i="15"/>
  <c r="C35" i="15" s="1"/>
  <c r="C65" i="18"/>
  <c r="D65" i="18"/>
  <c r="D12" i="18"/>
  <c r="C46" i="18" l="1"/>
  <c r="C69" i="18"/>
  <c r="C55" i="16"/>
  <c r="C57" i="16" s="1"/>
  <c r="C32" i="16"/>
  <c r="E12" i="18"/>
  <c r="E65" i="18"/>
  <c r="C66" i="18"/>
  <c r="C60" i="16"/>
  <c r="C59" i="16"/>
  <c r="C34" i="15"/>
  <c r="C66" i="15" s="1"/>
  <c r="C67" i="15" s="1"/>
  <c r="D67" i="18"/>
  <c r="C67" i="18"/>
  <c r="D46" i="18"/>
  <c r="D69" i="18"/>
  <c r="C76" i="18" l="1"/>
  <c r="C56" i="16"/>
  <c r="C58" i="16" s="1"/>
  <c r="E46" i="18"/>
  <c r="E67" i="18"/>
  <c r="C66" i="16"/>
  <c r="C68" i="18"/>
  <c r="D68" i="18"/>
  <c r="D66" i="18"/>
  <c r="C53" i="5"/>
  <c r="D76" i="18" l="1"/>
  <c r="C50" i="5"/>
  <c r="C54" i="5"/>
  <c r="C51" i="5"/>
  <c r="C55" i="5" l="1"/>
  <c r="C52" i="5"/>
  <c r="F27" i="26"/>
  <c r="E27" i="26"/>
  <c r="I51" i="17" l="1"/>
  <c r="J51" i="17"/>
  <c r="K51" i="17" l="1"/>
  <c r="C55" i="11"/>
  <c r="C53" i="11" s="1"/>
  <c r="C46" i="11"/>
  <c r="C40" i="11"/>
  <c r="C36" i="11"/>
  <c r="C31" i="11"/>
  <c r="C17" i="10" s="1"/>
  <c r="C26" i="11"/>
  <c r="C16" i="10" s="1"/>
  <c r="C17" i="11"/>
  <c r="C15" i="10" s="1"/>
  <c r="C13" i="11"/>
  <c r="C14" i="10" s="1"/>
  <c r="C23" i="10" l="1"/>
  <c r="C30" i="11"/>
  <c r="C29" i="11" s="1"/>
  <c r="C12" i="11"/>
  <c r="C13" i="10"/>
  <c r="D19" i="10"/>
  <c r="D20" i="10"/>
  <c r="D21" i="10"/>
  <c r="D22" i="10"/>
  <c r="D24" i="10"/>
  <c r="D26" i="10"/>
  <c r="D28" i="10"/>
  <c r="D29" i="10"/>
  <c r="D30" i="10"/>
  <c r="D31" i="10"/>
  <c r="D32" i="10"/>
  <c r="D33" i="10"/>
  <c r="F38" i="14"/>
  <c r="F32" i="14"/>
  <c r="F28" i="14"/>
  <c r="F19" i="14"/>
  <c r="F18" i="14" s="1"/>
  <c r="F13" i="14"/>
  <c r="E38" i="14"/>
  <c r="E32" i="14"/>
  <c r="E28" i="14"/>
  <c r="E19" i="14"/>
  <c r="E18" i="14" s="1"/>
  <c r="E13" i="14"/>
  <c r="D38" i="14"/>
  <c r="D32" i="14"/>
  <c r="C50" i="14"/>
  <c r="D28" i="14"/>
  <c r="D19" i="14"/>
  <c r="D18" i="14" s="1"/>
  <c r="D15" i="14"/>
  <c r="D13" i="14" s="1"/>
  <c r="C12" i="10" l="1"/>
  <c r="E31" i="14"/>
  <c r="D31" i="14"/>
  <c r="F31" i="14"/>
  <c r="F12" i="14"/>
  <c r="E12" i="14"/>
  <c r="D12" i="14"/>
  <c r="E10" i="23" l="1"/>
  <c r="S10" i="23"/>
  <c r="E51" i="23"/>
  <c r="S51" i="23"/>
  <c r="C268" i="29"/>
  <c r="C201" i="29"/>
  <c r="C133" i="29"/>
  <c r="C66" i="29"/>
  <c r="Q50" i="21"/>
  <c r="Q48" i="21"/>
  <c r="Q47" i="21"/>
  <c r="Q46" i="21"/>
  <c r="Q45" i="21"/>
  <c r="Q44" i="21"/>
  <c r="Q43" i="21"/>
  <c r="O49" i="21"/>
  <c r="O42" i="21"/>
  <c r="P49" i="21"/>
  <c r="P42" i="21"/>
  <c r="D10" i="20"/>
  <c r="C10" i="20"/>
  <c r="D10" i="19"/>
  <c r="D10" i="16"/>
  <c r="D10" i="15"/>
  <c r="G10" i="14"/>
  <c r="D10" i="14"/>
  <c r="G10" i="13"/>
  <c r="D10" i="13"/>
  <c r="G10" i="12"/>
  <c r="D10" i="12"/>
  <c r="G10" i="11"/>
  <c r="D10" i="11"/>
  <c r="H11" i="10"/>
  <c r="G10" i="10"/>
  <c r="D10" i="10"/>
  <c r="H11" i="6"/>
  <c r="G10" i="6"/>
  <c r="D10" i="6"/>
  <c r="B61" i="5"/>
  <c r="Q49" i="21" l="1"/>
  <c r="O51" i="21"/>
  <c r="Q42" i="21"/>
  <c r="P51" i="21"/>
  <c r="Q51" i="21" l="1"/>
  <c r="B86" i="24" l="1"/>
  <c r="B57" i="11"/>
  <c r="B76" i="17"/>
  <c r="B74" i="10"/>
  <c r="B8" i="1"/>
  <c r="E46" i="28" l="1"/>
  <c r="D42" i="21" l="1"/>
  <c r="I59" i="17" l="1"/>
  <c r="J59" i="17"/>
  <c r="K59" i="17" l="1"/>
  <c r="B71" i="10"/>
  <c r="B65" i="23" l="1"/>
  <c r="B66" i="23" l="1"/>
  <c r="I214" i="29" l="1"/>
  <c r="AE78" i="23" l="1"/>
  <c r="AE64" i="23" l="1"/>
  <c r="R64" i="23"/>
  <c r="C64" i="23"/>
  <c r="B64" i="23"/>
  <c r="AE65" i="23"/>
  <c r="R65" i="23"/>
  <c r="C65" i="23"/>
  <c r="B61" i="10" l="1"/>
  <c r="B61" i="12"/>
  <c r="B61" i="13"/>
  <c r="N49" i="21" l="1"/>
  <c r="M49" i="21"/>
  <c r="L49" i="21"/>
  <c r="K49" i="21"/>
  <c r="J49" i="21"/>
  <c r="I49" i="21"/>
  <c r="H49" i="21"/>
  <c r="G49" i="21"/>
  <c r="F49" i="21"/>
  <c r="E49" i="21"/>
  <c r="D49" i="21"/>
  <c r="N42" i="21"/>
  <c r="M42" i="21"/>
  <c r="L42" i="21"/>
  <c r="K42" i="21"/>
  <c r="J42" i="21"/>
  <c r="I42" i="21"/>
  <c r="H42" i="21"/>
  <c r="G42" i="21"/>
  <c r="F42" i="21"/>
  <c r="E42" i="21"/>
  <c r="I51" i="21" l="1"/>
  <c r="E51" i="21"/>
  <c r="K51" i="21"/>
  <c r="F51" i="21"/>
  <c r="L51" i="21"/>
  <c r="G51" i="21"/>
  <c r="M51" i="21"/>
  <c r="H51" i="21"/>
  <c r="N51" i="21"/>
  <c r="D51" i="21"/>
  <c r="J51" i="21"/>
  <c r="B281" i="29" l="1"/>
  <c r="B280" i="29"/>
  <c r="B279" i="29"/>
  <c r="B278" i="29"/>
  <c r="C266" i="29"/>
  <c r="C265" i="29"/>
  <c r="C264" i="29"/>
  <c r="C263" i="29"/>
  <c r="C262" i="29"/>
  <c r="C261" i="29"/>
  <c r="C260" i="29"/>
  <c r="C259" i="29"/>
  <c r="C258" i="29"/>
  <c r="C257" i="29"/>
  <c r="C256" i="29"/>
  <c r="C255" i="29"/>
  <c r="C253" i="29"/>
  <c r="C252" i="29"/>
  <c r="C251" i="29"/>
  <c r="C250" i="29"/>
  <c r="C249" i="29"/>
  <c r="C248" i="29"/>
  <c r="C247" i="29"/>
  <c r="C246" i="29"/>
  <c r="C245" i="29"/>
  <c r="C244" i="29"/>
  <c r="C243" i="29"/>
  <c r="C242" i="29"/>
  <c r="C240" i="29"/>
  <c r="C239" i="29"/>
  <c r="C238" i="29"/>
  <c r="C237" i="29"/>
  <c r="C236" i="29"/>
  <c r="C235" i="29"/>
  <c r="C234" i="29"/>
  <c r="C233" i="29"/>
  <c r="C232" i="29"/>
  <c r="C231" i="29"/>
  <c r="C230" i="29"/>
  <c r="C229" i="29"/>
  <c r="C227" i="29"/>
  <c r="C226" i="29"/>
  <c r="C225" i="29"/>
  <c r="C224" i="29"/>
  <c r="C223" i="29"/>
  <c r="C222" i="29"/>
  <c r="C221" i="29"/>
  <c r="C220" i="29"/>
  <c r="C219" i="29"/>
  <c r="C218" i="29"/>
  <c r="C217" i="29"/>
  <c r="C216" i="29"/>
  <c r="L214" i="29"/>
  <c r="K214" i="29"/>
  <c r="J214" i="29"/>
  <c r="G214" i="29"/>
  <c r="F214" i="29"/>
  <c r="E214" i="29"/>
  <c r="D214" i="29"/>
  <c r="M213" i="29"/>
  <c r="I213" i="29"/>
  <c r="D213" i="29"/>
  <c r="O212" i="29"/>
  <c r="N212" i="29"/>
  <c r="I212" i="29"/>
  <c r="D212" i="29"/>
  <c r="C199" i="29"/>
  <c r="C198" i="29"/>
  <c r="C197" i="29"/>
  <c r="C196" i="29"/>
  <c r="C195" i="29"/>
  <c r="C194" i="29"/>
  <c r="C193" i="29"/>
  <c r="C192" i="29"/>
  <c r="C191" i="29"/>
  <c r="C190" i="29"/>
  <c r="C189" i="29"/>
  <c r="C188" i="29"/>
  <c r="C186" i="29"/>
  <c r="C185" i="29"/>
  <c r="C184" i="29"/>
  <c r="C183" i="29"/>
  <c r="C182" i="29"/>
  <c r="C181" i="29"/>
  <c r="C180" i="29"/>
  <c r="C179" i="29"/>
  <c r="C178" i="29"/>
  <c r="C177" i="29"/>
  <c r="C176" i="29"/>
  <c r="C175" i="29"/>
  <c r="C173" i="29"/>
  <c r="C172" i="29"/>
  <c r="C171" i="29"/>
  <c r="C170" i="29"/>
  <c r="C169" i="29"/>
  <c r="C168" i="29"/>
  <c r="C167" i="29"/>
  <c r="C166" i="29"/>
  <c r="C165" i="29"/>
  <c r="C164" i="29"/>
  <c r="C163" i="29"/>
  <c r="C162" i="29"/>
  <c r="C160" i="29"/>
  <c r="C159" i="29"/>
  <c r="C158" i="29"/>
  <c r="C157" i="29"/>
  <c r="C156" i="29"/>
  <c r="C155" i="29"/>
  <c r="C154" i="29"/>
  <c r="C153" i="29"/>
  <c r="C152" i="29"/>
  <c r="C151" i="29"/>
  <c r="C150" i="29"/>
  <c r="C149" i="29"/>
  <c r="L147" i="29"/>
  <c r="K147" i="29"/>
  <c r="J147" i="29"/>
  <c r="I147" i="29"/>
  <c r="G147" i="29"/>
  <c r="F147" i="29"/>
  <c r="E147" i="29"/>
  <c r="D147" i="29"/>
  <c r="M146" i="29"/>
  <c r="I146" i="29"/>
  <c r="D146" i="29"/>
  <c r="O145" i="29"/>
  <c r="N145" i="29"/>
  <c r="I145" i="29"/>
  <c r="D145" i="29"/>
  <c r="C131" i="29"/>
  <c r="C130" i="29"/>
  <c r="C129" i="29"/>
  <c r="C128" i="29"/>
  <c r="C127" i="29"/>
  <c r="C126" i="29"/>
  <c r="C125" i="29"/>
  <c r="C124" i="29"/>
  <c r="C123" i="29"/>
  <c r="C122" i="29"/>
  <c r="C121" i="29"/>
  <c r="C120" i="29"/>
  <c r="C118" i="29"/>
  <c r="C117" i="29"/>
  <c r="C116" i="29"/>
  <c r="C115" i="29"/>
  <c r="C114" i="29"/>
  <c r="C113" i="29"/>
  <c r="C112" i="29"/>
  <c r="C111" i="29"/>
  <c r="C110" i="29"/>
  <c r="C109" i="29"/>
  <c r="C108" i="29"/>
  <c r="C107" i="29"/>
  <c r="C105" i="29"/>
  <c r="C104" i="29"/>
  <c r="C103" i="29"/>
  <c r="C102" i="29"/>
  <c r="C101" i="29"/>
  <c r="C100" i="29"/>
  <c r="C99" i="29"/>
  <c r="C98" i="29"/>
  <c r="C97" i="29"/>
  <c r="C96" i="29"/>
  <c r="C95" i="29"/>
  <c r="C94" i="29"/>
  <c r="C92" i="29"/>
  <c r="C91" i="29"/>
  <c r="C90" i="29"/>
  <c r="C89" i="29"/>
  <c r="C88" i="29"/>
  <c r="C87" i="29"/>
  <c r="C86" i="29"/>
  <c r="C85" i="29"/>
  <c r="C84" i="29"/>
  <c r="C83" i="29"/>
  <c r="C82" i="29"/>
  <c r="C81" i="29"/>
  <c r="G79" i="29"/>
  <c r="F79" i="29"/>
  <c r="E79" i="29"/>
  <c r="D79" i="29"/>
  <c r="I78" i="29"/>
  <c r="H78" i="29"/>
  <c r="D78" i="29"/>
  <c r="I77" i="29"/>
  <c r="D77" i="29"/>
  <c r="C64" i="29"/>
  <c r="C63" i="29"/>
  <c r="C62" i="29"/>
  <c r="C61" i="29"/>
  <c r="C60" i="29"/>
  <c r="C59" i="29"/>
  <c r="C58" i="29"/>
  <c r="C57" i="29"/>
  <c r="C56" i="29"/>
  <c r="C55" i="29"/>
  <c r="C54" i="29"/>
  <c r="C53" i="29"/>
  <c r="C51" i="29"/>
  <c r="C50" i="29"/>
  <c r="C49" i="29"/>
  <c r="C48" i="29"/>
  <c r="C47" i="29"/>
  <c r="C46" i="29"/>
  <c r="C45" i="29"/>
  <c r="C44" i="29"/>
  <c r="C43" i="29"/>
  <c r="C42" i="29"/>
  <c r="C41" i="29"/>
  <c r="C40" i="29"/>
  <c r="C38" i="29"/>
  <c r="C37" i="29"/>
  <c r="C36" i="29"/>
  <c r="C35" i="29"/>
  <c r="C34" i="29"/>
  <c r="C33" i="29"/>
  <c r="C32" i="29"/>
  <c r="C31" i="29"/>
  <c r="C30" i="29"/>
  <c r="C29" i="29"/>
  <c r="C28" i="29"/>
  <c r="C27" i="29"/>
  <c r="C25" i="29"/>
  <c r="C24" i="29"/>
  <c r="C23" i="29"/>
  <c r="C22" i="29"/>
  <c r="C21" i="29"/>
  <c r="C20" i="29"/>
  <c r="C19" i="29"/>
  <c r="C18" i="29"/>
  <c r="C17" i="29"/>
  <c r="C16" i="29"/>
  <c r="C15" i="29"/>
  <c r="C14" i="29"/>
  <c r="I11" i="29"/>
  <c r="I10" i="29"/>
  <c r="F26" i="16" l="1"/>
  <c r="E26" i="16"/>
  <c r="B14" i="1" l="1"/>
  <c r="H68" i="12" l="1"/>
  <c r="H68" i="13"/>
  <c r="E49" i="16"/>
  <c r="G48" i="16"/>
  <c r="G46" i="16"/>
  <c r="E40" i="16"/>
  <c r="G22" i="16"/>
  <c r="G21" i="16"/>
  <c r="G17" i="16"/>
  <c r="G16" i="16"/>
  <c r="Q40" i="23"/>
  <c r="Q39" i="23"/>
  <c r="Q37" i="23"/>
  <c r="Q35" i="23"/>
  <c r="Q33" i="23"/>
  <c r="Q32" i="23"/>
  <c r="Q19" i="23"/>
  <c r="G14" i="17"/>
  <c r="J34" i="28"/>
  <c r="I34" i="28"/>
  <c r="I57" i="17"/>
  <c r="J45" i="17"/>
  <c r="I45" i="17"/>
  <c r="J34" i="17"/>
  <c r="I34" i="17"/>
  <c r="K23" i="17"/>
  <c r="J14" i="17"/>
  <c r="I14" i="17"/>
  <c r="G61" i="15"/>
  <c r="B69" i="23"/>
  <c r="B171" i="25"/>
  <c r="B35" i="21"/>
  <c r="B74" i="23"/>
  <c r="B81" i="23"/>
  <c r="AE74" i="23"/>
  <c r="R74" i="23"/>
  <c r="C74" i="23"/>
  <c r="AE81" i="23"/>
  <c r="R81" i="23"/>
  <c r="C81" i="23"/>
  <c r="B66" i="17"/>
  <c r="B57" i="16"/>
  <c r="J24" i="1"/>
  <c r="I24" i="1"/>
  <c r="J21" i="1"/>
  <c r="J20" i="1"/>
  <c r="J19" i="1"/>
  <c r="J18" i="1"/>
  <c r="J17" i="1"/>
  <c r="J16" i="1"/>
  <c r="N46" i="2"/>
  <c r="N44" i="2" s="1"/>
  <c r="M46" i="2"/>
  <c r="L46" i="2"/>
  <c r="K46" i="2"/>
  <c r="J46" i="2"/>
  <c r="I46" i="2"/>
  <c r="H46" i="2"/>
  <c r="G46" i="2"/>
  <c r="F46" i="2"/>
  <c r="E46" i="2"/>
  <c r="D46" i="2"/>
  <c r="C46" i="2"/>
  <c r="C44" i="2" s="1"/>
  <c r="N38" i="2"/>
  <c r="M38" i="2"/>
  <c r="L38" i="2"/>
  <c r="K38" i="2"/>
  <c r="J38" i="2"/>
  <c r="I38" i="2"/>
  <c r="H38" i="2"/>
  <c r="G38" i="2"/>
  <c r="F38" i="2"/>
  <c r="E38" i="2"/>
  <c r="D38" i="2"/>
  <c r="C38" i="2"/>
  <c r="N25" i="2"/>
  <c r="N23" i="2" s="1"/>
  <c r="M25" i="2"/>
  <c r="C25" i="2"/>
  <c r="C23" i="2" s="1"/>
  <c r="C18" i="2"/>
  <c r="N18" i="2"/>
  <c r="M18" i="2"/>
  <c r="G59" i="17"/>
  <c r="F59" i="17"/>
  <c r="D59" i="17"/>
  <c r="C59" i="17"/>
  <c r="G51" i="17"/>
  <c r="F51" i="17"/>
  <c r="D51" i="17"/>
  <c r="C51" i="17"/>
  <c r="G45" i="17"/>
  <c r="F45" i="17"/>
  <c r="D45" i="17"/>
  <c r="C45" i="17"/>
  <c r="G34" i="17"/>
  <c r="F34" i="17"/>
  <c r="D34" i="17"/>
  <c r="C34" i="17"/>
  <c r="H23" i="17"/>
  <c r="E23" i="17"/>
  <c r="D14" i="17"/>
  <c r="C14" i="17"/>
  <c r="B20" i="16"/>
  <c r="F14" i="17"/>
  <c r="G20" i="16"/>
  <c r="E34" i="16"/>
  <c r="B48" i="28"/>
  <c r="D63" i="15"/>
  <c r="D36" i="15"/>
  <c r="D35" i="15" s="1"/>
  <c r="D34" i="15" s="1"/>
  <c r="D30" i="15"/>
  <c r="D12" i="15"/>
  <c r="D49" i="16"/>
  <c r="D47" i="16" s="1"/>
  <c r="D40" i="16"/>
  <c r="D34" i="16"/>
  <c r="D26" i="16"/>
  <c r="D24" i="16" s="1"/>
  <c r="D18" i="16"/>
  <c r="D13" i="16"/>
  <c r="B51" i="15"/>
  <c r="B50" i="15"/>
  <c r="G51" i="15"/>
  <c r="G52" i="15"/>
  <c r="G28" i="14"/>
  <c r="B144" i="25"/>
  <c r="B16" i="18"/>
  <c r="B15" i="18"/>
  <c r="B77" i="18"/>
  <c r="E12" i="26"/>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L12" i="28"/>
  <c r="F12" i="28"/>
  <c r="B50" i="28"/>
  <c r="B49" i="28"/>
  <c r="B47"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F46" i="28"/>
  <c r="AE54" i="23"/>
  <c r="C39" i="21"/>
  <c r="C42" i="21"/>
  <c r="C43" i="21"/>
  <c r="C44" i="21"/>
  <c r="C46" i="21"/>
  <c r="C47" i="21"/>
  <c r="C48" i="21"/>
  <c r="C49" i="21"/>
  <c r="C50" i="21"/>
  <c r="C51" i="21"/>
  <c r="B59" i="23"/>
  <c r="AE68" i="23"/>
  <c r="AE21" i="23" s="1"/>
  <c r="R68" i="23"/>
  <c r="R21" i="23" s="1"/>
  <c r="Q21" i="23"/>
  <c r="C68" i="23"/>
  <c r="B68" i="23"/>
  <c r="E32" i="2"/>
  <c r="D32" i="2"/>
  <c r="B40" i="20"/>
  <c r="C17" i="9"/>
  <c r="B511" i="27"/>
  <c r="C34" i="25"/>
  <c r="D36" i="25" s="1"/>
  <c r="C25" i="25"/>
  <c r="C149" i="25" s="1"/>
  <c r="C17" i="25"/>
  <c r="C148" i="25" s="1"/>
  <c r="D16" i="25"/>
  <c r="D90" i="25"/>
  <c r="B34" i="26"/>
  <c r="D67" i="10"/>
  <c r="H32" i="10"/>
  <c r="H31" i="10"/>
  <c r="E27" i="10"/>
  <c r="G29" i="10"/>
  <c r="G26" i="10"/>
  <c r="G22" i="10"/>
  <c r="F18" i="10"/>
  <c r="B35" i="26"/>
  <c r="B33" i="26"/>
  <c r="B32" i="26"/>
  <c r="B31" i="26"/>
  <c r="F30" i="26"/>
  <c r="B30" i="26"/>
  <c r="D29" i="26"/>
  <c r="C29" i="26"/>
  <c r="B29" i="26"/>
  <c r="F28" i="26"/>
  <c r="E28" i="26"/>
  <c r="F26" i="26"/>
  <c r="E26" i="26"/>
  <c r="F25" i="26"/>
  <c r="E25" i="26"/>
  <c r="F24" i="26"/>
  <c r="E24" i="26"/>
  <c r="F23" i="26"/>
  <c r="E23" i="26"/>
  <c r="F22" i="26"/>
  <c r="E22" i="26"/>
  <c r="F21" i="26"/>
  <c r="E21" i="26"/>
  <c r="F20" i="26"/>
  <c r="E20" i="26"/>
  <c r="F19" i="26"/>
  <c r="E19" i="26"/>
  <c r="B19" i="26"/>
  <c r="F18" i="26"/>
  <c r="E18" i="26"/>
  <c r="B18" i="26"/>
  <c r="F17" i="26"/>
  <c r="E17" i="26"/>
  <c r="B17" i="26"/>
  <c r="F16" i="26"/>
  <c r="E16" i="26"/>
  <c r="B16" i="26"/>
  <c r="F15" i="26"/>
  <c r="E15" i="26"/>
  <c r="B15" i="26"/>
  <c r="F14" i="26"/>
  <c r="E14" i="26"/>
  <c r="B14" i="26"/>
  <c r="F13" i="26"/>
  <c r="E13" i="26"/>
  <c r="B13" i="26"/>
  <c r="F12" i="26"/>
  <c r="F11" i="26"/>
  <c r="E11" i="26"/>
  <c r="G10" i="26"/>
  <c r="G9" i="26"/>
  <c r="B173" i="25"/>
  <c r="B170" i="25"/>
  <c r="B169" i="25"/>
  <c r="B168" i="25"/>
  <c r="F164" i="25"/>
  <c r="E164" i="25"/>
  <c r="D163" i="25"/>
  <c r="D162" i="25"/>
  <c r="D161" i="25"/>
  <c r="D160" i="25"/>
  <c r="D159" i="25"/>
  <c r="D158" i="25"/>
  <c r="D157" i="25"/>
  <c r="D156" i="25"/>
  <c r="D155" i="25"/>
  <c r="D154" i="25"/>
  <c r="D153" i="25"/>
  <c r="D152" i="25"/>
  <c r="D151" i="25"/>
  <c r="D150" i="25"/>
  <c r="D149" i="25"/>
  <c r="D148" i="25"/>
  <c r="D147" i="25"/>
  <c r="F145" i="25"/>
  <c r="E145" i="25"/>
  <c r="D145" i="25"/>
  <c r="C145" i="25"/>
  <c r="B145" i="25"/>
  <c r="F144" i="25"/>
  <c r="B142" i="25"/>
  <c r="B140" i="25"/>
  <c r="D133" i="25"/>
  <c r="D132" i="25"/>
  <c r="D131" i="25"/>
  <c r="D130" i="25"/>
  <c r="D139" i="25"/>
  <c r="B163" i="25"/>
  <c r="C162" i="25"/>
  <c r="D138" i="25"/>
  <c r="D136" i="25"/>
  <c r="D127" i="25"/>
  <c r="D113" i="25"/>
  <c r="D124" i="25"/>
  <c r="D112" i="25"/>
  <c r="D111" i="25"/>
  <c r="D110" i="25"/>
  <c r="D114" i="25"/>
  <c r="B161" i="25"/>
  <c r="D108" i="25"/>
  <c r="D106" i="25"/>
  <c r="C106" i="25"/>
  <c r="D107" i="25" s="1"/>
  <c r="B106" i="25"/>
  <c r="B160" i="25" s="1"/>
  <c r="D104" i="25"/>
  <c r="D103" i="25"/>
  <c r="D102" i="25"/>
  <c r="D101" i="25"/>
  <c r="D100" i="25"/>
  <c r="D99" i="25"/>
  <c r="D98" i="25"/>
  <c r="C97" i="25"/>
  <c r="C159" i="25" s="1"/>
  <c r="B97" i="25"/>
  <c r="B159" i="25" s="1"/>
  <c r="D96" i="25"/>
  <c r="D94" i="25"/>
  <c r="D93" i="25"/>
  <c r="D92" i="25"/>
  <c r="C92" i="25"/>
  <c r="C158" i="25" s="1"/>
  <c r="B158" i="25"/>
  <c r="D91" i="25"/>
  <c r="D89" i="25"/>
  <c r="D86" i="25"/>
  <c r="D85" i="25"/>
  <c r="B157" i="25"/>
  <c r="D83" i="25"/>
  <c r="D81" i="25"/>
  <c r="C80" i="25"/>
  <c r="D82" i="25" s="1"/>
  <c r="B80" i="25"/>
  <c r="B156" i="25" s="1"/>
  <c r="D76" i="25"/>
  <c r="D75" i="25"/>
  <c r="D74" i="25"/>
  <c r="D73" i="25"/>
  <c r="D72" i="25"/>
  <c r="D79" i="25"/>
  <c r="B155" i="25"/>
  <c r="D71" i="25"/>
  <c r="C71" i="25"/>
  <c r="D69" i="25"/>
  <c r="C67" i="25"/>
  <c r="B67" i="25"/>
  <c r="B154" i="25" s="1"/>
  <c r="D65" i="25"/>
  <c r="D64" i="25"/>
  <c r="D63" i="25"/>
  <c r="D62" i="25"/>
  <c r="D61" i="25"/>
  <c r="D60" i="25"/>
  <c r="C59" i="25"/>
  <c r="D66" i="25" s="1"/>
  <c r="B59" i="25"/>
  <c r="B153" i="25" s="1"/>
  <c r="D57" i="25"/>
  <c r="D56" i="25"/>
  <c r="D55" i="25"/>
  <c r="D54" i="25"/>
  <c r="D53" i="25"/>
  <c r="D52" i="25"/>
  <c r="D51" i="25"/>
  <c r="D50" i="25"/>
  <c r="C50" i="25"/>
  <c r="D58" i="25" s="1"/>
  <c r="B50" i="25"/>
  <c r="B152" i="25" s="1"/>
  <c r="D46" i="25"/>
  <c r="D45" i="25"/>
  <c r="D44" i="25"/>
  <c r="D43" i="25"/>
  <c r="D42" i="25"/>
  <c r="D41" i="25"/>
  <c r="D40" i="25"/>
  <c r="D39" i="25"/>
  <c r="D38" i="25"/>
  <c r="D37" i="25"/>
  <c r="C37" i="25"/>
  <c r="C151" i="25" s="1"/>
  <c r="B37" i="25"/>
  <c r="B151" i="25" s="1"/>
  <c r="D35" i="25"/>
  <c r="D34" i="25"/>
  <c r="B34" i="25"/>
  <c r="B150" i="25" s="1"/>
  <c r="D29" i="25"/>
  <c r="D28" i="25"/>
  <c r="D27" i="25"/>
  <c r="B25" i="25"/>
  <c r="D22" i="25"/>
  <c r="D21" i="25"/>
  <c r="D68" i="25"/>
  <c r="D20" i="25"/>
  <c r="D19" i="25"/>
  <c r="D17" i="25"/>
  <c r="B17" i="25"/>
  <c r="D15" i="25"/>
  <c r="D14" i="25"/>
  <c r="B13" i="25"/>
  <c r="B147" i="25" s="1"/>
  <c r="F11" i="25"/>
  <c r="E11" i="25"/>
  <c r="D10" i="25"/>
  <c r="C10" i="25"/>
  <c r="B10" i="25"/>
  <c r="F9" i="25"/>
  <c r="B81" i="24"/>
  <c r="D36" i="24"/>
  <c r="D25" i="24"/>
  <c r="D19" i="24"/>
  <c r="B43" i="24"/>
  <c r="B42" i="24"/>
  <c r="B41" i="24"/>
  <c r="B40" i="24"/>
  <c r="B39" i="24"/>
  <c r="B38" i="24"/>
  <c r="B37" i="24"/>
  <c r="C36" i="24"/>
  <c r="B36" i="24"/>
  <c r="B35" i="24"/>
  <c r="B34" i="24"/>
  <c r="B33" i="24"/>
  <c r="B32" i="24"/>
  <c r="B31" i="24"/>
  <c r="B30" i="24"/>
  <c r="B29" i="24"/>
  <c r="B28" i="24"/>
  <c r="B27" i="24"/>
  <c r="B26" i="24"/>
  <c r="B25" i="24"/>
  <c r="B24" i="24"/>
  <c r="B23" i="24"/>
  <c r="B22" i="24"/>
  <c r="B21" i="24"/>
  <c r="B20" i="24"/>
  <c r="C19" i="24"/>
  <c r="B19" i="24"/>
  <c r="B18" i="24"/>
  <c r="B17" i="24"/>
  <c r="B16" i="24"/>
  <c r="B15" i="24"/>
  <c r="B14" i="24"/>
  <c r="B13" i="24"/>
  <c r="B12" i="24"/>
  <c r="B11" i="24"/>
  <c r="B88" i="23"/>
  <c r="B87" i="23"/>
  <c r="B86" i="23"/>
  <c r="B85" i="23"/>
  <c r="B84" i="23"/>
  <c r="B83" i="23"/>
  <c r="AE80" i="23"/>
  <c r="AE40" i="23" s="1"/>
  <c r="R80" i="23"/>
  <c r="R40" i="23" s="1"/>
  <c r="C80" i="23"/>
  <c r="B80" i="23"/>
  <c r="AE79" i="23"/>
  <c r="AE39" i="23" s="1"/>
  <c r="R79" i="23"/>
  <c r="R39" i="23" s="1"/>
  <c r="C79" i="23"/>
  <c r="B79" i="23"/>
  <c r="R78" i="23"/>
  <c r="R37" i="23" s="1"/>
  <c r="C78" i="23"/>
  <c r="P29" i="23"/>
  <c r="O29" i="23"/>
  <c r="N29" i="23"/>
  <c r="M29" i="23"/>
  <c r="L29" i="23"/>
  <c r="K29" i="23"/>
  <c r="J29" i="23"/>
  <c r="I29" i="23"/>
  <c r="H29" i="23"/>
  <c r="F29" i="23"/>
  <c r="AE35" i="23"/>
  <c r="R35" i="23"/>
  <c r="AE73" i="23"/>
  <c r="R73" i="23"/>
  <c r="C73" i="23"/>
  <c r="AE72" i="23"/>
  <c r="R72" i="23"/>
  <c r="C72" i="23"/>
  <c r="B72" i="23"/>
  <c r="AE71" i="23"/>
  <c r="R71" i="23"/>
  <c r="C71" i="23"/>
  <c r="B71" i="23"/>
  <c r="AE69" i="23"/>
  <c r="AE24" i="23" s="1"/>
  <c r="R69" i="23"/>
  <c r="R24" i="23" s="1"/>
  <c r="C69" i="23"/>
  <c r="AE67" i="23"/>
  <c r="R67" i="23"/>
  <c r="C67" i="23"/>
  <c r="B67" i="23"/>
  <c r="AE66" i="23"/>
  <c r="R66" i="23"/>
  <c r="C66" i="23"/>
  <c r="AE63" i="23"/>
  <c r="R63" i="23"/>
  <c r="C63" i="23"/>
  <c r="B63" i="23"/>
  <c r="AE62" i="23"/>
  <c r="R62" i="23"/>
  <c r="C62" i="23"/>
  <c r="B62" i="23"/>
  <c r="AE61" i="23"/>
  <c r="R61" i="23"/>
  <c r="C61" i="23"/>
  <c r="B61" i="23"/>
  <c r="AE60" i="23"/>
  <c r="R60" i="23"/>
  <c r="C60" i="23"/>
  <c r="B60" i="23"/>
  <c r="AE59" i="23"/>
  <c r="R59" i="23"/>
  <c r="C59" i="23"/>
  <c r="AE58" i="23"/>
  <c r="R58" i="23"/>
  <c r="C58" i="23"/>
  <c r="B58" i="23"/>
  <c r="AE57" i="23"/>
  <c r="R57" i="23"/>
  <c r="C57" i="23"/>
  <c r="B57" i="23"/>
  <c r="AE56" i="23"/>
  <c r="R56" i="23"/>
  <c r="C56" i="23"/>
  <c r="AE55" i="23"/>
  <c r="R55" i="23"/>
  <c r="C55" i="23"/>
  <c r="B55" i="23"/>
  <c r="R54"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F52" i="23"/>
  <c r="E52" i="23"/>
  <c r="B50" i="23"/>
  <c r="B48" i="23"/>
  <c r="B47" i="23"/>
  <c r="B46" i="23"/>
  <c r="B45" i="23"/>
  <c r="B44" i="23"/>
  <c r="B43" i="23"/>
  <c r="B42"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B41" i="23"/>
  <c r="AD40" i="23"/>
  <c r="AC40" i="23"/>
  <c r="AB40" i="23"/>
  <c r="AA40" i="23"/>
  <c r="Z40" i="23"/>
  <c r="Y40" i="23"/>
  <c r="X40" i="23"/>
  <c r="W40" i="23"/>
  <c r="V40" i="23"/>
  <c r="U40" i="23"/>
  <c r="T40" i="23"/>
  <c r="S40" i="23"/>
  <c r="P40" i="23"/>
  <c r="O40" i="23"/>
  <c r="N40" i="23"/>
  <c r="M40" i="23"/>
  <c r="L40" i="23"/>
  <c r="K40" i="23"/>
  <c r="J40" i="23"/>
  <c r="I40" i="23"/>
  <c r="H40" i="23"/>
  <c r="G40" i="23"/>
  <c r="F40" i="23"/>
  <c r="E40" i="23"/>
  <c r="B40" i="23"/>
  <c r="AD39" i="23"/>
  <c r="AC39" i="23"/>
  <c r="AB39" i="23"/>
  <c r="AA39" i="23"/>
  <c r="Z39" i="23"/>
  <c r="Y39" i="23"/>
  <c r="X39" i="23"/>
  <c r="W39" i="23"/>
  <c r="V39" i="23"/>
  <c r="U39" i="23"/>
  <c r="T39" i="23"/>
  <c r="S39" i="23"/>
  <c r="P39" i="23"/>
  <c r="O39" i="23"/>
  <c r="N39" i="23"/>
  <c r="M39" i="23"/>
  <c r="L39" i="23"/>
  <c r="K39" i="23"/>
  <c r="J39" i="23"/>
  <c r="I39" i="23"/>
  <c r="H39" i="23"/>
  <c r="G39" i="23"/>
  <c r="F39" i="23"/>
  <c r="E39" i="23"/>
  <c r="B39" i="23"/>
  <c r="B38" i="23"/>
  <c r="AD37" i="23"/>
  <c r="AC37" i="23"/>
  <c r="AB37" i="23"/>
  <c r="AA37" i="23"/>
  <c r="Z37" i="23"/>
  <c r="Y37" i="23"/>
  <c r="X37" i="23"/>
  <c r="W37" i="23"/>
  <c r="V37" i="23"/>
  <c r="U37" i="23"/>
  <c r="T37" i="23"/>
  <c r="S37" i="23"/>
  <c r="P37" i="23"/>
  <c r="O37" i="23"/>
  <c r="N37" i="23"/>
  <c r="M37" i="23"/>
  <c r="L37" i="23"/>
  <c r="K37" i="23"/>
  <c r="J37" i="23"/>
  <c r="I37" i="23"/>
  <c r="H37" i="23"/>
  <c r="G37" i="23"/>
  <c r="F37" i="23"/>
  <c r="E37" i="23"/>
  <c r="B37" i="23"/>
  <c r="B36" i="23"/>
  <c r="AD35" i="23"/>
  <c r="AC35" i="23"/>
  <c r="AB35" i="23"/>
  <c r="AA35" i="23"/>
  <c r="Z35" i="23"/>
  <c r="Y35" i="23"/>
  <c r="X35" i="23"/>
  <c r="W35" i="23"/>
  <c r="V35" i="23"/>
  <c r="U35" i="23"/>
  <c r="T35" i="23"/>
  <c r="S35" i="23"/>
  <c r="P35" i="23"/>
  <c r="O35" i="23"/>
  <c r="N35" i="23"/>
  <c r="M35" i="23"/>
  <c r="L35" i="23"/>
  <c r="K35" i="23"/>
  <c r="J35" i="23"/>
  <c r="I35" i="23"/>
  <c r="H35" i="23"/>
  <c r="G35" i="23"/>
  <c r="F35" i="23"/>
  <c r="E35" i="23"/>
  <c r="B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B34" i="23"/>
  <c r="AD33" i="23"/>
  <c r="AC33" i="23"/>
  <c r="AB33" i="23"/>
  <c r="AA33" i="23"/>
  <c r="Z33" i="23"/>
  <c r="Y33" i="23"/>
  <c r="X33" i="23"/>
  <c r="W33" i="23"/>
  <c r="V33" i="23"/>
  <c r="U33" i="23"/>
  <c r="T33" i="23"/>
  <c r="S33" i="23"/>
  <c r="P33" i="23"/>
  <c r="O33" i="23"/>
  <c r="N33" i="23"/>
  <c r="M33" i="23"/>
  <c r="L33" i="23"/>
  <c r="K33" i="23"/>
  <c r="J33" i="23"/>
  <c r="I33" i="23"/>
  <c r="H33" i="23"/>
  <c r="G33" i="23"/>
  <c r="F33" i="23"/>
  <c r="E33" i="23"/>
  <c r="B33" i="23"/>
  <c r="AD32" i="23"/>
  <c r="AC32" i="23"/>
  <c r="AB32" i="23"/>
  <c r="AA32" i="23"/>
  <c r="Z32" i="23"/>
  <c r="Y32" i="23"/>
  <c r="X32" i="23"/>
  <c r="W32" i="23"/>
  <c r="V32" i="23"/>
  <c r="U32" i="23"/>
  <c r="T32" i="23"/>
  <c r="S32" i="23"/>
  <c r="P32" i="23"/>
  <c r="O32" i="23"/>
  <c r="N32" i="23"/>
  <c r="M32" i="23"/>
  <c r="L32" i="23"/>
  <c r="K32" i="23"/>
  <c r="J32" i="23"/>
  <c r="I32" i="23"/>
  <c r="H32" i="23"/>
  <c r="G32" i="23"/>
  <c r="F32" i="23"/>
  <c r="E32" i="23"/>
  <c r="B32" i="23"/>
  <c r="B31"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B30" i="23"/>
  <c r="AD29" i="23"/>
  <c r="AC29" i="23"/>
  <c r="AB29" i="23"/>
  <c r="AA29" i="23"/>
  <c r="Z29" i="23"/>
  <c r="Y29" i="23"/>
  <c r="X29" i="23"/>
  <c r="W29" i="23"/>
  <c r="V29" i="23"/>
  <c r="U29" i="23"/>
  <c r="T29" i="23"/>
  <c r="S29" i="23"/>
  <c r="B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B28" i="23"/>
  <c r="B27" i="23"/>
  <c r="B26"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B25" i="23"/>
  <c r="AD24" i="23"/>
  <c r="AC24" i="23"/>
  <c r="AB24" i="23"/>
  <c r="AA24" i="23"/>
  <c r="Z24" i="23"/>
  <c r="Y24" i="23"/>
  <c r="X24" i="23"/>
  <c r="W24" i="23"/>
  <c r="V24" i="23"/>
  <c r="U24" i="23"/>
  <c r="T24" i="23"/>
  <c r="S24" i="23"/>
  <c r="Q24" i="23"/>
  <c r="P24" i="23"/>
  <c r="O24" i="23"/>
  <c r="N24" i="23"/>
  <c r="M24" i="23"/>
  <c r="L24" i="23"/>
  <c r="K24" i="23"/>
  <c r="J24" i="23"/>
  <c r="I24" i="23"/>
  <c r="H24" i="23"/>
  <c r="G24" i="23"/>
  <c r="F24" i="23"/>
  <c r="E24" i="23"/>
  <c r="B24"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B23" i="23"/>
  <c r="B22" i="23"/>
  <c r="AD21" i="23"/>
  <c r="AC21" i="23"/>
  <c r="AB21" i="23"/>
  <c r="AA21" i="23"/>
  <c r="Z21" i="23"/>
  <c r="Y21" i="23"/>
  <c r="X21" i="23"/>
  <c r="W21" i="23"/>
  <c r="V21" i="23"/>
  <c r="U21" i="23"/>
  <c r="T21" i="23"/>
  <c r="S21" i="23"/>
  <c r="P21" i="23"/>
  <c r="O21" i="23"/>
  <c r="N21" i="23"/>
  <c r="M21" i="23"/>
  <c r="L21" i="23"/>
  <c r="K21" i="23"/>
  <c r="J21" i="23"/>
  <c r="I21" i="23"/>
  <c r="H21" i="23"/>
  <c r="G21" i="23"/>
  <c r="F21" i="23"/>
  <c r="E21" i="23"/>
  <c r="B21" i="23"/>
  <c r="B20" i="23"/>
  <c r="AD19" i="23"/>
  <c r="AC19" i="23"/>
  <c r="AB19" i="23"/>
  <c r="AA19" i="23"/>
  <c r="Z19" i="23"/>
  <c r="Y19" i="23"/>
  <c r="X19" i="23"/>
  <c r="W19" i="23"/>
  <c r="V19" i="23"/>
  <c r="U19" i="23"/>
  <c r="T19" i="23"/>
  <c r="S19" i="23"/>
  <c r="P19" i="23"/>
  <c r="O19" i="23"/>
  <c r="N19" i="23"/>
  <c r="M19" i="23"/>
  <c r="L19" i="23"/>
  <c r="K19" i="23"/>
  <c r="J19" i="23"/>
  <c r="I19" i="23"/>
  <c r="H19" i="23"/>
  <c r="G19" i="23"/>
  <c r="F19" i="23"/>
  <c r="E19" i="23"/>
  <c r="B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B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B17" i="23"/>
  <c r="B16"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B15" i="23"/>
  <c r="AD14" i="23"/>
  <c r="AC14" i="23"/>
  <c r="AB14" i="23"/>
  <c r="AA14" i="23"/>
  <c r="Z14" i="23"/>
  <c r="Y14" i="23"/>
  <c r="X14" i="23"/>
  <c r="W14" i="23"/>
  <c r="V14" i="23"/>
  <c r="U14" i="23"/>
  <c r="T14" i="23"/>
  <c r="S14" i="23"/>
  <c r="P14" i="23"/>
  <c r="O14" i="23"/>
  <c r="N14" i="23"/>
  <c r="M14" i="23"/>
  <c r="L14" i="23"/>
  <c r="K14" i="23"/>
  <c r="J14" i="23"/>
  <c r="I14" i="23"/>
  <c r="H14" i="23"/>
  <c r="G14" i="23"/>
  <c r="F14" i="23"/>
  <c r="E14" i="23"/>
  <c r="B14" i="23"/>
  <c r="AD13" i="23"/>
  <c r="AC13" i="23"/>
  <c r="AB13" i="23"/>
  <c r="AA13" i="23"/>
  <c r="Z13" i="23"/>
  <c r="Y13" i="23"/>
  <c r="X13" i="23"/>
  <c r="W13" i="23"/>
  <c r="V13" i="23"/>
  <c r="U13" i="23"/>
  <c r="T13" i="23"/>
  <c r="S13" i="23"/>
  <c r="Q13" i="23"/>
  <c r="P13" i="23"/>
  <c r="O13" i="23"/>
  <c r="N13" i="23"/>
  <c r="M13" i="23"/>
  <c r="L13" i="23"/>
  <c r="K13" i="23"/>
  <c r="J13" i="23"/>
  <c r="I13" i="23"/>
  <c r="H13" i="23"/>
  <c r="G13" i="23"/>
  <c r="F13" i="23"/>
  <c r="E13" i="23"/>
  <c r="B13" i="23"/>
  <c r="B12"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D10" i="23"/>
  <c r="AE9" i="23"/>
  <c r="C52" i="21"/>
  <c r="Q38"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3" i="19"/>
  <c r="B31" i="19"/>
  <c r="B30" i="19"/>
  <c r="B24" i="19"/>
  <c r="B13" i="19"/>
  <c r="B12" i="19"/>
  <c r="H10" i="19"/>
  <c r="H9" i="19"/>
  <c r="B87" i="18"/>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3"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L37" i="17"/>
  <c r="B37" i="17"/>
  <c r="B36" i="17"/>
  <c r="B35" i="17"/>
  <c r="B34" i="17"/>
  <c r="B33" i="17"/>
  <c r="B32" i="17"/>
  <c r="B31" i="17"/>
  <c r="B30" i="17"/>
  <c r="B29" i="17"/>
  <c r="B28" i="17"/>
  <c r="B27" i="17"/>
  <c r="L26" i="17"/>
  <c r="B26" i="17"/>
  <c r="B25" i="17"/>
  <c r="B24" i="17"/>
  <c r="B23" i="17"/>
  <c r="B22" i="17"/>
  <c r="B21" i="17"/>
  <c r="B20" i="17"/>
  <c r="B19" i="17"/>
  <c r="B18" i="17"/>
  <c r="B17" i="17"/>
  <c r="B16" i="17"/>
  <c r="B15" i="17"/>
  <c r="B14" i="17"/>
  <c r="B13" i="17"/>
  <c r="I10" i="17"/>
  <c r="F10" i="17"/>
  <c r="C10" i="17"/>
  <c r="L9" i="17"/>
  <c r="C22" i="9"/>
  <c r="B71" i="16"/>
  <c r="B69" i="16"/>
  <c r="B68" i="16"/>
  <c r="B67" i="16"/>
  <c r="B66" i="16"/>
  <c r="B65" i="16"/>
  <c r="B64" i="16"/>
  <c r="B63" i="16"/>
  <c r="B62" i="16"/>
  <c r="B61" i="16"/>
  <c r="B60" i="16"/>
  <c r="B59" i="16"/>
  <c r="B58" i="16"/>
  <c r="B56" i="16"/>
  <c r="B55" i="16"/>
  <c r="G54" i="16"/>
  <c r="B54" i="16"/>
  <c r="B53" i="16"/>
  <c r="G52" i="16"/>
  <c r="B52" i="16"/>
  <c r="G51" i="16"/>
  <c r="B51" i="16"/>
  <c r="G50" i="16"/>
  <c r="B50" i="16"/>
  <c r="B49" i="16"/>
  <c r="B48" i="16"/>
  <c r="B47" i="16"/>
  <c r="B46" i="16"/>
  <c r="G45" i="16"/>
  <c r="B45" i="16"/>
  <c r="B44" i="16"/>
  <c r="G43" i="16"/>
  <c r="B43" i="16"/>
  <c r="B42" i="16"/>
  <c r="G41" i="16"/>
  <c r="B41" i="16"/>
  <c r="B40" i="16"/>
  <c r="G39" i="16"/>
  <c r="B39" i="16"/>
  <c r="G38" i="16"/>
  <c r="B38" i="16"/>
  <c r="G37" i="16"/>
  <c r="B37" i="16"/>
  <c r="G36" i="16"/>
  <c r="B36" i="16"/>
  <c r="G35" i="16"/>
  <c r="B35" i="16"/>
  <c r="F34" i="16"/>
  <c r="B34" i="16"/>
  <c r="B33" i="16"/>
  <c r="B32" i="16"/>
  <c r="B31" i="16"/>
  <c r="G30" i="16"/>
  <c r="B30" i="16"/>
  <c r="G29" i="16"/>
  <c r="B29" i="16"/>
  <c r="G28" i="16"/>
  <c r="B28" i="16"/>
  <c r="G27" i="16"/>
  <c r="B27" i="16"/>
  <c r="B26" i="16"/>
  <c r="B25" i="16"/>
  <c r="B24" i="16"/>
  <c r="G23" i="16"/>
  <c r="B23" i="16"/>
  <c r="B22" i="16"/>
  <c r="B21" i="16"/>
  <c r="G19" i="16"/>
  <c r="B19" i="16"/>
  <c r="B18" i="16"/>
  <c r="B17" i="16"/>
  <c r="B16" i="16"/>
  <c r="G15" i="16"/>
  <c r="B15" i="16"/>
  <c r="G14" i="16"/>
  <c r="B14" i="16"/>
  <c r="B13" i="16"/>
  <c r="B12" i="16"/>
  <c r="H9" i="16"/>
  <c r="C21" i="9"/>
  <c r="B77" i="15"/>
  <c r="B76" i="15"/>
  <c r="B74" i="15"/>
  <c r="B73" i="15"/>
  <c r="B72" i="15"/>
  <c r="B71" i="15"/>
  <c r="B70" i="15"/>
  <c r="B69" i="15"/>
  <c r="B68" i="15"/>
  <c r="B67" i="15"/>
  <c r="B66" i="15"/>
  <c r="G65" i="15"/>
  <c r="B65" i="15"/>
  <c r="G64" i="15"/>
  <c r="B64" i="15"/>
  <c r="F63" i="15"/>
  <c r="E63" i="15"/>
  <c r="B63" i="15"/>
  <c r="G62" i="15"/>
  <c r="B60" i="15"/>
  <c r="G59" i="15"/>
  <c r="B59" i="15"/>
  <c r="G58" i="15"/>
  <c r="B58" i="15"/>
  <c r="G57" i="15"/>
  <c r="B57" i="15"/>
  <c r="G56" i="15"/>
  <c r="B56" i="15"/>
  <c r="G55" i="15"/>
  <c r="B55" i="15"/>
  <c r="G54" i="15"/>
  <c r="B54" i="15"/>
  <c r="G53" i="15"/>
  <c r="B53" i="15"/>
  <c r="B52" i="15"/>
  <c r="G50" i="15"/>
  <c r="G49" i="15"/>
  <c r="B49" i="15"/>
  <c r="G48" i="15"/>
  <c r="B48" i="15"/>
  <c r="G47" i="15"/>
  <c r="B47" i="15"/>
  <c r="G46" i="15"/>
  <c r="B46" i="15"/>
  <c r="G45" i="15"/>
  <c r="B45" i="15"/>
  <c r="G44" i="15"/>
  <c r="B44" i="15"/>
  <c r="G43" i="15"/>
  <c r="B43" i="15"/>
  <c r="G42" i="15"/>
  <c r="B42" i="15"/>
  <c r="G41" i="15"/>
  <c r="B41" i="15"/>
  <c r="G40" i="15"/>
  <c r="B40" i="15"/>
  <c r="G39" i="15"/>
  <c r="B39" i="15"/>
  <c r="G38" i="15"/>
  <c r="B38" i="15"/>
  <c r="G37" i="15"/>
  <c r="B37" i="15"/>
  <c r="F36" i="15"/>
  <c r="F35" i="15" s="1"/>
  <c r="F34" i="15" s="1"/>
  <c r="E36" i="15"/>
  <c r="E35" i="15" s="1"/>
  <c r="E34" i="15" s="1"/>
  <c r="B36" i="15"/>
  <c r="B35" i="15"/>
  <c r="B34" i="15"/>
  <c r="B33" i="15"/>
  <c r="G32" i="15"/>
  <c r="B32" i="15"/>
  <c r="G31" i="15"/>
  <c r="B31" i="15"/>
  <c r="F30" i="15"/>
  <c r="E30" i="15"/>
  <c r="B30" i="15"/>
  <c r="G29" i="15"/>
  <c r="B29" i="15"/>
  <c r="G28" i="15"/>
  <c r="B28" i="15"/>
  <c r="G27" i="15"/>
  <c r="G26" i="15"/>
  <c r="G25" i="15"/>
  <c r="B25" i="15"/>
  <c r="G24" i="15"/>
  <c r="B24" i="15"/>
  <c r="G23" i="15"/>
  <c r="B23" i="15"/>
  <c r="G22" i="15"/>
  <c r="B22" i="15"/>
  <c r="G21" i="15"/>
  <c r="B21" i="15"/>
  <c r="G20" i="15"/>
  <c r="B20" i="15"/>
  <c r="G19" i="15"/>
  <c r="B19" i="15"/>
  <c r="G18" i="15"/>
  <c r="B18" i="15"/>
  <c r="B17" i="15"/>
  <c r="B16" i="15"/>
  <c r="G15" i="15"/>
  <c r="B15" i="15"/>
  <c r="G14" i="15"/>
  <c r="B14" i="15"/>
  <c r="G13" i="15"/>
  <c r="B13" i="15"/>
  <c r="F12" i="15"/>
  <c r="E12" i="15"/>
  <c r="B12" i="15"/>
  <c r="H9" i="15"/>
  <c r="C20" i="9"/>
  <c r="B53" i="14"/>
  <c r="B51" i="14"/>
  <c r="B50" i="14"/>
  <c r="B49" i="14"/>
  <c r="B48" i="14"/>
  <c r="B47" i="14"/>
  <c r="B46" i="14"/>
  <c r="H45" i="14"/>
  <c r="G45" i="14"/>
  <c r="B45" i="14"/>
  <c r="H44" i="14"/>
  <c r="G44" i="14"/>
  <c r="B44" i="14"/>
  <c r="H43" i="14"/>
  <c r="G43" i="14"/>
  <c r="B43" i="14"/>
  <c r="H42" i="14"/>
  <c r="G42" i="14"/>
  <c r="B42" i="14"/>
  <c r="H41" i="14"/>
  <c r="G41" i="14"/>
  <c r="B41" i="14"/>
  <c r="H40" i="14"/>
  <c r="G40" i="14"/>
  <c r="B40" i="14"/>
  <c r="B39" i="14"/>
  <c r="B38" i="14"/>
  <c r="H37" i="14"/>
  <c r="G37" i="14"/>
  <c r="B37" i="14"/>
  <c r="H36" i="14"/>
  <c r="G36" i="14"/>
  <c r="B36" i="14"/>
  <c r="H35" i="14"/>
  <c r="G35" i="14"/>
  <c r="B35" i="14"/>
  <c r="H34" i="14"/>
  <c r="G34" i="14"/>
  <c r="B34" i="14"/>
  <c r="H33" i="14"/>
  <c r="G33" i="14"/>
  <c r="B33" i="14"/>
  <c r="B32" i="14"/>
  <c r="B31" i="14"/>
  <c r="B30" i="14"/>
  <c r="H29" i="14"/>
  <c r="G29" i="14"/>
  <c r="B29" i="14"/>
  <c r="B28" i="14"/>
  <c r="H27" i="14"/>
  <c r="G27" i="14"/>
  <c r="B27" i="14"/>
  <c r="H26" i="14"/>
  <c r="G26" i="14"/>
  <c r="B26" i="14"/>
  <c r="H25" i="14"/>
  <c r="G25" i="14"/>
  <c r="B25" i="14"/>
  <c r="H24" i="14"/>
  <c r="G24" i="14"/>
  <c r="B24" i="14"/>
  <c r="H23" i="14"/>
  <c r="G23" i="14"/>
  <c r="B23" i="14"/>
  <c r="H22" i="14"/>
  <c r="G22" i="14"/>
  <c r="B22" i="14"/>
  <c r="H21" i="14"/>
  <c r="B21" i="14"/>
  <c r="H20" i="14"/>
  <c r="G20" i="14"/>
  <c r="B20" i="14"/>
  <c r="B19" i="14"/>
  <c r="B18" i="14"/>
  <c r="H17" i="14"/>
  <c r="G17" i="14"/>
  <c r="B17" i="14"/>
  <c r="H16" i="14"/>
  <c r="G16" i="14"/>
  <c r="B16" i="14"/>
  <c r="B15" i="14"/>
  <c r="H14" i="14"/>
  <c r="G14" i="14"/>
  <c r="B14" i="14"/>
  <c r="B13" i="14"/>
  <c r="B12" i="14"/>
  <c r="I9" i="14"/>
  <c r="C19" i="9"/>
  <c r="B80" i="13"/>
  <c r="B77" i="12"/>
  <c r="B73" i="13"/>
  <c r="B71" i="13"/>
  <c r="B70" i="13"/>
  <c r="B69" i="13"/>
  <c r="B68" i="13"/>
  <c r="H67" i="13"/>
  <c r="B67" i="13"/>
  <c r="B66" i="13"/>
  <c r="B65" i="13"/>
  <c r="B64" i="13"/>
  <c r="B63" i="13"/>
  <c r="B62" i="13"/>
  <c r="B60" i="13"/>
  <c r="B59" i="13"/>
  <c r="B58" i="13"/>
  <c r="H57" i="13"/>
  <c r="G57" i="13"/>
  <c r="B57" i="13"/>
  <c r="H56" i="13"/>
  <c r="G56" i="13"/>
  <c r="B56" i="13"/>
  <c r="H55" i="13"/>
  <c r="G55" i="13"/>
  <c r="B55" i="13"/>
  <c r="H54" i="13"/>
  <c r="G54" i="13"/>
  <c r="B54" i="13"/>
  <c r="H53" i="13"/>
  <c r="G53" i="13"/>
  <c r="B53" i="13"/>
  <c r="D52" i="13"/>
  <c r="D50" i="13" s="1"/>
  <c r="B52" i="13"/>
  <c r="H51" i="13"/>
  <c r="G51" i="13"/>
  <c r="B51" i="13"/>
  <c r="B50" i="13"/>
  <c r="B49" i="13"/>
  <c r="H48" i="13"/>
  <c r="G48" i="13"/>
  <c r="B48" i="13"/>
  <c r="H47" i="13"/>
  <c r="G47" i="13"/>
  <c r="B47" i="13"/>
  <c r="H46" i="13"/>
  <c r="G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8" i="9"/>
  <c r="B79" i="12"/>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D42"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3" i="11"/>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D31" i="11"/>
  <c r="D17" i="10" s="1"/>
  <c r="B31" i="11"/>
  <c r="B30" i="11"/>
  <c r="B29" i="11"/>
  <c r="H28" i="11"/>
  <c r="G28" i="11"/>
  <c r="B28" i="11"/>
  <c r="H27" i="11"/>
  <c r="G27" i="11"/>
  <c r="B27" i="11"/>
  <c r="D26" i="11"/>
  <c r="D16" i="10" s="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D15" i="10" s="1"/>
  <c r="B17" i="11"/>
  <c r="H16" i="11"/>
  <c r="G16" i="11"/>
  <c r="B16" i="11"/>
  <c r="H15" i="11"/>
  <c r="G15" i="11"/>
  <c r="B15" i="11"/>
  <c r="H14" i="11"/>
  <c r="G14" i="11"/>
  <c r="B14" i="11"/>
  <c r="D13" i="11"/>
  <c r="D14" i="10" s="1"/>
  <c r="B13" i="11"/>
  <c r="B12" i="11"/>
  <c r="I9" i="11"/>
  <c r="C16" i="9"/>
  <c r="B70" i="10"/>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5" i="9"/>
  <c r="B61" i="6"/>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4" i="9"/>
  <c r="D8" i="9"/>
  <c r="E8" i="9"/>
  <c r="F8" i="9"/>
  <c r="B62" i="5"/>
  <c r="B52" i="14"/>
  <c r="B60" i="5"/>
  <c r="B59" i="5"/>
  <c r="B58" i="5"/>
  <c r="B57" i="5"/>
  <c r="B56" i="5"/>
  <c r="B55" i="5"/>
  <c r="B54" i="5"/>
  <c r="B53" i="5"/>
  <c r="B52" i="5"/>
  <c r="B51" i="5"/>
  <c r="B50" i="5"/>
  <c r="B49" i="5"/>
  <c r="H48" i="5"/>
  <c r="G48" i="5"/>
  <c r="B48" i="5"/>
  <c r="H47" i="5"/>
  <c r="G47" i="5"/>
  <c r="B47" i="5"/>
  <c r="H46" i="5"/>
  <c r="G46" i="5"/>
  <c r="B46" i="5"/>
  <c r="D45" i="5"/>
  <c r="D43" i="5" s="1"/>
  <c r="B45" i="5"/>
  <c r="H44" i="5"/>
  <c r="G44" i="5"/>
  <c r="B44" i="5"/>
  <c r="B43" i="5"/>
  <c r="B42" i="5"/>
  <c r="H41" i="5"/>
  <c r="G41" i="5"/>
  <c r="B41" i="5"/>
  <c r="H40" i="5"/>
  <c r="G40" i="5"/>
  <c r="B40" i="5"/>
  <c r="H39" i="5"/>
  <c r="G39" i="5"/>
  <c r="B39" i="5"/>
  <c r="H38" i="5"/>
  <c r="G38" i="5"/>
  <c r="B38" i="5"/>
  <c r="D37" i="5"/>
  <c r="B37" i="5"/>
  <c r="H36" i="5"/>
  <c r="G36" i="5"/>
  <c r="B36" i="5"/>
  <c r="H35" i="5"/>
  <c r="G35" i="5"/>
  <c r="B35" i="5"/>
  <c r="H34" i="5"/>
  <c r="G34" i="5"/>
  <c r="B34" i="5"/>
  <c r="H33" i="5"/>
  <c r="G33" i="5"/>
  <c r="B33" i="5"/>
  <c r="H32" i="5"/>
  <c r="G32" i="5"/>
  <c r="B32" i="5"/>
  <c r="D31" i="5"/>
  <c r="B31" i="5"/>
  <c r="B30" i="5"/>
  <c r="B29" i="5"/>
  <c r="B28" i="5"/>
  <c r="H27" i="5"/>
  <c r="G27" i="5"/>
  <c r="B27" i="5"/>
  <c r="H26" i="5"/>
  <c r="G26" i="5"/>
  <c r="B26" i="5"/>
  <c r="H25" i="5"/>
  <c r="G25" i="5"/>
  <c r="B25" i="5"/>
  <c r="D24" i="5"/>
  <c r="B24" i="5"/>
  <c r="H23" i="5"/>
  <c r="G23" i="5"/>
  <c r="B23" i="5"/>
  <c r="B22" i="5"/>
  <c r="B21" i="5"/>
  <c r="H20" i="5"/>
  <c r="G20" i="5"/>
  <c r="B20" i="5"/>
  <c r="H19" i="5"/>
  <c r="G19" i="5"/>
  <c r="B19" i="5"/>
  <c r="H18" i="5"/>
  <c r="G18" i="5"/>
  <c r="B18" i="5"/>
  <c r="D17" i="5"/>
  <c r="B17" i="5"/>
  <c r="H16" i="5"/>
  <c r="G16" i="5"/>
  <c r="B16" i="5"/>
  <c r="H15" i="5"/>
  <c r="G15" i="5"/>
  <c r="B15" i="5"/>
  <c r="H14" i="5"/>
  <c r="G14" i="5"/>
  <c r="B14" i="5"/>
  <c r="D13" i="5"/>
  <c r="B13" i="5"/>
  <c r="B12" i="5"/>
  <c r="H11" i="5"/>
  <c r="G10" i="5"/>
  <c r="I9" i="5"/>
  <c r="C13" i="9"/>
  <c r="C12" i="9"/>
  <c r="C11" i="9"/>
  <c r="B108" i="2"/>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9" i="2"/>
  <c r="B58" i="2"/>
  <c r="B57" i="2"/>
  <c r="B56" i="2"/>
  <c r="B55" i="2"/>
  <c r="B53" i="2"/>
  <c r="B52" i="2"/>
  <c r="B51" i="2"/>
  <c r="B50" i="2"/>
  <c r="B49" i="2"/>
  <c r="B48" i="2"/>
  <c r="B47" i="2"/>
  <c r="B46" i="2"/>
  <c r="B45" i="2"/>
  <c r="B44" i="2"/>
  <c r="B43" i="2"/>
  <c r="B42" i="2"/>
  <c r="B41" i="2"/>
  <c r="B40" i="2"/>
  <c r="B39" i="2"/>
  <c r="B38" i="2"/>
  <c r="B37" i="2"/>
  <c r="B36" i="2"/>
  <c r="B35" i="2"/>
  <c r="B34" i="2"/>
  <c r="B33" i="2"/>
  <c r="N32" i="2"/>
  <c r="M32" i="2"/>
  <c r="L32" i="2"/>
  <c r="K32" i="2"/>
  <c r="J32" i="2"/>
  <c r="I32" i="2"/>
  <c r="H32" i="2"/>
  <c r="G32" i="2"/>
  <c r="F32" i="2"/>
  <c r="C32" i="2"/>
  <c r="B32" i="2"/>
  <c r="B31" i="2"/>
  <c r="B30" i="2"/>
  <c r="B29" i="2"/>
  <c r="B28" i="2"/>
  <c r="B27" i="2"/>
  <c r="B26" i="2"/>
  <c r="B25" i="2"/>
  <c r="B24" i="2"/>
  <c r="B23" i="2"/>
  <c r="B22" i="2"/>
  <c r="B21" i="2"/>
  <c r="B20" i="2"/>
  <c r="B19" i="2"/>
  <c r="B18" i="2"/>
  <c r="B17" i="2"/>
  <c r="B16" i="2"/>
  <c r="B15" i="2"/>
  <c r="N14" i="2"/>
  <c r="N13" i="2" s="1"/>
  <c r="M14" i="2"/>
  <c r="C14" i="2"/>
  <c r="B14" i="2"/>
  <c r="B13" i="2"/>
  <c r="N12" i="2"/>
  <c r="M12" i="2"/>
  <c r="L12" i="2"/>
  <c r="K12" i="2"/>
  <c r="J12" i="2"/>
  <c r="I12" i="2"/>
  <c r="H12" i="2"/>
  <c r="G12" i="2"/>
  <c r="F12" i="2"/>
  <c r="E12" i="2"/>
  <c r="D12" i="2"/>
  <c r="C12" i="2"/>
  <c r="N10" i="2"/>
  <c r="N9" i="2"/>
  <c r="B8" i="2"/>
  <c r="C10" i="9" s="1"/>
  <c r="B27" i="1"/>
  <c r="B25" i="1"/>
  <c r="D24" i="1"/>
  <c r="C24" i="1"/>
  <c r="B24" i="1"/>
  <c r="B23" i="1"/>
  <c r="B22" i="1"/>
  <c r="B13" i="1"/>
  <c r="B12" i="1"/>
  <c r="J11" i="1"/>
  <c r="I11" i="1"/>
  <c r="G10" i="1"/>
  <c r="E10" i="1"/>
  <c r="C10" i="1"/>
  <c r="J9" i="1"/>
  <c r="C9" i="9"/>
  <c r="B9" i="26"/>
  <c r="B9" i="11"/>
  <c r="H31" i="20"/>
  <c r="H27" i="20"/>
  <c r="H25" i="20"/>
  <c r="H33" i="20"/>
  <c r="B9" i="17"/>
  <c r="B9" i="24"/>
  <c r="B9" i="15"/>
  <c r="B9" i="18"/>
  <c r="B9" i="1"/>
  <c r="B9" i="12"/>
  <c r="B9" i="10"/>
  <c r="B9" i="16"/>
  <c r="B9" i="14"/>
  <c r="E30" i="14"/>
  <c r="H29" i="20"/>
  <c r="H22" i="20"/>
  <c r="H32" i="20"/>
  <c r="H21" i="20"/>
  <c r="H28" i="20"/>
  <c r="H30" i="20"/>
  <c r="H24" i="20"/>
  <c r="H37" i="20"/>
  <c r="H23" i="20"/>
  <c r="H26" i="20"/>
  <c r="H36" i="20"/>
  <c r="H35" i="20"/>
  <c r="H34" i="20"/>
  <c r="G32" i="10"/>
  <c r="G21" i="10"/>
  <c r="H20" i="20"/>
  <c r="H16" i="20"/>
  <c r="H15" i="20"/>
  <c r="H14" i="20"/>
  <c r="H13" i="20"/>
  <c r="H18" i="20"/>
  <c r="H17" i="20"/>
  <c r="H12" i="20"/>
  <c r="G26" i="16"/>
  <c r="H19" i="10"/>
  <c r="F50" i="18"/>
  <c r="H30" i="10"/>
  <c r="H28" i="14"/>
  <c r="E31" i="26"/>
  <c r="F63" i="18"/>
  <c r="F57" i="18"/>
  <c r="F51" i="18"/>
  <c r="F56" i="18"/>
  <c r="F61" i="18"/>
  <c r="H21" i="10"/>
  <c r="E18" i="10"/>
  <c r="F49" i="18"/>
  <c r="G29" i="23"/>
  <c r="Q14" i="23"/>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J44" i="2" l="1"/>
  <c r="H16" i="23"/>
  <c r="H12" i="23" s="1"/>
  <c r="C32" i="26"/>
  <c r="G14" i="26" s="1"/>
  <c r="D32" i="26"/>
  <c r="J32" i="17"/>
  <c r="G32" i="17"/>
  <c r="H51" i="17"/>
  <c r="C150" i="25"/>
  <c r="C155" i="25"/>
  <c r="C161" i="25"/>
  <c r="G76" i="2"/>
  <c r="D18" i="28"/>
  <c r="H45" i="17"/>
  <c r="H34" i="17"/>
  <c r="H14" i="17"/>
  <c r="F57" i="17"/>
  <c r="H59" i="17"/>
  <c r="E51" i="17"/>
  <c r="E45" i="17"/>
  <c r="E14" i="17"/>
  <c r="C57" i="17"/>
  <c r="E59" i="17"/>
  <c r="C32" i="17"/>
  <c r="E34" i="17"/>
  <c r="K45" i="17"/>
  <c r="K14" i="17"/>
  <c r="I32" i="17"/>
  <c r="K34" i="17"/>
  <c r="K36" i="28"/>
  <c r="G13" i="12"/>
  <c r="F36" i="28"/>
  <c r="D49" i="25"/>
  <c r="C160" i="25"/>
  <c r="C156" i="25"/>
  <c r="D12" i="13"/>
  <c r="G13" i="17"/>
  <c r="I14" i="28"/>
  <c r="AB31" i="23"/>
  <c r="AB27" i="23" s="1"/>
  <c r="H14" i="10"/>
  <c r="G13" i="13"/>
  <c r="AE16" i="23"/>
  <c r="N31" i="23"/>
  <c r="N27" i="23" s="1"/>
  <c r="Y16" i="23"/>
  <c r="Y12" i="23" s="1"/>
  <c r="E16" i="23"/>
  <c r="E12" i="23" s="1"/>
  <c r="D23" i="10"/>
  <c r="D66" i="15"/>
  <c r="G24" i="5"/>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G44" i="17"/>
  <c r="F13" i="17"/>
  <c r="C59" i="13"/>
  <c r="C61" i="13" s="1"/>
  <c r="G36" i="13"/>
  <c r="F76" i="2"/>
  <c r="E29" i="23"/>
  <c r="Q53" i="23"/>
  <c r="B76" i="12"/>
  <c r="D30" i="5"/>
  <c r="D50" i="5" s="1"/>
  <c r="D52" i="5" s="1"/>
  <c r="G31" i="6"/>
  <c r="C24" i="24"/>
  <c r="F29" i="28"/>
  <c r="F31" i="2"/>
  <c r="J31" i="2"/>
  <c r="U16" i="23"/>
  <c r="U12" i="23" s="1"/>
  <c r="H36" i="13"/>
  <c r="H31" i="6"/>
  <c r="B162" i="25"/>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AE29" i="23"/>
  <c r="H27" i="13"/>
  <c r="I40" i="28"/>
  <c r="I38" i="28" s="1"/>
  <c r="C63" i="12"/>
  <c r="R32" i="23"/>
  <c r="C14" i="28"/>
  <c r="C44" i="17"/>
  <c r="H45" i="6"/>
  <c r="H24" i="6"/>
  <c r="H52" i="12"/>
  <c r="I31" i="2"/>
  <c r="G17" i="10"/>
  <c r="G31" i="23"/>
  <c r="G27" i="23" s="1"/>
  <c r="U31" i="23"/>
  <c r="U27" i="23" s="1"/>
  <c r="I38" i="23"/>
  <c r="I36" i="23" s="1"/>
  <c r="W38" i="23"/>
  <c r="W36" i="23" s="1"/>
  <c r="AC38" i="23"/>
  <c r="AC36" i="23" s="1"/>
  <c r="AE32" i="23"/>
  <c r="F33" i="28"/>
  <c r="K17" i="28"/>
  <c r="K22" i="28"/>
  <c r="K29" i="28"/>
  <c r="L32" i="28"/>
  <c r="L36" i="28"/>
  <c r="K41" i="28"/>
  <c r="D33" i="16"/>
  <c r="D55" i="16" s="1"/>
  <c r="D57" i="16" s="1"/>
  <c r="H42" i="13"/>
  <c r="I29" i="14"/>
  <c r="K83" i="2"/>
  <c r="X31" i="23"/>
  <c r="X27" i="23" s="1"/>
  <c r="M16" i="23"/>
  <c r="M12" i="23" s="1"/>
  <c r="G22" i="23"/>
  <c r="G20" i="23" s="1"/>
  <c r="M22" i="23"/>
  <c r="M20" i="23" s="1"/>
  <c r="Y22" i="23"/>
  <c r="Y20" i="23" s="1"/>
  <c r="K31" i="23"/>
  <c r="K27" i="23" s="1"/>
  <c r="S31" i="23"/>
  <c r="S27" i="23" s="1"/>
  <c r="Y31" i="23"/>
  <c r="Y27" i="23" s="1"/>
  <c r="M38" i="23"/>
  <c r="M36" i="23" s="1"/>
  <c r="U38" i="23"/>
  <c r="U36" i="23" s="1"/>
  <c r="Z53" i="23"/>
  <c r="D95" i="25"/>
  <c r="L22" i="23"/>
  <c r="L20" i="23" s="1"/>
  <c r="AD22" i="23"/>
  <c r="AD20" i="23" s="1"/>
  <c r="F32" i="28"/>
  <c r="E36" i="28"/>
  <c r="K25" i="28"/>
  <c r="G89" i="2"/>
  <c r="I16" i="23"/>
  <c r="I12" i="23" s="1"/>
  <c r="D44" i="17"/>
  <c r="N31" i="2"/>
  <c r="N54" i="2" s="1"/>
  <c r="G17" i="6"/>
  <c r="H37" i="5"/>
  <c r="H83" i="2"/>
  <c r="AC16" i="23"/>
  <c r="AC12" i="23" s="1"/>
  <c r="AC31" i="23"/>
  <c r="AC27" i="23" s="1"/>
  <c r="F31" i="23"/>
  <c r="F27" i="23" s="1"/>
  <c r="L31" i="23"/>
  <c r="L27" i="23" s="1"/>
  <c r="T31" i="23"/>
  <c r="T27" i="23" s="1"/>
  <c r="Z31" i="23"/>
  <c r="Z27" i="23" s="1"/>
  <c r="R38" i="23"/>
  <c r="B75" i="15"/>
  <c r="B72" i="13"/>
  <c r="P53" i="23"/>
  <c r="G24" i="6"/>
  <c r="L34" i="28"/>
  <c r="G45" i="6"/>
  <c r="G31" i="5"/>
  <c r="D22" i="5"/>
  <c r="D54" i="5" s="1"/>
  <c r="L33" i="28"/>
  <c r="G55" i="11"/>
  <c r="B60" i="6"/>
  <c r="H42" i="10"/>
  <c r="G52" i="12"/>
  <c r="G42" i="13"/>
  <c r="H32" i="14"/>
  <c r="J16" i="23"/>
  <c r="J12" i="23" s="1"/>
  <c r="P16" i="23"/>
  <c r="P12" i="23" s="1"/>
  <c r="V16" i="23"/>
  <c r="V12" i="23" s="1"/>
  <c r="F16" i="23"/>
  <c r="F12" i="23" s="1"/>
  <c r="R16" i="23"/>
  <c r="H22" i="23"/>
  <c r="H20" i="23" s="1"/>
  <c r="N22" i="23"/>
  <c r="N20" i="23" s="1"/>
  <c r="AB22" i="23"/>
  <c r="AB20" i="23" s="1"/>
  <c r="H18" i="13"/>
  <c r="H42" i="12"/>
  <c r="D33" i="25"/>
  <c r="I65" i="2"/>
  <c r="M97" i="2"/>
  <c r="X53" i="23"/>
  <c r="R19" i="23"/>
  <c r="F41" i="28"/>
  <c r="D29" i="6"/>
  <c r="H17" i="5"/>
  <c r="L29" i="28"/>
  <c r="K32" i="28"/>
  <c r="R29" i="23"/>
  <c r="E41" i="28"/>
  <c r="G31" i="11"/>
  <c r="D105" i="25"/>
  <c r="W31" i="23"/>
  <c r="W27" i="23" s="1"/>
  <c r="E15" i="28"/>
  <c r="G31" i="2"/>
  <c r="M44" i="2"/>
  <c r="C147" i="25"/>
  <c r="C153" i="25"/>
  <c r="C13" i="2"/>
  <c r="C30" i="2" s="1"/>
  <c r="G15" i="1"/>
  <c r="D46" i="14"/>
  <c r="D33" i="15"/>
  <c r="K31" i="2"/>
  <c r="C163" i="25"/>
  <c r="G37" i="5"/>
  <c r="F83" i="2"/>
  <c r="D35" i="10"/>
  <c r="D59" i="10" s="1"/>
  <c r="D61" i="10" s="1"/>
  <c r="J18" i="28"/>
  <c r="R33" i="23"/>
  <c r="I18" i="28"/>
  <c r="E29" i="28"/>
  <c r="D35" i="13"/>
  <c r="H31" i="2"/>
  <c r="C55" i="6"/>
  <c r="D12" i="12"/>
  <c r="D34" i="12" s="1"/>
  <c r="N16" i="23"/>
  <c r="N12" i="23" s="1"/>
  <c r="Z16" i="23"/>
  <c r="Z12" i="23" s="1"/>
  <c r="X22" i="23"/>
  <c r="X20" i="23" s="1"/>
  <c r="AE33" i="23"/>
  <c r="D12" i="16"/>
  <c r="D32" i="16" s="1"/>
  <c r="G63" i="15"/>
  <c r="F33" i="15"/>
  <c r="F22" i="1" s="1"/>
  <c r="G13" i="16"/>
  <c r="L30" i="28"/>
  <c r="H31" i="5"/>
  <c r="L22" i="28"/>
  <c r="L17" i="28"/>
  <c r="H13" i="5"/>
  <c r="F44" i="17"/>
  <c r="K97" i="2"/>
  <c r="N53" i="23"/>
  <c r="W53" i="23"/>
  <c r="V53" i="23"/>
  <c r="O53" i="23"/>
  <c r="K24" i="28"/>
  <c r="E17" i="28"/>
  <c r="C152" i="25"/>
  <c r="C55" i="2"/>
  <c r="D50" i="12"/>
  <c r="D63" i="12" s="1"/>
  <c r="G38" i="23"/>
  <c r="G36" i="23" s="1"/>
  <c r="E31" i="28"/>
  <c r="I28" i="28"/>
  <c r="I27" i="28" s="1"/>
  <c r="G43" i="5"/>
  <c r="F89" i="2"/>
  <c r="D18" i="10"/>
  <c r="G18" i="10" s="1"/>
  <c r="H13" i="6"/>
  <c r="E53" i="23"/>
  <c r="G26" i="11"/>
  <c r="I53" i="23"/>
  <c r="T53" i="23"/>
  <c r="K53" i="23"/>
  <c r="C62" i="11"/>
  <c r="K89" i="2"/>
  <c r="X16" i="23"/>
  <c r="X12" i="23" s="1"/>
  <c r="AD16" i="23"/>
  <c r="AD12" i="23" s="1"/>
  <c r="J22" i="23"/>
  <c r="J20" i="23" s="1"/>
  <c r="P22" i="23"/>
  <c r="P20" i="23" s="1"/>
  <c r="F97" i="2"/>
  <c r="M53" i="23"/>
  <c r="F69" i="2"/>
  <c r="Y53" i="23"/>
  <c r="AD53" i="23"/>
  <c r="F29" i="26"/>
  <c r="E35" i="28"/>
  <c r="G16" i="23"/>
  <c r="G12" i="23" s="1"/>
  <c r="I69" i="2"/>
  <c r="H89" i="2"/>
  <c r="G18" i="13"/>
  <c r="G53" i="23"/>
  <c r="AB53" i="23"/>
  <c r="G38" i="14"/>
  <c r="K37" i="28"/>
  <c r="L41" i="28"/>
  <c r="H45" i="5"/>
  <c r="G45" i="5"/>
  <c r="J40" i="28"/>
  <c r="H43" i="5"/>
  <c r="K20" i="28"/>
  <c r="L19" i="28"/>
  <c r="L15" i="28"/>
  <c r="S22" i="23"/>
  <c r="S20" i="23" s="1"/>
  <c r="Q16" i="23"/>
  <c r="Q12" i="23" s="1"/>
  <c r="O38" i="23"/>
  <c r="O36" i="23" s="1"/>
  <c r="AE19" i="23"/>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H38" i="14"/>
  <c r="I25" i="14"/>
  <c r="I17" i="14"/>
  <c r="I27" i="14"/>
  <c r="I24" i="14"/>
  <c r="I20" i="14"/>
  <c r="I21" i="14"/>
  <c r="I22" i="14"/>
  <c r="I26" i="14"/>
  <c r="I19" i="14"/>
  <c r="J97" i="2"/>
  <c r="J83" i="2"/>
  <c r="M23" i="2"/>
  <c r="M65" i="2"/>
  <c r="D24" i="24"/>
  <c r="F66" i="15"/>
  <c r="H22" i="1" s="1"/>
  <c r="G36" i="15"/>
  <c r="G17" i="15"/>
  <c r="G30" i="15"/>
  <c r="E33" i="16"/>
  <c r="J44" i="17"/>
  <c r="I13" i="17"/>
  <c r="D13" i="17"/>
  <c r="AE22" i="23"/>
  <c r="AE20" i="23" s="1"/>
  <c r="AE13" i="23"/>
  <c r="S16" i="23"/>
  <c r="S12" i="23" s="1"/>
  <c r="E25" i="10"/>
  <c r="E63" i="10" s="1"/>
  <c r="H29" i="10"/>
  <c r="H26" i="10"/>
  <c r="H40" i="11"/>
  <c r="H22" i="10"/>
  <c r="H15" i="10"/>
  <c r="F13" i="10"/>
  <c r="E13" i="10"/>
  <c r="H17" i="11"/>
  <c r="Q22" i="23"/>
  <c r="Q20" i="23" s="1"/>
  <c r="H25" i="13"/>
  <c r="G27" i="12"/>
  <c r="H37" i="6"/>
  <c r="G37" i="6"/>
  <c r="G13" i="6"/>
  <c r="D41" i="24"/>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H22" i="5"/>
  <c r="H24" i="5"/>
  <c r="I23" i="28"/>
  <c r="I21" i="28" s="1"/>
  <c r="D60" i="16"/>
  <c r="E24" i="28"/>
  <c r="F24" i="28"/>
  <c r="E30" i="28"/>
  <c r="F30" i="28"/>
  <c r="K16" i="28"/>
  <c r="L16" i="28"/>
  <c r="J28" i="28"/>
  <c r="K31" i="28"/>
  <c r="L31" i="28"/>
  <c r="K35" i="28"/>
  <c r="L35" i="28"/>
  <c r="K39" i="28"/>
  <c r="L39" i="28"/>
  <c r="H18" i="10"/>
  <c r="G28" i="10"/>
  <c r="H28" i="10"/>
  <c r="G36" i="12"/>
  <c r="H36" i="12"/>
  <c r="F40" i="16"/>
  <c r="G42" i="16"/>
  <c r="H26" i="11"/>
  <c r="D89" i="2"/>
  <c r="D31" i="2"/>
  <c r="E24" i="16"/>
  <c r="G31" i="16"/>
  <c r="K34" i="28"/>
  <c r="G22" i="6"/>
  <c r="G46" i="11"/>
  <c r="H46" i="11"/>
  <c r="AA53" i="23"/>
  <c r="L53" i="23"/>
  <c r="S53" i="23"/>
  <c r="H53" i="23"/>
  <c r="F53" i="23"/>
  <c r="U53" i="23"/>
  <c r="AC53" i="23"/>
  <c r="E29" i="26"/>
  <c r="D32" i="17"/>
  <c r="L69" i="2"/>
  <c r="G69" i="2"/>
  <c r="E76" i="2"/>
  <c r="J76" i="2"/>
  <c r="F27" i="10"/>
  <c r="D97" i="2"/>
  <c r="D44" i="2"/>
  <c r="I89" i="2"/>
  <c r="G44" i="16"/>
  <c r="B148" i="25"/>
  <c r="D24" i="25"/>
  <c r="J14" i="28"/>
  <c r="K15" i="28"/>
  <c r="C13" i="17"/>
  <c r="F32" i="17"/>
  <c r="D57" i="17"/>
  <c r="G97" i="2"/>
  <c r="L44" i="2"/>
  <c r="H13" i="13"/>
  <c r="C63" i="13"/>
  <c r="F24" i="16"/>
  <c r="G25" i="16"/>
  <c r="G53" i="16"/>
  <c r="F49" i="16"/>
  <c r="F47" i="16" s="1"/>
  <c r="H18" i="12"/>
  <c r="G34" i="15"/>
  <c r="G35" i="15"/>
  <c r="G20" i="10"/>
  <c r="E89" i="2"/>
  <c r="F16" i="28"/>
  <c r="D30" i="6"/>
  <c r="D50" i="6" s="1"/>
  <c r="D53" i="6" s="1"/>
  <c r="C50" i="6"/>
  <c r="C53" i="6" s="1"/>
  <c r="H50" i="10"/>
  <c r="H52" i="10"/>
  <c r="C59" i="12"/>
  <c r="C61" i="12" s="1"/>
  <c r="D14" i="28"/>
  <c r="F15" i="28"/>
  <c r="B71" i="11"/>
  <c r="B72" i="12"/>
  <c r="B70" i="16"/>
  <c r="G42" i="10"/>
  <c r="T16" i="23"/>
  <c r="T12" i="23" s="1"/>
  <c r="T38" i="23"/>
  <c r="T36" i="23" s="1"/>
  <c r="R13" i="23"/>
  <c r="C157" i="25"/>
  <c r="G57" i="17"/>
  <c r="D69" i="2"/>
  <c r="C23" i="28"/>
  <c r="C21" i="28" s="1"/>
  <c r="H76" i="2"/>
  <c r="I17" i="6"/>
  <c r="H12" i="5"/>
  <c r="B9" i="21"/>
  <c r="B9" i="2"/>
  <c r="B10" i="28" s="1"/>
  <c r="B61" i="2"/>
  <c r="B9" i="19"/>
  <c r="B9" i="6"/>
  <c r="B9" i="13"/>
  <c r="B9" i="20"/>
  <c r="D55" i="6"/>
  <c r="F12" i="16"/>
  <c r="G34" i="16"/>
  <c r="J31" i="23"/>
  <c r="J27" i="23" s="1"/>
  <c r="B149" i="25"/>
  <c r="D32" i="25"/>
  <c r="C63" i="10"/>
  <c r="J57" i="17"/>
  <c r="H17" i="6"/>
  <c r="G16" i="10"/>
  <c r="AA16" i="23"/>
  <c r="AA12" i="23" s="1"/>
  <c r="AB38" i="23"/>
  <c r="AB36" i="23" s="1"/>
  <c r="AE38" i="23"/>
  <c r="C154" i="25"/>
  <c r="D70" i="25"/>
  <c r="C28" i="28"/>
  <c r="I97" i="2"/>
  <c r="I44" i="2"/>
  <c r="I44" i="17"/>
  <c r="H22" i="6"/>
  <c r="G13" i="5"/>
  <c r="G27" i="13"/>
  <c r="O16" i="23"/>
  <c r="O12" i="23" s="1"/>
  <c r="F22" i="23"/>
  <c r="F20" i="23" s="1"/>
  <c r="AC22" i="23"/>
  <c r="AC20" i="23" s="1"/>
  <c r="V31" i="23"/>
  <c r="V27" i="23" s="1"/>
  <c r="J53" i="23"/>
  <c r="AE53" i="23"/>
  <c r="F19" i="28"/>
  <c r="H50" i="13"/>
  <c r="G18" i="16"/>
  <c r="C59" i="10"/>
  <c r="C61" i="10" s="1"/>
  <c r="G18" i="12"/>
  <c r="L16" i="23"/>
  <c r="L12" i="23" s="1"/>
  <c r="E31" i="23"/>
  <c r="AE14" i="23"/>
  <c r="H20" i="10"/>
  <c r="G31" i="10"/>
  <c r="C25" i="24"/>
  <c r="C41" i="24" s="1"/>
  <c r="G40" i="11"/>
  <c r="H55" i="11"/>
  <c r="W16" i="23"/>
  <c r="W12" i="23" s="1"/>
  <c r="T22" i="23"/>
  <c r="T20" i="23" s="1"/>
  <c r="Z22" i="23"/>
  <c r="Z20" i="23" s="1"/>
  <c r="N38" i="23"/>
  <c r="N36" i="23" s="1"/>
  <c r="L38" i="23"/>
  <c r="L36" i="23" s="1"/>
  <c r="R14" i="23"/>
  <c r="AE37" i="23"/>
  <c r="G19" i="10"/>
  <c r="J13" i="17"/>
  <c r="I53" i="12"/>
  <c r="M83" i="2"/>
  <c r="M31" i="2"/>
  <c r="H31" i="11"/>
  <c r="G30" i="10"/>
  <c r="D27" i="10"/>
  <c r="H43" i="6"/>
  <c r="H53" i="11"/>
  <c r="G53" i="11"/>
  <c r="C54" i="6"/>
  <c r="C29" i="6"/>
  <c r="G17" i="11"/>
  <c r="G15" i="10"/>
  <c r="G83" i="2"/>
  <c r="L31" i="2"/>
  <c r="L83" i="2"/>
  <c r="B8" i="28"/>
  <c r="D12" i="11"/>
  <c r="G14" i="10"/>
  <c r="D30" i="11"/>
  <c r="G15" i="14"/>
  <c r="H15" i="14"/>
  <c r="I15" i="14"/>
  <c r="G21" i="14"/>
  <c r="E66" i="15"/>
  <c r="G65" i="2"/>
  <c r="L65" i="2"/>
  <c r="D12" i="5"/>
  <c r="G17" i="5"/>
  <c r="K16" i="23"/>
  <c r="K12" i="23" s="1"/>
  <c r="I23" i="14"/>
  <c r="I14" i="14"/>
  <c r="I16" i="14"/>
  <c r="I28" i="14"/>
  <c r="H36" i="10"/>
  <c r="G36" i="10"/>
  <c r="H19" i="14"/>
  <c r="E33" i="15"/>
  <c r="G12" i="15"/>
  <c r="H16" i="10"/>
  <c r="M31" i="23"/>
  <c r="M27" i="23" s="1"/>
  <c r="D35" i="12"/>
  <c r="G42" i="12"/>
  <c r="D83" i="2"/>
  <c r="I83" i="2"/>
  <c r="E47" i="16"/>
  <c r="G52" i="10"/>
  <c r="H13" i="11"/>
  <c r="G36" i="11"/>
  <c r="G13" i="11"/>
  <c r="D25" i="13"/>
  <c r="G32" i="14"/>
  <c r="G16" i="26" l="1"/>
  <c r="G21" i="26"/>
  <c r="G24" i="26"/>
  <c r="G17" i="26"/>
  <c r="G15" i="26"/>
  <c r="G25" i="26"/>
  <c r="G20" i="26"/>
  <c r="G22" i="26"/>
  <c r="G18" i="26"/>
  <c r="G26" i="26"/>
  <c r="G12" i="26"/>
  <c r="G13" i="26"/>
  <c r="G28" i="26"/>
  <c r="G23" i="26"/>
  <c r="G19" i="26"/>
  <c r="F32" i="26"/>
  <c r="G27" i="26"/>
  <c r="E32" i="26"/>
  <c r="F18" i="28"/>
  <c r="K57" i="17"/>
  <c r="I69" i="17"/>
  <c r="H32" i="17"/>
  <c r="J43" i="17"/>
  <c r="F23" i="1" s="1"/>
  <c r="G43" i="17"/>
  <c r="F95" i="2"/>
  <c r="H57" i="17"/>
  <c r="H13" i="17"/>
  <c r="F64" i="17"/>
  <c r="H44" i="17"/>
  <c r="E57" i="17"/>
  <c r="E32" i="17"/>
  <c r="E13" i="17"/>
  <c r="C64" i="17"/>
  <c r="E44" i="17"/>
  <c r="C69" i="17"/>
  <c r="I64" i="17"/>
  <c r="K44" i="17"/>
  <c r="K32" i="17"/>
  <c r="I43" i="17"/>
  <c r="K13" i="17"/>
  <c r="K95" i="2"/>
  <c r="H55" i="2"/>
  <c r="G68" i="17"/>
  <c r="G12" i="13"/>
  <c r="D62" i="13"/>
  <c r="D67" i="15"/>
  <c r="D71" i="15" s="1"/>
  <c r="C13" i="28"/>
  <c r="C26" i="28" s="1"/>
  <c r="G15" i="28" s="1"/>
  <c r="C51" i="6"/>
  <c r="C56" i="6" s="1"/>
  <c r="I74" i="2"/>
  <c r="F34" i="28"/>
  <c r="L18" i="28"/>
  <c r="G74" i="2"/>
  <c r="S42" i="23"/>
  <c r="S93" i="23" s="1"/>
  <c r="S46" i="23"/>
  <c r="C42" i="24"/>
  <c r="E95" i="2"/>
  <c r="J95" i="2"/>
  <c r="J55" i="2"/>
  <c r="E18" i="28"/>
  <c r="E64" i="2"/>
  <c r="C62" i="13"/>
  <c r="C60" i="12"/>
  <c r="C64" i="12" s="1"/>
  <c r="T45" i="23"/>
  <c r="W26" i="23"/>
  <c r="W92" i="23" s="1"/>
  <c r="Q29" i="23"/>
  <c r="Q27" i="23" s="1"/>
  <c r="Q42" i="23" s="1"/>
  <c r="Q93" i="23" s="1"/>
  <c r="I26" i="23"/>
  <c r="I92" i="23" s="1"/>
  <c r="R31" i="23"/>
  <c r="N45" i="23"/>
  <c r="G45" i="23"/>
  <c r="L46" i="23"/>
  <c r="H42" i="23"/>
  <c r="H48" i="23" s="1"/>
  <c r="D68" i="17"/>
  <c r="N51" i="2"/>
  <c r="N53" i="2" s="1"/>
  <c r="N56" i="2" s="1"/>
  <c r="F55" i="2"/>
  <c r="D27" i="28"/>
  <c r="D43" i="28" s="1"/>
  <c r="D47"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3" i="23" s="1"/>
  <c r="I13" i="28"/>
  <c r="I26" i="28" s="1"/>
  <c r="H46" i="23"/>
  <c r="K42" i="23"/>
  <c r="K93" i="23" s="1"/>
  <c r="M26" i="23"/>
  <c r="M92" i="23" s="1"/>
  <c r="O42" i="23"/>
  <c r="O48" i="23" s="1"/>
  <c r="AD46" i="23"/>
  <c r="AD26" i="23"/>
  <c r="AD92" i="23" s="1"/>
  <c r="AE31" i="23"/>
  <c r="I56" i="10"/>
  <c r="I55" i="10"/>
  <c r="I52" i="10"/>
  <c r="W42" i="23"/>
  <c r="W48" i="23" s="1"/>
  <c r="P46" i="23"/>
  <c r="J30" i="2"/>
  <c r="Y26" i="23"/>
  <c r="Y92" i="23" s="1"/>
  <c r="R53" i="23"/>
  <c r="J54" i="2"/>
  <c r="C54" i="2"/>
  <c r="F54" i="2"/>
  <c r="W46" i="23"/>
  <c r="O46" i="23"/>
  <c r="AA46" i="23"/>
  <c r="G26" i="23"/>
  <c r="G92" i="23" s="1"/>
  <c r="U46" i="23"/>
  <c r="E46" i="14"/>
  <c r="I31" i="14" s="1"/>
  <c r="H31" i="14"/>
  <c r="D59" i="13"/>
  <c r="D61" i="13" s="1"/>
  <c r="X42" i="23"/>
  <c r="X48" i="23" s="1"/>
  <c r="Y46" i="23"/>
  <c r="U26" i="23"/>
  <c r="U92" i="23" s="1"/>
  <c r="F42" i="23"/>
  <c r="F48" i="23" s="1"/>
  <c r="I49" i="28"/>
  <c r="D51" i="6"/>
  <c r="D56" i="6" s="1"/>
  <c r="C34" i="10"/>
  <c r="C60" i="10" s="1"/>
  <c r="C64" i="10" s="1"/>
  <c r="L45" i="23"/>
  <c r="D54" i="6"/>
  <c r="AC46" i="23"/>
  <c r="H12" i="11"/>
  <c r="U45" i="23"/>
  <c r="AD45" i="23"/>
  <c r="G30" i="6"/>
  <c r="F46" i="23"/>
  <c r="J26" i="23"/>
  <c r="J92" i="23" s="1"/>
  <c r="P26" i="23"/>
  <c r="P92" i="23" s="1"/>
  <c r="P45" i="23"/>
  <c r="AA45" i="23"/>
  <c r="J45" i="23"/>
  <c r="F68" i="17"/>
  <c r="E46" i="23"/>
  <c r="H25" i="12"/>
  <c r="N42" i="23"/>
  <c r="N93" i="23" s="1"/>
  <c r="X45" i="23"/>
  <c r="F82" i="2"/>
  <c r="D59" i="16"/>
  <c r="Z45" i="23"/>
  <c r="F74" i="2"/>
  <c r="C62" i="12"/>
  <c r="C27" i="28"/>
  <c r="V26" i="23"/>
  <c r="V92" i="23" s="1"/>
  <c r="Z42" i="23"/>
  <c r="Z48" i="23" s="1"/>
  <c r="G22" i="5"/>
  <c r="K82" i="2"/>
  <c r="N46" i="23"/>
  <c r="C60" i="13"/>
  <c r="C70" i="13" s="1"/>
  <c r="F28" i="28"/>
  <c r="K74" i="2"/>
  <c r="L64" i="2"/>
  <c r="L54" i="2"/>
  <c r="I42" i="10"/>
  <c r="K30" i="2"/>
  <c r="M95" i="2"/>
  <c r="M55" i="2"/>
  <c r="D82" i="2"/>
  <c r="E34" i="28"/>
  <c r="H54" i="2"/>
  <c r="H74" i="2"/>
  <c r="M74" i="2"/>
  <c r="F30" i="2"/>
  <c r="G31" i="14"/>
  <c r="I54" i="10"/>
  <c r="I44" i="10"/>
  <c r="G50" i="12"/>
  <c r="K18" i="28"/>
  <c r="I43" i="5"/>
  <c r="G50" i="10"/>
  <c r="I36" i="5"/>
  <c r="I38" i="10"/>
  <c r="D59" i="12"/>
  <c r="D61" i="12" s="1"/>
  <c r="Z26" i="23"/>
  <c r="Z92" i="23" s="1"/>
  <c r="I41" i="10"/>
  <c r="I41" i="5"/>
  <c r="I47" i="5"/>
  <c r="E28" i="28"/>
  <c r="G42" i="23"/>
  <c r="G48" i="23" s="1"/>
  <c r="I43" i="10"/>
  <c r="J46" i="23"/>
  <c r="K46" i="23"/>
  <c r="D56" i="16"/>
  <c r="D66" i="16" s="1"/>
  <c r="AC42" i="23"/>
  <c r="AC93" i="23" s="1"/>
  <c r="G33" i="15"/>
  <c r="L40" i="28"/>
  <c r="J38" i="28"/>
  <c r="J49" i="28" s="1"/>
  <c r="D43" i="17"/>
  <c r="I45" i="23"/>
  <c r="D42" i="24"/>
  <c r="F67" i="15"/>
  <c r="N26" i="23"/>
  <c r="N92" i="23" s="1"/>
  <c r="G30" i="5"/>
  <c r="I33" i="5"/>
  <c r="I34" i="5"/>
  <c r="I37" i="5"/>
  <c r="I44" i="5"/>
  <c r="I48" i="5"/>
  <c r="G12" i="1"/>
  <c r="I40" i="5"/>
  <c r="I31" i="5"/>
  <c r="I32" i="5"/>
  <c r="I35" i="5"/>
  <c r="H30" i="5"/>
  <c r="I45" i="5"/>
  <c r="I46" i="5"/>
  <c r="I39" i="5"/>
  <c r="I38" i="5"/>
  <c r="L23" i="28"/>
  <c r="K23" i="28"/>
  <c r="U42" i="23"/>
  <c r="U48" i="23" s="1"/>
  <c r="AC45" i="23"/>
  <c r="F26" i="23"/>
  <c r="F92" i="23" s="1"/>
  <c r="AB42" i="23"/>
  <c r="AB93" i="23" s="1"/>
  <c r="G46" i="23"/>
  <c r="X46" i="23"/>
  <c r="R36" i="23"/>
  <c r="R46" i="23" s="1"/>
  <c r="X26" i="23"/>
  <c r="X92" i="23" s="1"/>
  <c r="Y42" i="23"/>
  <c r="L42" i="23"/>
  <c r="I42" i="23"/>
  <c r="I48" i="23" s="1"/>
  <c r="F45" i="23"/>
  <c r="E12" i="10"/>
  <c r="E34" i="10" s="1"/>
  <c r="E15" i="1" s="1"/>
  <c r="I51" i="10"/>
  <c r="F46" i="14"/>
  <c r="G46" i="14" s="1"/>
  <c r="E54" i="2"/>
  <c r="E51" i="2"/>
  <c r="I64" i="2"/>
  <c r="F32" i="16"/>
  <c r="E12" i="16"/>
  <c r="G12" i="16" s="1"/>
  <c r="I30" i="5"/>
  <c r="AB26" i="23"/>
  <c r="AB92" i="23" s="1"/>
  <c r="AB46" i="23"/>
  <c r="F62" i="11"/>
  <c r="H30" i="11"/>
  <c r="H13" i="10"/>
  <c r="I25" i="13"/>
  <c r="I56" i="12"/>
  <c r="I57" i="10"/>
  <c r="I40" i="10"/>
  <c r="E61" i="10"/>
  <c r="I36" i="10"/>
  <c r="I48" i="10"/>
  <c r="I39" i="10"/>
  <c r="I45" i="10"/>
  <c r="I37" i="10"/>
  <c r="I53" i="10"/>
  <c r="I46" i="10"/>
  <c r="I47" i="10"/>
  <c r="I50" i="10"/>
  <c r="G50" i="6"/>
  <c r="I30" i="6"/>
  <c r="G53" i="6"/>
  <c r="H13" i="1"/>
  <c r="G12" i="6"/>
  <c r="E13" i="1"/>
  <c r="I20" i="6"/>
  <c r="I18" i="6"/>
  <c r="I19" i="6"/>
  <c r="I23" i="6"/>
  <c r="Q46" i="23"/>
  <c r="H64" i="2"/>
  <c r="F38" i="28"/>
  <c r="I95" i="2"/>
  <c r="D49" i="28"/>
  <c r="M54" i="2"/>
  <c r="M64" i="2"/>
  <c r="I54" i="2"/>
  <c r="D64" i="2"/>
  <c r="F40" i="28"/>
  <c r="E40" i="28"/>
  <c r="E38" i="28"/>
  <c r="J82" i="2"/>
  <c r="F21" i="28"/>
  <c r="F23" i="28"/>
  <c r="E23" i="28"/>
  <c r="C49" i="28"/>
  <c r="E30" i="2"/>
  <c r="E55" i="2"/>
  <c r="E74" i="2"/>
  <c r="H30" i="2"/>
  <c r="T42" i="23"/>
  <c r="AE36" i="23"/>
  <c r="AE46" i="23" s="1"/>
  <c r="T46" i="23"/>
  <c r="I43" i="13"/>
  <c r="I54" i="13"/>
  <c r="I53" i="13"/>
  <c r="I45" i="13"/>
  <c r="I51" i="13"/>
  <c r="I44" i="13"/>
  <c r="I38" i="13"/>
  <c r="I47" i="13"/>
  <c r="I56" i="13"/>
  <c r="I55" i="13"/>
  <c r="I42" i="13"/>
  <c r="I46" i="13"/>
  <c r="I52" i="13"/>
  <c r="I41" i="13"/>
  <c r="I50" i="13"/>
  <c r="I48" i="13"/>
  <c r="I40" i="13"/>
  <c r="I36" i="13"/>
  <c r="I57" i="13"/>
  <c r="I37" i="13"/>
  <c r="I39" i="13"/>
  <c r="F12" i="1"/>
  <c r="D64" i="17"/>
  <c r="I36" i="12"/>
  <c r="AB45" i="23"/>
  <c r="I46" i="23"/>
  <c r="D13" i="10"/>
  <c r="D12" i="10" s="1"/>
  <c r="G69" i="17"/>
  <c r="AA26" i="23"/>
  <c r="AA92" i="23" s="1"/>
  <c r="I35" i="13"/>
  <c r="G35" i="13"/>
  <c r="H59" i="13"/>
  <c r="T26" i="23"/>
  <c r="H12" i="12"/>
  <c r="G12" i="12"/>
  <c r="AC26" i="23"/>
  <c r="F25" i="10"/>
  <c r="H27" i="10"/>
  <c r="D60" i="12"/>
  <c r="D70" i="12" s="1"/>
  <c r="V45" i="23"/>
  <c r="V42" i="23"/>
  <c r="H12" i="13"/>
  <c r="J13" i="28"/>
  <c r="K14" i="28"/>
  <c r="L14" i="28"/>
  <c r="Z46" i="23"/>
  <c r="I48" i="12"/>
  <c r="I25" i="12"/>
  <c r="D69" i="17"/>
  <c r="J68" i="17"/>
  <c r="I68" i="17"/>
  <c r="H26" i="23"/>
  <c r="H92" i="23" s="1"/>
  <c r="H45" i="23"/>
  <c r="H12" i="6"/>
  <c r="I12" i="6"/>
  <c r="F69" i="17"/>
  <c r="F43" i="17"/>
  <c r="G47" i="16"/>
  <c r="G35" i="12"/>
  <c r="I50" i="12"/>
  <c r="E26" i="23"/>
  <c r="E92" i="23" s="1"/>
  <c r="G49" i="16"/>
  <c r="O45" i="23"/>
  <c r="O26" i="23"/>
  <c r="O92" i="23" s="1"/>
  <c r="D95" i="2"/>
  <c r="I55" i="2"/>
  <c r="J64" i="17"/>
  <c r="J69" i="17"/>
  <c r="E14" i="28"/>
  <c r="D13" i="28"/>
  <c r="F14" i="28"/>
  <c r="F60" i="16"/>
  <c r="G24" i="16"/>
  <c r="G95" i="2"/>
  <c r="L55" i="2"/>
  <c r="L95" i="2"/>
  <c r="C68" i="17"/>
  <c r="C43" i="17"/>
  <c r="F33" i="16"/>
  <c r="F55" i="16" s="1"/>
  <c r="F57" i="16" s="1"/>
  <c r="G40" i="16"/>
  <c r="L28" i="28"/>
  <c r="J27" i="28"/>
  <c r="K28" i="28"/>
  <c r="I47" i="12"/>
  <c r="I57" i="12"/>
  <c r="I54" i="12"/>
  <c r="I38" i="12"/>
  <c r="I46" i="12"/>
  <c r="I43" i="12"/>
  <c r="I51" i="12"/>
  <c r="I52" i="12"/>
  <c r="I37" i="12"/>
  <c r="I41" i="12"/>
  <c r="I55" i="12"/>
  <c r="I42" i="12"/>
  <c r="I40" i="12"/>
  <c r="V46" i="23"/>
  <c r="L26" i="23"/>
  <c r="L92" i="23" s="1"/>
  <c r="I39" i="12"/>
  <c r="I44" i="12"/>
  <c r="G64" i="17"/>
  <c r="H35" i="12"/>
  <c r="I35" i="12"/>
  <c r="I16" i="6"/>
  <c r="I26" i="6"/>
  <c r="I24" i="6"/>
  <c r="I15" i="6"/>
  <c r="I27" i="6"/>
  <c r="I25" i="6"/>
  <c r="I13" i="6"/>
  <c r="I14" i="6"/>
  <c r="D51" i="2"/>
  <c r="AA42" i="23"/>
  <c r="I22" i="6"/>
  <c r="D62" i="12"/>
  <c r="W45" i="23"/>
  <c r="R12" i="23"/>
  <c r="R26" i="23" s="1"/>
  <c r="I45" i="12"/>
  <c r="P42" i="23"/>
  <c r="AD42" i="23"/>
  <c r="E21" i="28"/>
  <c r="L21" i="28"/>
  <c r="K21" i="28"/>
  <c r="I43" i="28"/>
  <c r="H18" i="14"/>
  <c r="I18" i="14"/>
  <c r="G12" i="5"/>
  <c r="D53" i="5"/>
  <c r="D29" i="5"/>
  <c r="C56" i="2"/>
  <c r="C52" i="2"/>
  <c r="M42" i="23"/>
  <c r="M45" i="23"/>
  <c r="G35" i="10"/>
  <c r="H15" i="1"/>
  <c r="J15" i="1" s="1"/>
  <c r="I35" i="10"/>
  <c r="H35" i="10"/>
  <c r="G27" i="10"/>
  <c r="D25" i="10"/>
  <c r="S45" i="23"/>
  <c r="S26" i="23"/>
  <c r="AE12" i="23"/>
  <c r="Q26" i="23"/>
  <c r="G64" i="2"/>
  <c r="G54" i="2"/>
  <c r="G30" i="2"/>
  <c r="H23" i="10"/>
  <c r="F12" i="10"/>
  <c r="G23" i="10"/>
  <c r="G30" i="11"/>
  <c r="D29" i="11"/>
  <c r="D62" i="11" s="1"/>
  <c r="G12" i="11"/>
  <c r="E62" i="11"/>
  <c r="I30" i="11" s="1"/>
  <c r="H32" i="15"/>
  <c r="H27" i="15"/>
  <c r="H20" i="15"/>
  <c r="H21" i="15"/>
  <c r="H13" i="15"/>
  <c r="H23" i="15"/>
  <c r="H31" i="15"/>
  <c r="H30" i="15"/>
  <c r="H15" i="15"/>
  <c r="H18" i="15"/>
  <c r="H14" i="15"/>
  <c r="H25" i="15"/>
  <c r="H19" i="15"/>
  <c r="H17" i="15"/>
  <c r="H29" i="15"/>
  <c r="E67" i="15"/>
  <c r="H24" i="15"/>
  <c r="H26" i="15"/>
  <c r="E22" i="1"/>
  <c r="I22" i="1" s="1"/>
  <c r="H28" i="15"/>
  <c r="H22" i="15"/>
  <c r="E60" i="16"/>
  <c r="E55" i="16"/>
  <c r="H12" i="15"/>
  <c r="D30" i="14"/>
  <c r="G19" i="14"/>
  <c r="H82" i="2"/>
  <c r="M51" i="2"/>
  <c r="M82" i="2"/>
  <c r="AE27" i="23"/>
  <c r="G13" i="14"/>
  <c r="H13" i="14"/>
  <c r="I13" i="14"/>
  <c r="L51" i="2"/>
  <c r="L82" i="2"/>
  <c r="G82" i="2"/>
  <c r="J42" i="23"/>
  <c r="H42" i="15"/>
  <c r="H62" i="15"/>
  <c r="H50" i="15"/>
  <c r="H49" i="15"/>
  <c r="H43" i="15"/>
  <c r="H37" i="15"/>
  <c r="H54" i="15"/>
  <c r="H35" i="15"/>
  <c r="H51" i="15"/>
  <c r="H47" i="15"/>
  <c r="H58" i="15"/>
  <c r="H57" i="15"/>
  <c r="H63" i="15"/>
  <c r="H36" i="15"/>
  <c r="H39" i="15"/>
  <c r="H38" i="15"/>
  <c r="H46" i="15"/>
  <c r="H40" i="15"/>
  <c r="H53" i="15"/>
  <c r="H64" i="15"/>
  <c r="H55" i="15"/>
  <c r="H59" i="15"/>
  <c r="G22" i="1"/>
  <c r="J22" i="1" s="1"/>
  <c r="H44" i="15"/>
  <c r="H65" i="15"/>
  <c r="H52" i="15"/>
  <c r="G66" i="15"/>
  <c r="H34" i="15"/>
  <c r="H41" i="15"/>
  <c r="H56" i="15"/>
  <c r="H48" i="15"/>
  <c r="H61" i="15"/>
  <c r="H45" i="15"/>
  <c r="D63" i="13"/>
  <c r="D60" i="13"/>
  <c r="G25" i="13"/>
  <c r="D34" i="13"/>
  <c r="K26" i="23"/>
  <c r="K45" i="23"/>
  <c r="J65" i="17" l="1"/>
  <c r="J75" i="17" s="1"/>
  <c r="L58" i="17"/>
  <c r="K43" i="17"/>
  <c r="X93" i="23"/>
  <c r="H93" i="23"/>
  <c r="L49" i="17"/>
  <c r="L52" i="17"/>
  <c r="L53" i="17"/>
  <c r="L59" i="17"/>
  <c r="L57" i="17"/>
  <c r="L46" i="17"/>
  <c r="L62" i="17"/>
  <c r="L54" i="17"/>
  <c r="L47" i="17"/>
  <c r="L51" i="17"/>
  <c r="L56" i="17"/>
  <c r="L48" i="17"/>
  <c r="L55" i="17"/>
  <c r="L60" i="17"/>
  <c r="L44" i="17"/>
  <c r="L50" i="17"/>
  <c r="I66" i="17"/>
  <c r="G23" i="1"/>
  <c r="L45" i="17"/>
  <c r="L61" i="17"/>
  <c r="L33" i="17"/>
  <c r="I65" i="17"/>
  <c r="L41" i="17"/>
  <c r="L28" i="17"/>
  <c r="L34" i="17"/>
  <c r="L15" i="17"/>
  <c r="L30" i="17"/>
  <c r="L21" i="17"/>
  <c r="E23" i="1"/>
  <c r="I23" i="1" s="1"/>
  <c r="L39" i="17"/>
  <c r="O93" i="23"/>
  <c r="H53" i="2"/>
  <c r="G25" i="1"/>
  <c r="F66" i="17"/>
  <c r="H64" i="17"/>
  <c r="F65" i="17"/>
  <c r="H43" i="17"/>
  <c r="C66" i="17"/>
  <c r="E64" i="17"/>
  <c r="C65" i="17"/>
  <c r="E43" i="17"/>
  <c r="K64" i="17"/>
  <c r="L20" i="17"/>
  <c r="L19" i="17"/>
  <c r="L18" i="17"/>
  <c r="L22" i="17"/>
  <c r="L38" i="17"/>
  <c r="L27" i="17"/>
  <c r="L31" i="17"/>
  <c r="L35" i="17"/>
  <c r="L29" i="17"/>
  <c r="L40" i="17"/>
  <c r="L32" i="17"/>
  <c r="L13" i="17"/>
  <c r="L24" i="17"/>
  <c r="L23" i="17"/>
  <c r="L17" i="17"/>
  <c r="L16" i="17"/>
  <c r="L14" i="17"/>
  <c r="U93" i="23"/>
  <c r="C48" i="28"/>
  <c r="C70" i="12"/>
  <c r="D22" i="1"/>
  <c r="F71" i="15"/>
  <c r="C22" i="1"/>
  <c r="E71" i="15"/>
  <c r="H46" i="14"/>
  <c r="S48" i="23"/>
  <c r="K48" i="23"/>
  <c r="Z93" i="23"/>
  <c r="U43" i="23"/>
  <c r="U91" i="23" s="1"/>
  <c r="N52" i="2"/>
  <c r="K53" i="2"/>
  <c r="J53" i="2"/>
  <c r="I53" i="2"/>
  <c r="D58" i="16"/>
  <c r="D47" i="14"/>
  <c r="D50" i="14" s="1"/>
  <c r="Y43" i="23"/>
  <c r="Y90" i="23" s="1"/>
  <c r="W43" i="23"/>
  <c r="W47" i="23" s="1"/>
  <c r="W93" i="23"/>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8" i="28"/>
  <c r="I27" i="5"/>
  <c r="C64" i="13"/>
  <c r="G23" i="28"/>
  <c r="J52" i="2"/>
  <c r="E102" i="2"/>
  <c r="I43" i="23"/>
  <c r="I47" i="23" s="1"/>
  <c r="H29" i="6"/>
  <c r="AD43" i="23"/>
  <c r="AD47" i="23" s="1"/>
  <c r="V43" i="23"/>
  <c r="V47" i="23" s="1"/>
  <c r="G16" i="28"/>
  <c r="E105" i="2"/>
  <c r="E45" i="23"/>
  <c r="X43" i="23"/>
  <c r="X91" i="23" s="1"/>
  <c r="G19" i="28"/>
  <c r="I18" i="12"/>
  <c r="R27" i="23"/>
  <c r="R42" i="23" s="1"/>
  <c r="R93" i="23" s="1"/>
  <c r="P43" i="23"/>
  <c r="P47" i="23" s="1"/>
  <c r="G61" i="12"/>
  <c r="E81" i="2"/>
  <c r="G13" i="10"/>
  <c r="C62" i="10"/>
  <c r="Z43" i="23"/>
  <c r="Z47" i="23" s="1"/>
  <c r="G29" i="6"/>
  <c r="I38" i="6"/>
  <c r="E52" i="2"/>
  <c r="F93" i="23"/>
  <c r="I40" i="14"/>
  <c r="I38" i="14"/>
  <c r="E47" i="14"/>
  <c r="I32" i="14"/>
  <c r="I35" i="14"/>
  <c r="I42" i="14"/>
  <c r="I36" i="14"/>
  <c r="I44" i="14"/>
  <c r="I43" i="14"/>
  <c r="I37" i="14"/>
  <c r="I45" i="14"/>
  <c r="I33" i="14"/>
  <c r="I34" i="14"/>
  <c r="I39" i="14"/>
  <c r="I41" i="14"/>
  <c r="K49" i="28"/>
  <c r="AB48" i="23"/>
  <c r="I44" i="6"/>
  <c r="J43" i="23"/>
  <c r="J90" i="23" s="1"/>
  <c r="I53" i="6"/>
  <c r="I31" i="6"/>
  <c r="I40" i="6"/>
  <c r="C43" i="28"/>
  <c r="G27" i="28" s="1"/>
  <c r="F27" i="28"/>
  <c r="E48" i="23"/>
  <c r="G22" i="28"/>
  <c r="G14" i="28"/>
  <c r="AC48" i="23"/>
  <c r="E62" i="10"/>
  <c r="F43" i="23"/>
  <c r="F47" i="23" s="1"/>
  <c r="E27" i="28"/>
  <c r="I22" i="5"/>
  <c r="G17" i="28"/>
  <c r="H105" i="2"/>
  <c r="N43" i="23"/>
  <c r="N47" i="23" s="1"/>
  <c r="I24" i="5"/>
  <c r="G18" i="28"/>
  <c r="G24" i="28"/>
  <c r="I20" i="5"/>
  <c r="H29" i="5"/>
  <c r="F81" i="2"/>
  <c r="D65" i="17"/>
  <c r="D75" i="17" s="1"/>
  <c r="J81" i="2"/>
  <c r="D64" i="12"/>
  <c r="O43" i="23"/>
  <c r="O91" i="23" s="1"/>
  <c r="G43" i="23"/>
  <c r="K38" i="28"/>
  <c r="E49" i="28"/>
  <c r="L38" i="28"/>
  <c r="G93" i="23"/>
  <c r="G52" i="5"/>
  <c r="G50" i="5"/>
  <c r="H50" i="5"/>
  <c r="AA43" i="23"/>
  <c r="AA90" i="23" s="1"/>
  <c r="I12" i="5"/>
  <c r="I23" i="5"/>
  <c r="I16" i="5"/>
  <c r="I14" i="5"/>
  <c r="I26" i="5"/>
  <c r="E12" i="1"/>
  <c r="I12" i="1" s="1"/>
  <c r="I17" i="5"/>
  <c r="I13" i="5"/>
  <c r="I15" i="5"/>
  <c r="I18" i="5"/>
  <c r="I19" i="5"/>
  <c r="I25" i="5"/>
  <c r="E43" i="23"/>
  <c r="E90" i="23" s="1"/>
  <c r="I93" i="23"/>
  <c r="L43" i="23"/>
  <c r="L91" i="23" s="1"/>
  <c r="L93" i="23"/>
  <c r="L48" i="23"/>
  <c r="Y93" i="23"/>
  <c r="Y48" i="23"/>
  <c r="Q48" i="23"/>
  <c r="G62" i="11"/>
  <c r="I31" i="13"/>
  <c r="I13" i="13"/>
  <c r="G34" i="13"/>
  <c r="M81" i="2"/>
  <c r="H52" i="2"/>
  <c r="G55" i="16"/>
  <c r="F56" i="16"/>
  <c r="F66" i="16" s="1"/>
  <c r="E32" i="16"/>
  <c r="H12" i="16" s="1"/>
  <c r="E59" i="16"/>
  <c r="G66" i="17"/>
  <c r="G65" i="17"/>
  <c r="AE42" i="23"/>
  <c r="AE93" i="23" s="1"/>
  <c r="AB43" i="23"/>
  <c r="AB47" i="23" s="1"/>
  <c r="H29" i="11"/>
  <c r="I29" i="11"/>
  <c r="H62"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AD93" i="23"/>
  <c r="J43" i="28"/>
  <c r="J47" i="28" s="1"/>
  <c r="K27" i="28"/>
  <c r="L27" i="28"/>
  <c r="D26" i="28"/>
  <c r="F13" i="28"/>
  <c r="E13" i="28"/>
  <c r="D48" i="28"/>
  <c r="G13" i="28"/>
  <c r="AC92" i="23"/>
  <c r="AC43" i="23"/>
  <c r="T92" i="23"/>
  <c r="T43" i="23"/>
  <c r="G81" i="2"/>
  <c r="H43" i="23"/>
  <c r="H90" i="23" s="1"/>
  <c r="P93" i="23"/>
  <c r="P48" i="23"/>
  <c r="V48" i="23"/>
  <c r="V93" i="23"/>
  <c r="G59" i="13"/>
  <c r="G61" i="13"/>
  <c r="D66" i="17"/>
  <c r="G29" i="11"/>
  <c r="K13" i="28"/>
  <c r="J48" i="28"/>
  <c r="L13" i="28"/>
  <c r="J26" i="28"/>
  <c r="G33" i="16"/>
  <c r="F59" i="16"/>
  <c r="H23" i="1"/>
  <c r="D23" i="1" s="1"/>
  <c r="J66" i="17"/>
  <c r="T93" i="23"/>
  <c r="T48" i="23"/>
  <c r="AA48" i="23"/>
  <c r="AA93" i="23"/>
  <c r="D53" i="2"/>
  <c r="D52" i="2"/>
  <c r="F63" i="10"/>
  <c r="H25" i="10"/>
  <c r="I14" i="10"/>
  <c r="I19" i="10"/>
  <c r="I26" i="10"/>
  <c r="E60" i="10"/>
  <c r="I13" i="10"/>
  <c r="I27" i="10"/>
  <c r="I28" i="10"/>
  <c r="I29" i="10"/>
  <c r="I32" i="10"/>
  <c r="I18" i="10"/>
  <c r="I31" i="10"/>
  <c r="I30" i="10"/>
  <c r="I15" i="10"/>
  <c r="I22" i="10"/>
  <c r="I21" i="10"/>
  <c r="I20" i="10"/>
  <c r="I16" i="10"/>
  <c r="I25" i="10"/>
  <c r="I17" i="10"/>
  <c r="M48" i="23"/>
  <c r="M93" i="23"/>
  <c r="M43" i="23"/>
  <c r="G29" i="5"/>
  <c r="D51" i="5"/>
  <c r="D55" i="5" s="1"/>
  <c r="K92" i="23"/>
  <c r="K43" i="23"/>
  <c r="L53" i="2"/>
  <c r="L102" i="2"/>
  <c r="G102" i="2"/>
  <c r="L52" i="2"/>
  <c r="G52" i="2"/>
  <c r="G18" i="14"/>
  <c r="G12" i="14"/>
  <c r="F30" i="14"/>
  <c r="H12" i="14"/>
  <c r="I12" i="14"/>
  <c r="H25" i="1"/>
  <c r="M53" i="2"/>
  <c r="M102" i="2"/>
  <c r="H102" i="2"/>
  <c r="D63" i="10"/>
  <c r="G25" i="10"/>
  <c r="I47" i="28"/>
  <c r="I44" i="28"/>
  <c r="H51" i="16"/>
  <c r="H50" i="16"/>
  <c r="E57" i="16"/>
  <c r="G57" i="16" s="1"/>
  <c r="H42" i="16"/>
  <c r="H40" i="16"/>
  <c r="H48" i="16"/>
  <c r="H46" i="16"/>
  <c r="H53" i="16"/>
  <c r="H43" i="16"/>
  <c r="H36" i="16"/>
  <c r="H41" i="16"/>
  <c r="H37" i="16"/>
  <c r="H49" i="16"/>
  <c r="H34" i="16"/>
  <c r="H44" i="16"/>
  <c r="H52" i="16"/>
  <c r="H33" i="16"/>
  <c r="H39" i="16"/>
  <c r="H38" i="16"/>
  <c r="H35" i="16"/>
  <c r="H45" i="16"/>
  <c r="H54" i="16"/>
  <c r="R92" i="23"/>
  <c r="M52" i="2"/>
  <c r="H47" i="16"/>
  <c r="S92" i="23"/>
  <c r="S43" i="23"/>
  <c r="J48" i="23"/>
  <c r="J93" i="23"/>
  <c r="I23" i="10"/>
  <c r="Q43" i="23"/>
  <c r="Q92" i="23"/>
  <c r="D62" i="10"/>
  <c r="D34" i="10"/>
  <c r="D60" i="10" s="1"/>
  <c r="D64" i="10" s="1"/>
  <c r="D64" i="13"/>
  <c r="D70" i="13"/>
  <c r="I17" i="11"/>
  <c r="I26" i="11"/>
  <c r="I33" i="11"/>
  <c r="I13" i="11"/>
  <c r="I14" i="11"/>
  <c r="I45" i="11"/>
  <c r="I44" i="11"/>
  <c r="I19" i="11"/>
  <c r="I16" i="11"/>
  <c r="I20" i="11"/>
  <c r="I23" i="11"/>
  <c r="I56" i="11"/>
  <c r="I57" i="11"/>
  <c r="I49" i="11"/>
  <c r="I38" i="11"/>
  <c r="I60"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F61" i="10"/>
  <c r="G59" i="10"/>
  <c r="H59" i="10"/>
  <c r="F34" i="10"/>
  <c r="F15" i="1" s="1"/>
  <c r="I15" i="1" s="1"/>
  <c r="F62" i="10"/>
  <c r="G12" i="10"/>
  <c r="H12" i="10"/>
  <c r="I12" i="10"/>
  <c r="AE26" i="23"/>
  <c r="AE45" i="23"/>
  <c r="L47" i="23" l="1"/>
  <c r="L90" i="23"/>
  <c r="J67" i="17"/>
  <c r="H56" i="2"/>
  <c r="I75" i="17"/>
  <c r="F75" i="17"/>
  <c r="G75" i="17"/>
  <c r="C75" i="17"/>
  <c r="N90" i="23"/>
  <c r="J25" i="1"/>
  <c r="Y91" i="23"/>
  <c r="W90" i="23"/>
  <c r="Y47" i="23"/>
  <c r="C23" i="1"/>
  <c r="I67" i="17"/>
  <c r="K66" i="17"/>
  <c r="J56" i="2"/>
  <c r="I56" i="2"/>
  <c r="K56" i="2"/>
  <c r="E48" i="28"/>
  <c r="H66" i="17"/>
  <c r="F67" i="17"/>
  <c r="E66" i="17"/>
  <c r="C67" i="17"/>
  <c r="O90" i="23"/>
  <c r="I90" i="23"/>
  <c r="G67" i="17"/>
  <c r="U90" i="23"/>
  <c r="U47" i="23"/>
  <c r="K104" i="2"/>
  <c r="AA47" i="23"/>
  <c r="V91" i="23"/>
  <c r="W91" i="23"/>
  <c r="J91" i="23"/>
  <c r="R43" i="23"/>
  <c r="R47" i="23" s="1"/>
  <c r="F104" i="2"/>
  <c r="I25" i="1"/>
  <c r="E104" i="2"/>
  <c r="J104" i="2"/>
  <c r="F56" i="2"/>
  <c r="G56" i="2"/>
  <c r="E56" i="2"/>
  <c r="E64" i="10"/>
  <c r="C15" i="1"/>
  <c r="Z90" i="23"/>
  <c r="V90" i="23"/>
  <c r="O47" i="23"/>
  <c r="X90" i="23"/>
  <c r="X47" i="23"/>
  <c r="N91" i="23"/>
  <c r="P90" i="23"/>
  <c r="P91" i="23"/>
  <c r="R45" i="23"/>
  <c r="R48" i="23"/>
  <c r="K48" i="28"/>
  <c r="D12" i="1"/>
  <c r="H52" i="5"/>
  <c r="G28" i="28"/>
  <c r="D56" i="2"/>
  <c r="D103" i="2"/>
  <c r="E103" i="2"/>
  <c r="C25" i="1"/>
  <c r="F103" i="2"/>
  <c r="AD91" i="23"/>
  <c r="AD90" i="23"/>
  <c r="Z91" i="23"/>
  <c r="F90" i="23"/>
  <c r="D67" i="17"/>
  <c r="I91" i="23"/>
  <c r="G36" i="28"/>
  <c r="C47" i="28"/>
  <c r="F47" i="28" s="1"/>
  <c r="F43" i="28"/>
  <c r="G46" i="28"/>
  <c r="C44" i="28"/>
  <c r="G29" i="28"/>
  <c r="G35" i="28"/>
  <c r="G33" i="28"/>
  <c r="D13" i="1"/>
  <c r="E50" i="14"/>
  <c r="H53" i="6"/>
  <c r="G38" i="28"/>
  <c r="G31" i="28"/>
  <c r="G40" i="28"/>
  <c r="G30" i="28"/>
  <c r="G34" i="28"/>
  <c r="G39" i="28"/>
  <c r="F91" i="23"/>
  <c r="J47" i="23"/>
  <c r="G32" i="28"/>
  <c r="E43" i="28"/>
  <c r="G41" i="28"/>
  <c r="E47" i="23"/>
  <c r="E91" i="23"/>
  <c r="I52" i="5"/>
  <c r="AA91" i="23"/>
  <c r="G91" i="23"/>
  <c r="G90" i="23"/>
  <c r="G47" i="23"/>
  <c r="H47" i="23"/>
  <c r="H91" i="23"/>
  <c r="AE48" i="23"/>
  <c r="H61" i="13"/>
  <c r="AB90" i="23"/>
  <c r="F58" i="16"/>
  <c r="H20" i="16"/>
  <c r="H15" i="16"/>
  <c r="H23" i="16"/>
  <c r="H21" i="16"/>
  <c r="H27" i="16"/>
  <c r="H24" i="16"/>
  <c r="H14" i="16"/>
  <c r="H29" i="16"/>
  <c r="H30" i="16"/>
  <c r="H28" i="16"/>
  <c r="H26" i="16"/>
  <c r="E56" i="16"/>
  <c r="E58" i="16" s="1"/>
  <c r="H13" i="16"/>
  <c r="H18" i="16"/>
  <c r="H22" i="16"/>
  <c r="H17" i="16"/>
  <c r="H25" i="16"/>
  <c r="G32" i="16"/>
  <c r="H31" i="16"/>
  <c r="H16" i="16"/>
  <c r="H19" i="16"/>
  <c r="L43" i="28"/>
  <c r="J23" i="1"/>
  <c r="AB91" i="23"/>
  <c r="C13" i="1"/>
  <c r="D104" i="2"/>
  <c r="I104" i="2"/>
  <c r="G103" i="2"/>
  <c r="K43" i="28"/>
  <c r="AC91" i="23"/>
  <c r="AC90" i="23"/>
  <c r="AC47" i="23"/>
  <c r="D44" i="28"/>
  <c r="D50" i="28"/>
  <c r="F26" i="28"/>
  <c r="E26" i="28"/>
  <c r="L26" i="28"/>
  <c r="J50" i="28"/>
  <c r="K26" i="28"/>
  <c r="J44" i="28"/>
  <c r="K44" i="28" s="1"/>
  <c r="T91" i="23"/>
  <c r="T47" i="23"/>
  <c r="T90" i="23"/>
  <c r="AE92" i="23"/>
  <c r="AE43" i="23"/>
  <c r="G104" i="2"/>
  <c r="L104" i="2"/>
  <c r="L56" i="2"/>
  <c r="K91" i="23"/>
  <c r="K90" i="23"/>
  <c r="K47" i="23"/>
  <c r="S91" i="23"/>
  <c r="S90" i="23"/>
  <c r="S47" i="23"/>
  <c r="H104" i="2"/>
  <c r="M104" i="2"/>
  <c r="M56" i="2"/>
  <c r="G61" i="10"/>
  <c r="H61" i="10"/>
  <c r="G34" i="10"/>
  <c r="F60" i="10"/>
  <c r="H34" i="10"/>
  <c r="D25" i="1"/>
  <c r="H103" i="2"/>
  <c r="H30" i="14"/>
  <c r="G30" i="14"/>
  <c r="F47" i="14"/>
  <c r="Q90" i="23"/>
  <c r="Q47" i="23"/>
  <c r="Q91" i="23"/>
  <c r="I50" i="28"/>
  <c r="K47" i="28"/>
  <c r="M47" i="23"/>
  <c r="M90" i="23"/>
  <c r="M91" i="23"/>
  <c r="R91" i="23" l="1"/>
  <c r="R90" i="23"/>
  <c r="F50" i="14"/>
  <c r="F107" i="2"/>
  <c r="E107" i="2"/>
  <c r="F64" i="10"/>
  <c r="D15" i="1"/>
  <c r="D107" i="2"/>
  <c r="C50" i="28"/>
  <c r="E50" i="28" s="1"/>
  <c r="E47" i="28"/>
  <c r="G47" i="28"/>
  <c r="G107" i="2"/>
  <c r="H107" i="2"/>
  <c r="E44" i="28"/>
  <c r="E66" i="16"/>
  <c r="K50" i="28"/>
  <c r="AE90" i="23"/>
  <c r="AE91" i="23"/>
  <c r="AE47" i="23"/>
  <c r="F165" i="25" l="1"/>
  <c r="E165" i="25"/>
</calcChain>
</file>

<file path=xl/sharedStrings.xml><?xml version="1.0" encoding="utf-8"?>
<sst xmlns="http://schemas.openxmlformats.org/spreadsheetml/2006/main" count="723" uniqueCount="613">
  <si>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</si>
  <si>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</si>
  <si>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</si>
  <si>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</si>
  <si>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</si>
  <si>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</si>
  <si>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</si>
  <si>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</si>
  <si>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</si>
  <si>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</si>
  <si>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</si>
  <si>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</si>
  <si>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</si>
  <si>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</si>
  <si>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Fontes: Compilado pela Direção-Geral do Orçamento,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</si>
  <si>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</si>
  <si>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</si>
  <si>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</si>
  <si>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</si>
  <si>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</si>
  <si>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</si>
  <si>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</si>
  <si>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</si>
  <si>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</si>
  <si>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</si>
  <si>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</si>
  <si>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</si>
  <si>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</si>
  <si>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</si>
  <si>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</si>
  <si>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</si>
  <si>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</si>
  <si>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</si>
  <si>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</si>
  <si>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</si>
  <si>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</si>
  <si>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</si>
  <si>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</si>
  <si>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</si>
  <si>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</si>
  <si>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</si>
  <si>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</si>
  <si>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</si>
  <si>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</si>
  <si>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</si>
  <si>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</si>
  <si>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</si>
  <si>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</si>
  <si>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</si>
  <si>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</si>
  <si>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</si>
  <si>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</si>
  <si>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</si>
  <si>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</si>
  <si>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</si>
  <si>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</si>
  <si>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</si>
  <si>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</si>
  <si>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</si>
  <si>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</si>
  <si>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Cofre Privativo do Tribunal de Contas — Açores</t>
  </si>
  <si>
    <t>Cofre Privativo do Tribunal de Contas — Sede</t>
  </si>
  <si>
    <t>Cofre Privativo Tribunal Contas — Madeira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</si>
  <si>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</si>
  <si>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</si>
  <si>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</si>
  <si>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</si>
  <si>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</si>
  <si>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</si>
  <si>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</si>
  <si>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</si>
  <si>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</si>
  <si>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</si>
  <si>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</si>
  <si>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Mecanismo Nacional Anticorrupção</t>
  </si>
  <si>
    <t>Presidência da República</t>
  </si>
  <si>
    <t>Serviço do Provedor de Justiça</t>
  </si>
  <si>
    <t>Supremo Tribunal Administrativo</t>
  </si>
  <si>
    <t>Supremo Tribunal de Justiça</t>
  </si>
  <si>
    <t>Tribunal Constitucional</t>
  </si>
  <si>
    <t>Tribunal de Contas — Secção Regional da Madeira</t>
  </si>
  <si>
    <t>Tribunal de Contas — Secção Regional dos Açores</t>
  </si>
  <si>
    <t>Tribunal de Contas — Sede</t>
  </si>
  <si>
    <t>Agência Nacional Erasmus + Juventude/Desporto e Corpo Europeu de Solidariedade</t>
  </si>
  <si>
    <t>Agência para o Desenvolvimento e Coesão</t>
  </si>
  <si>
    <t>Autoridade Antidopagem de Portugal</t>
  </si>
  <si>
    <t>Autoridade para a Prevenção e o Combate à Violência no Desporto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</si>
  <si>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</si>
  <si>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</si>
  <si>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</si>
  <si>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</si>
  <si>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</si>
  <si>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Comissão de Recrutamento e Seleção para a Administração Pública — CRESAP</t>
  </si>
  <si>
    <t>Direção-Geral da Administração e do Emprego Público</t>
  </si>
  <si>
    <t>Direção-Geral da Autarquias Locais</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</si>
  <si>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</si>
  <si>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</si>
  <si>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</si>
  <si>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</si>
  <si>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</si>
  <si>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</si>
  <si>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</si>
  <si>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 Coesão Territorial</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</si>
  <si>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</si>
  <si>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</si>
  <si>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</si>
  <si>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</si>
  <si>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</si>
  <si>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</si>
  <si>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</si>
  <si>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</si>
  <si>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</si>
  <si>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</si>
  <si>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Ação Governativa — Ministério dos Negócios Estrageiros</t>
  </si>
  <si>
    <t>AICEP — Agência para o Investimento e Comércio Externo de Portugal, E.P.E.</t>
  </si>
  <si>
    <t>Camões — Instituto da Cooperação e da Língua, I.P.</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</si>
  <si>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</si>
  <si>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</si>
  <si>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</si>
  <si>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</si>
  <si>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</si>
  <si>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</si>
  <si>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</si>
  <si>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EXTRA — Explosivos da Trafaria, S.A.</t>
  </si>
  <si>
    <t>Força Aérea</t>
  </si>
  <si>
    <t>Gabinete de Membros do Governo do Ministério da Defesa</t>
  </si>
  <si>
    <t>IDD — Portugal Defence, S.A.</t>
  </si>
  <si>
    <t>Inspeção-Geral da Defesa Nacional</t>
  </si>
  <si>
    <t>Instituto de Ação Social das Forças Armadas</t>
  </si>
  <si>
    <t>Instituto da Defesa Nacional</t>
  </si>
  <si>
    <t>Instituto Hidrográfico</t>
  </si>
  <si>
    <t>Laboratório Nacional do Medicamento</t>
  </si>
  <si>
    <t>Marinha</t>
  </si>
  <si>
    <t>Polícia Judiciária Militar</t>
  </si>
  <si>
    <t>Secretaria-Geral do Ministério da Defesa</t>
  </si>
  <si>
    <t>Ação Governativa — Ministério da Administração Interna</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</si>
  <si>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</si>
  <si>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</si>
  <si>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</si>
  <si>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</si>
  <si>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</si>
  <si>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</si>
  <si>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</si>
  <si>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</si>
  <si>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</si>
  <si>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</si>
  <si>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</si>
  <si>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</si>
  <si>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</si>
  <si>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</si>
  <si>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</si>
  <si>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</si>
  <si>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Fundo de Modernização da Justiça</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</si>
  <si>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</si>
  <si>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</si>
  <si>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</si>
  <si>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</si>
  <si>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</si>
  <si>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</si>
  <si>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</si>
  <si>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</si>
  <si>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</si>
  <si>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</si>
  <si>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</si>
  <si>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</si>
  <si>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</si>
  <si>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</si>
  <si>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</si>
  <si>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</si>
  <si>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</si>
  <si>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</si>
  <si>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</si>
  <si>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</si>
  <si>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</si>
  <si>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</si>
  <si>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Direção-Geral do Tesouro e Finanças</t>
  </si>
  <si>
    <t>Direção-Geral do Orçamento</t>
  </si>
  <si>
    <t>ESTAMO — Participações Imobiliárias, S.A.</t>
  </si>
  <si>
    <t>FRME — Fundo para a Revitalização e Modernização do Tecido Empresarial, SGPS, S.A.</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</si>
  <si>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</si>
  <si>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</si>
  <si>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</si>
  <si>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</si>
  <si>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</si>
  <si>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</si>
  <si>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</si>
  <si>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</si>
  <si>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</si>
  <si>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Parparticipadas, SGPS, S.A.</t>
  </si>
  <si>
    <t>Parpública — Participações Públicas, SGPS, S.A.</t>
  </si>
  <si>
    <t>Parvalorem, S.A.</t>
  </si>
  <si>
    <t>SAGESECUR — Estudos, Desenvolvimento e Participações em Projetos de Investimento Valores Mobiliários, S.A.</t>
  </si>
  <si>
    <t>Secretaria-Geral do Ministério das Finanças</t>
  </si>
  <si>
    <t>Sistema de Indemnização aos Investidores</t>
  </si>
  <si>
    <t>Unidade Técnica de Acompanhamento de Projetos</t>
  </si>
  <si>
    <t>Unidade Técnica de Acompanhamento e Monitorização do Setor Público Empresarial</t>
  </si>
  <si>
    <t>Wil — Projetos Turísticos, S.A.</t>
  </si>
  <si>
    <t>Fundo de Regularização da Dívida Pública</t>
  </si>
  <si>
    <t>Ação Governativa — Ministério da Economia e do Mar</t>
  </si>
  <si>
    <t>Agência Nacional de Inovação, S.A.</t>
  </si>
  <si>
    <t>Direção-Geral de Política do Mar</t>
  </si>
  <si>
    <t>ENATUR — Empresa Nacional de Turismo, S.A.</t>
  </si>
  <si>
    <t>Entidade Regional de Turismo da Região de Lisboa</t>
  </si>
  <si>
    <t>Estrutura de Missão para a Extensão da Plataforma Continental</t>
  </si>
  <si>
    <t>Fundo Azul</t>
  </si>
  <si>
    <t>Fundo de Apoio ao Financiamento à Inovação — FINOVA</t>
  </si>
  <si>
    <t>Fundo de Apoio ao Turismo e ao Cinema</t>
  </si>
  <si>
    <t>Fundo de Capital e Quase Capital</t>
  </si>
  <si>
    <t>Fundo de Capitalização e Resiliência</t>
  </si>
  <si>
    <t>Fundo de Coinvestimento 200M</t>
  </si>
  <si>
    <t>Fundo de Contragarantia Mútuo</t>
  </si>
  <si>
    <t>Fundo de Dívidas e Garantias</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</si>
  <si>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</si>
  <si>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</si>
  <si>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</si>
  <si>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</si>
  <si>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</si>
  <si>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</si>
  <si>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Gabinete de Investigação de Acidentes Marítimos — Autoridade para a Meteorologia Aeronáutica</t>
  </si>
  <si>
    <t>IAPMEI — Agência para a Competitividade e Inovação, I.P.</t>
  </si>
  <si>
    <t>Instituto do Turismo de Portugal, I.P.</t>
  </si>
  <si>
    <t>Instituto Português da Qualidade, I.P.</t>
  </si>
  <si>
    <t>Instituto Português de Acreditação I.P.</t>
  </si>
  <si>
    <t>Região de Turismo do Algarve</t>
  </si>
  <si>
    <t>Turismo Centro de Portugal</t>
  </si>
  <si>
    <t>Turismo do Alentejo, E.R.T.</t>
  </si>
  <si>
    <t>Turismo do Porto e Norte de Portugal, E.R.</t>
  </si>
  <si>
    <t>Cinemateca Portuguesa — Museu do Cinema, I.P.</t>
  </si>
  <si>
    <t>Côa Parque- — Fundação para a Salvaguarda e Valorização do Vale do Côa</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</si>
  <si>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</si>
  <si>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</si>
  <si>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</si>
  <si>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</si>
  <si>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</si>
  <si>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</si>
  <si>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OPART — Organismo de Produção Artística, E.P.E.</t>
  </si>
  <si>
    <t>Rádio e Televisão de Portugal, S.A.</t>
  </si>
  <si>
    <t>Teatro Nacional D. Maria II, E.P.E.</t>
  </si>
  <si>
    <t>Academia das Ciências de Lisboa</t>
  </si>
  <si>
    <t>Ação Governativa — Ministério da Ciência, Tecnologia e Ensino Superior (MCTES)</t>
  </si>
  <si>
    <t>Agência Espacial Portuguesa — Portugal SPACE</t>
  </si>
  <si>
    <t>Agência Nacional para a Gestão do Programa Erasmus + Educação e Formação</t>
  </si>
  <si>
    <t>AUP — Associação das Universidades Portuguesas</t>
  </si>
  <si>
    <t>Centro Científico e Cultural de Macau, I.P.</t>
  </si>
  <si>
    <t>CINTAL — Centro de Investigação Tecnológica do Algarve</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</si>
  <si>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</si>
  <si>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</si>
  <si>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</si>
  <si>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</si>
  <si>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</si>
  <si>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</si>
  <si>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</si>
  <si>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</si>
  <si>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</si>
  <si>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</si>
  <si>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</si>
  <si>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</si>
  <si>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</si>
  <si>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</si>
  <si>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</si>
  <si>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</si>
  <si>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</si>
  <si>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</si>
  <si>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</si>
  <si>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</si>
  <si>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</si>
  <si>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</si>
  <si>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</si>
  <si>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 — Fundação Pública</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</si>
  <si>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</si>
  <si>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</si>
  <si>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</si>
  <si>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</si>
  <si>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</si>
  <si>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</si>
  <si>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</si>
  <si>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</si>
  <si>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</si>
  <si>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</si>
  <si>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</si>
  <si>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</si>
  <si>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</si>
  <si>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</si>
  <si>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</si>
  <si>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</si>
  <si>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</si>
  <si>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</si>
  <si>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</si>
  <si>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</si>
  <si>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</si>
  <si>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</si>
  <si>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</si>
  <si>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</si>
  <si>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</si>
  <si>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</si>
  <si>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</si>
  <si>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</si>
  <si>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</si>
  <si>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</si>
  <si>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</si>
  <si>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</si>
  <si>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</si>
  <si>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</si>
  <si>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</si>
  <si>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</si>
  <si>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</si>
  <si>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</si>
  <si>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</si>
  <si>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</si>
  <si>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</si>
  <si>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</si>
  <si>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</si>
  <si>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</si>
  <si>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</si>
  <si>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</si>
  <si>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</si>
  <si>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</si>
  <si>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</si>
  <si>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</si>
  <si>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</si>
  <si>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</si>
  <si>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</si>
  <si>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</si>
  <si>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</si>
  <si>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</si>
  <si>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</si>
  <si>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</si>
  <si>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Ação Governativa — Ministério da Educação</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</si>
  <si>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</si>
  <si>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</si>
  <si>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</si>
  <si>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</si>
  <si>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</si>
  <si>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</si>
  <si>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</si>
  <si>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</si>
  <si>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Díli — CELP — Ruy Cinatti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</si>
  <si>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</si>
  <si>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</si>
  <si>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</si>
  <si>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</si>
  <si>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</si>
  <si>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</si>
  <si>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</si>
  <si>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</si>
  <si>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Ação Governativa — Ministério do Trabalho, Solidariedade e Segurança Social</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</si>
  <si>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</si>
  <si>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</si>
  <si>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</si>
  <si>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</si>
  <si>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</si>
  <si>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</si>
  <si>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</si>
  <si>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</si>
  <si>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</si>
  <si>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</si>
  <si>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</si>
  <si>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</si>
  <si>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</si>
  <si>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</si>
  <si>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</si>
  <si>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</si>
  <si>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</si>
  <si>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</si>
  <si>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</si>
  <si>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</si>
  <si>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</si>
  <si>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</si>
  <si>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</si>
  <si>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</si>
  <si>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</si>
  <si>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</si>
  <si>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</si>
  <si>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</si>
  <si>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</si>
  <si>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</si>
  <si>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</si>
  <si>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</si>
  <si>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</si>
  <si>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</si>
  <si>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</si>
  <si>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</si>
  <si>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</si>
  <si>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</si>
  <si>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</si>
  <si>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</si>
  <si>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Ação Governativa — Ministério da Saúde</t>
  </si>
  <si>
    <t>Administração Central do Sistema de Saúde, I.P.</t>
  </si>
  <si>
    <t>Direção Executiva do Serviço Nacional de Saúde</t>
  </si>
  <si>
    <t>Direção-Geral da Saúde</t>
  </si>
  <si>
    <t>EAS — Empresa Ambiente na Saúde, Tratamento de Resíduos Hospitalares Unipessoal, Lda.</t>
  </si>
  <si>
    <t>Entidade Reguladora da Saúde</t>
  </si>
  <si>
    <t>INFARMED — Autoridade Nacional do Medicamento e Produtos de Saúde, I.P.</t>
  </si>
  <si>
    <t>Inspeção-Geral das Atividades em Saúde</t>
  </si>
  <si>
    <t>Instituto Nacional de Emergência Médica, I.P.</t>
  </si>
  <si>
    <t>Instituto Nacional de Saúde Dr. Ricardo Jorge, I.P.</t>
  </si>
  <si>
    <t>Instituto Português de Oncologia — Coimbra, E.P.E.</t>
  </si>
  <si>
    <t>Instituto Português do Sangue e da Transplantação</t>
  </si>
  <si>
    <t>Secretaria-Geral do Ministério da Saúde</t>
  </si>
  <si>
    <t>Serviços Partilhados do Ministério da Saúde, E.P.E.</t>
  </si>
  <si>
    <t>SUCH — Serviço de Utilização Comum dos Hospitais</t>
  </si>
  <si>
    <t>Unidade Local de Saúde de Matosinhos, E.P.E.</t>
  </si>
  <si>
    <t>Ação Governativa — Ministério do Ambiente e da Ação Climática</t>
  </si>
  <si>
    <t>Agência para a Energia</t>
  </si>
  <si>
    <t>Agência Portuguesa do Ambiente, I.P.</t>
  </si>
  <si>
    <t>AVEIROPOLIS — Sociedade para o Desenvolvimento do Programa Polis em Aveiro, S.A.</t>
  </si>
  <si>
    <t>Conselho Nacional da Água</t>
  </si>
  <si>
    <t>Conselho Nacional do Ambiente e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</si>
  <si>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</si>
  <si>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</si>
  <si>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</si>
  <si>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</si>
  <si>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</si>
  <si>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</si>
  <si>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</si>
  <si>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</si>
  <si>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Marina do Parque das Nações — Sociedade Concessionária da Marina Parque das Nações, S.A.</t>
  </si>
  <si>
    <t>Metro do Porto Consultoria — Consultoria em Transportes Urbanos e Participações, Unipessoal, Lda.</t>
  </si>
  <si>
    <t>Metropolitano de Lisboa, E.P.E.</t>
  </si>
  <si>
    <t>Polis Litoral Norte, S.A.</t>
  </si>
  <si>
    <t>Polis Litoral Ria de Aveiro, S.A.</t>
  </si>
  <si>
    <t>Secretaria-Geral do Ministério do Ambiente e da Ação Climática</t>
  </si>
  <si>
    <t>Transtejo — Transportes Tejo, S.A.</t>
  </si>
  <si>
    <t>Vianapolis, Sociedade para o Desenvolvimento do Programa Polis em Viana do Castelo, S.A.</t>
  </si>
  <si>
    <t>Autoridade da Mobilidade e dos Transportes</t>
  </si>
  <si>
    <t>Autoridade Nacional da Aviação Civil</t>
  </si>
  <si>
    <t>Autoridade Nacional das Comunicações</t>
  </si>
  <si>
    <t>Comissão Nacional de Congressos da Estrada</t>
  </si>
  <si>
    <t>CP — Comboios de Portugal, E.P.E.</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</si>
  <si>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</si>
  <si>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</si>
  <si>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</si>
  <si>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</si>
  <si>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</si>
  <si>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Metro — Mondego, S.A.</t>
  </si>
  <si>
    <t>Ação Governativa — Ministério da Agricultura e Alimentação</t>
  </si>
  <si>
    <t>Direção-Geral da Agricultura e Desenvolvimento Rural</t>
  </si>
  <si>
    <t>Direção-Geral de Alimentação e Veterinária</t>
  </si>
  <si>
    <t>Direção-Geral de Recursos Naturais, Segurança e Serviços Marítimos</t>
  </si>
  <si>
    <t>EDIA — Empresa de Desenvolvimento e Infraestruturas do Alqueva, S.A.</t>
  </si>
  <si>
    <t>Fundo de Compensação Salarial dos Profissionais da Pesca</t>
  </si>
  <si>
    <t>Fundo Sanitário e de Segurança Alimentar Mais</t>
  </si>
  <si>
    <t>Gabinete de Planeamento e Políticas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</si>
  <si>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</si>
  <si>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</si>
  <si>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</si>
  <si>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</si>
  <si>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</si>
  <si>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</si>
  <si>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</si>
  <si>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Absoluta</t>
  </si>
  <si>
    <t>Por memória:</t>
  </si>
  <si>
    <t>Despesa primária sem medidas COVID-19 e Impacto Geopolítico</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</si>
  <si>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</si>
  <si>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</si>
  <si>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Subsetor e principais destaques</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</si>
  <si>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</si>
  <si>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</si>
  <si>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</si>
  <si>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</si>
  <si>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</si>
  <si>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</si>
  <si>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Instituto Português de Oncologia — Lisboa, E.P.E.</t>
  </si>
  <si>
    <t>Instituto Português de Oncologia — Porto,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</si>
  <si>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</si>
  <si>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</si>
  <si>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</si>
  <si>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</si>
  <si>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</si>
  <si>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</si>
  <si>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TREM — Aluguer de Material Circulante, A.C.E.</t>
  </si>
  <si>
    <t>TREM II — Aluguer de Material Circulante, A.C.E.</t>
  </si>
  <si>
    <t>Nortrem — Aluguer de Material Ferroviário, A.C.E.</t>
  </si>
  <si>
    <t>ANEXOS ESTATÍSTICOS</t>
  </si>
  <si>
    <t>2024</t>
  </si>
  <si>
    <t>Para as entidades identificadas considera-se na execução orçamental uma estimativa de execução para os meses em falta, a qual corresponde a um duodécimo do orçamento aprovado abatido dos cativos previstos na lei do OE2024 ( Lei n.º 82/2023 de 29 de dezembro).</t>
  </si>
  <si>
    <t>For the entities above identified it is being used an estimate for the months without report, which corresponds to one twelfth of the approved budget excluding frozen allocations stated in the State Buget Law for 2024 (Law nr. 82/2023 of December 29th).</t>
  </si>
  <si>
    <t>Agência para a Integração, Migrações e Asilo, I.P.</t>
  </si>
  <si>
    <t>Construção Pública, E.P.E.</t>
  </si>
  <si>
    <t>Fundo Nacional de Reabilitação do Edificado</t>
  </si>
  <si>
    <t>IHRU — Instituto da Habitação e da Reabilitação Urbana, I.P.</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</si>
  <si>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</si>
  <si>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</si>
  <si>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</si>
  <si>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</si>
  <si>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</si>
  <si>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</si>
  <si>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</si>
  <si>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</si>
  <si>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</si>
  <si>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</si>
  <si>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Aveiro, E.P.E.</t>
  </si>
  <si>
    <t>Unidade Local de Saúde de Leiria,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</si>
  <si>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</si>
  <si>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</si>
  <si>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</si>
  <si>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</si>
  <si>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</si>
  <si>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</si>
  <si>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</si>
  <si>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</si>
  <si>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</si>
  <si>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</si>
  <si>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</si>
  <si>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</si>
  <si>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</si>
  <si>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</si>
  <si>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</si>
  <si>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</si>
  <si>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</si>
  <si>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</si>
  <si>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</si>
  <si>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</si>
  <si>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</si>
  <si>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</si>
  <si>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</si>
  <si>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</si>
  <si>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</si>
  <si>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</si>
  <si>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Gabinetes dos Membros do Governo do Ministério das Infraestruturas</t>
  </si>
  <si>
    <t>Gabinetes dos Membros do Governo do Ministério da Habitação</t>
  </si>
  <si>
    <t xml:space="preserve">Instituto dos Mercados Públicos, do Imobiliário e da Construção, I.P.  </t>
  </si>
  <si>
    <t>Autoridade de Gestão do MAR 2030</t>
  </si>
  <si>
    <t>Conselho para a Ação Climática</t>
  </si>
  <si>
    <t>INSTITUTO NACIONAL DE ENGENHARIA BIOMÉDICA</t>
  </si>
  <si>
    <t>With the entry into force, in 2024, of the new organizational model of the National Health Service (Decree-Law no. 102/2023, of 7 November), encompassing local health units, with the nature of public business entities, there is a increasing impact in the year 2024, due to the fact that, in the same period last year, the predecessor entities did not have this same nature. In 2023, the execution of the Dr. Gama Pinto Ophthalmological Institute, the Central Region Rehabilitation Medical Center - Rovisco Pais, the Arcebispo João do Crisóstomo Hospital - Cantanhede, the Dr. Francisco Zagalo Hospital - Ovar and the Lisbon Psychiatric Hospital Center are not included.</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</si>
  <si>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</si>
  <si>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</si>
  <si>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</si>
  <si>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</si>
  <si>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</si>
  <si>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</si>
  <si>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</si>
  <si>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</si>
  <si>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</si>
  <si>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</si>
  <si>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</si>
  <si>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</si>
  <si>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r>
      <t xml:space="preserve">Soflusa — Sociedade Fluvial de Transportes, S.A. </t>
    </r>
    <r>
      <rPr>
        <b/>
        <sz val="8"/>
        <color theme="1"/>
        <rFont val="Calibri"/>
        <family val="2"/>
        <scheme val="minor"/>
      </rPr>
      <t>a)</t>
    </r>
  </si>
  <si>
    <t>Com a entrada em vigor, em 2024, do novo modelo organizativo do Serviço Nacional de Saúde (Decreto-Lei n.º 102/2023, de 7 de novembro), englobando unidades locais de saúde, com natureza de entidades públicas empresariais, releva um impacto crescente no ano de 2024, em virtude de, no período homólogo, as entidades antecessoras não terem esta mesma natureza. Em 2023 não está incluida a execução do Instituto Oftalmológico Dr. Gama Pinto, Centro Médico de Reabilitação da Região Centro - Rovisco Pais, Hospital Arcebispo João do Crisóstomo - Cantanhede, Hospital Dr. Francisco Zagalo - Ovar e Centro Hospitalar Psiquiátrico de Lisboa.</t>
  </si>
  <si>
    <t>Contributo VHA (pp)</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</si>
  <si>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</si>
  <si>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</si>
  <si>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</si>
  <si>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</si>
  <si>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</si>
  <si>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</si>
  <si>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</si>
  <si>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</si>
  <si>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g) Serviço de Intervenção nos Comportamentos Aditivos e nas Dependências – Extinção pelo Decreto-Lei n.º 89/2023, de 11 de outubro.</t>
  </si>
  <si>
    <t>e) Direção Regional de Agricultura e Pescas do Alentejo – Integração na Comissão de Coordenação e Desenvolvimento Regional do Alentejo, no âmbito do Decreto-Lei n.º 36/2023, de 26 de maio.</t>
  </si>
  <si>
    <t>Instituições de Ensino Superior</t>
  </si>
  <si>
    <t>PO01 — Órgãos de Soberania</t>
  </si>
  <si>
    <t>Procuradoria-Geral da República</t>
  </si>
  <si>
    <t>PO02 — Governação</t>
  </si>
  <si>
    <t>PO03 — Representação Externa</t>
  </si>
  <si>
    <t>PO04 — Defesa</t>
  </si>
  <si>
    <t>Direção-Geral de Política de Defesa Nacional</t>
  </si>
  <si>
    <t>PO05 — Segurança Interna</t>
  </si>
  <si>
    <t>PO06 — Justiça</t>
  </si>
  <si>
    <t>Tribunal Central Administrativo - Centro</t>
  </si>
  <si>
    <t>Tribunal Central Administrativo - Norte</t>
  </si>
  <si>
    <t>Tribunal Central Administrativo - Sul</t>
  </si>
  <si>
    <t>PO07 — Finanças</t>
  </si>
  <si>
    <t>PO08 — Gestão da Dívida Pública</t>
  </si>
  <si>
    <t>PO09 — Economia</t>
  </si>
  <si>
    <t>Autoridade da Concorrência, I.P</t>
  </si>
  <si>
    <t>Gestão Administrativa e Financeira do Ministério da Economia e do Mar</t>
  </si>
  <si>
    <t>PO10 — Cultura</t>
  </si>
  <si>
    <t>PO11 — Ciência e Inovação</t>
  </si>
  <si>
    <t>I3S — Instituto de Investigação e Inovação em Saúde da Universidade do Porto</t>
  </si>
  <si>
    <t>Universidade de Lisboa — Reitoria</t>
  </si>
  <si>
    <t>PO12 — Educação</t>
  </si>
  <si>
    <t>PO13 — Trabalho, Solidariedade e Segurança Social</t>
  </si>
  <si>
    <t>PO14 — Saúde</t>
  </si>
  <si>
    <t>Unidade Local de Saúde do Tâmega e Sousa, E.P.E.</t>
  </si>
  <si>
    <t>PO15 — Ambiente e Energia</t>
  </si>
  <si>
    <t>PO16 — Infraestruturas e Habitação</t>
  </si>
  <si>
    <t>PO18 — Agricultura e Pescas</t>
  </si>
  <si>
    <t>Agência para a Gestão Integrada de Fogos Rurais, I.P.</t>
  </si>
  <si>
    <t xml:space="preserve">Estrutura de Missão para a Gestão do Plano Estratégico da Política Agrícola Comum de Portugal no Continente  </t>
  </si>
  <si>
    <r>
      <t xml:space="preserve">SIRESP —Gestão de Redes Digitais de Segurança e Emergência, S.A. </t>
    </r>
    <r>
      <rPr>
        <b/>
        <sz val="8"/>
        <color rgb="FF000000"/>
        <rFont val="Calibri"/>
        <family val="2"/>
        <scheme val="minor"/>
      </rPr>
      <t>c)</t>
    </r>
  </si>
  <si>
    <r>
      <t xml:space="preserve">Administração Regional de Saúde de Lisboa e Vale do Tejo, I.P. </t>
    </r>
    <r>
      <rPr>
        <b/>
        <sz val="8"/>
        <color rgb="FF000000"/>
        <rFont val="Calibri"/>
        <family val="2"/>
        <scheme val="minor"/>
      </rPr>
      <t>d)</t>
    </r>
  </si>
  <si>
    <r>
      <t xml:space="preserve">Administração Regional de Saúde do Alentejo, I.P. </t>
    </r>
    <r>
      <rPr>
        <b/>
        <sz val="8"/>
        <color rgb="FF000000"/>
        <rFont val="Calibri"/>
        <family val="2"/>
        <scheme val="minor"/>
      </rPr>
      <t>d)</t>
    </r>
  </si>
  <si>
    <r>
      <t xml:space="preserve">Administração Regional de Saúde do Algarve, I.P. </t>
    </r>
    <r>
      <rPr>
        <b/>
        <sz val="8"/>
        <color rgb="FF000000"/>
        <rFont val="Calibri"/>
        <family val="2"/>
        <scheme val="minor"/>
      </rPr>
      <t>d)</t>
    </r>
  </si>
  <si>
    <r>
      <t xml:space="preserve">Administração Regional de Saúde do Centro, I.P. </t>
    </r>
    <r>
      <rPr>
        <b/>
        <sz val="8"/>
        <color rgb="FF000000"/>
        <rFont val="Calibri"/>
        <family val="2"/>
        <scheme val="minor"/>
      </rPr>
      <t>d)</t>
    </r>
  </si>
  <si>
    <r>
      <t xml:space="preserve">Administração Regional de Saúde do Norte, I.P. </t>
    </r>
    <r>
      <rPr>
        <b/>
        <sz val="8"/>
        <color rgb="FF000000"/>
        <rFont val="Calibri"/>
        <family val="2"/>
        <scheme val="minor"/>
      </rPr>
      <t>d)</t>
    </r>
  </si>
  <si>
    <r>
      <t xml:space="preserve">Instituto para os Comportamentos Aditivos e as Dependências, I.P. </t>
    </r>
    <r>
      <rPr>
        <b/>
        <sz val="8"/>
        <color rgb="FF000000"/>
        <rFont val="Calibri"/>
        <family val="2"/>
        <scheme val="minor"/>
      </rPr>
      <t>b)</t>
    </r>
  </si>
  <si>
    <r>
      <t xml:space="preserve">Direção Regional de Agricultura e Pescas do Alentejo </t>
    </r>
    <r>
      <rPr>
        <b/>
        <sz val="8"/>
        <color rgb="FF000000"/>
        <rFont val="Calibri"/>
        <family val="2"/>
        <scheme val="minor"/>
      </rPr>
      <t>e)</t>
    </r>
  </si>
  <si>
    <r>
      <t xml:space="preserve">Direção Regional de Agricultura e Pescas do Algarve </t>
    </r>
    <r>
      <rPr>
        <b/>
        <sz val="8"/>
        <color rgb="FF000000"/>
        <rFont val="Calibri"/>
        <family val="2"/>
        <scheme val="minor"/>
      </rPr>
      <t>f)</t>
    </r>
  </si>
  <si>
    <t>f) Direção Regional de Agricultura e Pescas do Algarve – Integração na Comissão de Coordenação e Desenvolvimento Regional do Algarve, no âmbito do Decreto-Lei n.º 36/2023, de 26 de maio.</t>
  </si>
  <si>
    <t>CENTRO HOSPITALAR UNIVERSITÁRIO DE SANTO ANTÓNIO, E.P.E a)</t>
  </si>
  <si>
    <t>Estrutura de Missão Recuperar Portugal</t>
  </si>
  <si>
    <t>Estrutura de Missão Jornadas Mundiais da Juventude</t>
  </si>
  <si>
    <r>
      <t xml:space="preserve">Direção Regional de Agricultura e Pescas do Norte </t>
    </r>
    <r>
      <rPr>
        <b/>
        <sz val="8"/>
        <color rgb="FF000000"/>
        <rFont val="Calibri"/>
        <family val="2"/>
        <scheme val="minor"/>
      </rPr>
      <t>h)</t>
    </r>
  </si>
  <si>
    <r>
      <t xml:space="preserve">Direção Regional de Agricultura e Pescas do Centro </t>
    </r>
    <r>
      <rPr>
        <b/>
        <sz val="8"/>
        <color rgb="FF000000"/>
        <rFont val="Calibri"/>
        <family val="2"/>
        <scheme val="minor"/>
      </rPr>
      <t>h)</t>
    </r>
  </si>
  <si>
    <r>
      <t xml:space="preserve">Direção Regional de Agricultura e Pescas de Lisboa e Vale do Tejo </t>
    </r>
    <r>
      <rPr>
        <b/>
        <sz val="8"/>
        <color rgb="FF000000"/>
        <rFont val="Calibri"/>
        <family val="2"/>
        <scheme val="minor"/>
      </rPr>
      <t>h)</t>
    </r>
  </si>
  <si>
    <t xml:space="preserve">h) Direção Regional de Agricultura e Pescas e Lisboa e Vale do Tejo, Direção Regional de Agricultura e Pescas do Centro e Direção Regional de Agricultura e Pescas do Norte – Integração na Comissão de Coordenação e Desenvolvimento Regional de Liboa e Vale do Tejo, Comissão de Coordenação e Desenvolvimento Regional do Centro e Comissão de Coordenação e Desenvolvimento Regional do Norte, respetivamente, no âmbito do Decreto-Lei n.º 36/2023, de 26 de maio. </t>
  </si>
  <si>
    <t>A presente listagem, apresenta as entidades da Administração Central que integram o XXIV Governo Constitucional, aprovado no Decreto-Lei n.º 32/2024, de 10 de maio, para o Orçamento do Estado para 2024.</t>
  </si>
  <si>
    <t>FUNDAÇÃO PARA O DESENVOLVIMENTO CIÊNCIAS ECONÓMICAS FINANCEIRAS E EMPRESARIAIS</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</si>
  <si>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</si>
  <si>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</si>
  <si>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Source: Compiled by DGO on data collected by DGO, ACSS, DGAL, DGTF,  Azores Autonomous Region Budget and Treasury Regional Directorate and Madeira Autonomous Region Budget and Treasury Regional Directorate.</t>
  </si>
  <si>
    <r>
      <t xml:space="preserve">Serviço de Intervenção nos Comportamentos Aditivos e nas Dependências </t>
    </r>
    <r>
      <rPr>
        <b/>
        <sz val="8"/>
        <color theme="1"/>
        <rFont val="Calibri"/>
        <family val="2"/>
        <scheme val="minor"/>
      </rPr>
      <t>g)</t>
    </r>
  </si>
  <si>
    <t>Número</t>
  </si>
  <si>
    <t>Instituto da Habitação e da Reabilitação Urbana, I.P.</t>
  </si>
  <si>
    <t>ESTADO-MAIOR-GENERAL DAS FORÇAS ARMADAS b)</t>
  </si>
  <si>
    <t>Associação Metropolitana de Operadores de Transporte de Lisboa; Banif, S.A.; Fundação para o Desenvolvimento das Ciências Económicas, Financeiras e Empresariais; Fundo Revita; Instituto Nacional de Engenharia Biomédica.</t>
  </si>
  <si>
    <t>Associação Metropolitana de Operadores de Transporte de Lisboa; Banif, S.A.; Fundação para o Desenvolvimento das Ciências Económicas, Financeiras e Empresariais; Instituto Nacional de Engenharia Biomédica.</t>
  </si>
  <si>
    <t>IAPMEI - Agência para a Competitividade e Inovação, I.P.</t>
  </si>
  <si>
    <t>FUNDO REVITA</t>
  </si>
  <si>
    <t>ASSOCIAÇÃO METROPOLITANA DE OPERADORES DE TRANSPORTE DE LISBOA</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</si>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</sst>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05">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10"/>
      <name val="Calibri"/>
      <family val="2"/>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10"/>
      <color theme="0"/>
      <name val="Calibri"/>
      <family val="2"/>
    </font>
    <font>
      <sz val="8"/>
      <color rgb="FF000000"/>
      <name val="Calibri"/>
      <family val="2"/>
    </font>
    <font>
      <b/>
      <sz val="9"/>
      <color rgb="FF00527E"/>
      <name val="Calibri"/>
      <family val="2"/>
      <scheme val="minor"/>
    </font>
    <font>
      <b/>
      <sz val="8"/>
      <color theme="1"/>
      <name val="Calibri"/>
      <family val="2"/>
      <scheme val="minor"/>
    </font>
    <font>
      <sz val="10"/>
      <color theme="0" tint="-0.499984740745262"/>
      <name val="Calibri"/>
      <family val="2"/>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s>
  <fills count="1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FF"/>
        <bgColor indexed="64"/>
      </patternFill>
    </fill>
  </fills>
  <borders count="113">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style="thin">
        <color rgb="FFCCCCCC"/>
      </left>
      <right style="thin">
        <color rgb="FFCCCCCC"/>
      </right>
      <top/>
      <bottom style="thin">
        <color indexed="64"/>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s>
  <cellStyleXfs count="9845">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6"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77" fillId="5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6"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5"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6"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6"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6"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6"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6"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8"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8"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9" fillId="22" borderId="0" applyNumberFormat="0" applyBorder="0" applyAlignment="0" applyProtection="0"/>
    <xf numFmtId="0" fontId="18" fillId="17" borderId="0" applyNumberFormat="0" applyBorder="0" applyAlignment="0" applyProtection="0"/>
    <xf numFmtId="0" fontId="19"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9" fillId="26" borderId="0" applyNumberFormat="0" applyBorder="0" applyAlignment="0" applyProtection="0"/>
    <xf numFmtId="0" fontId="18" fillId="27" borderId="0" applyNumberFormat="0" applyBorder="0" applyAlignment="0" applyProtection="0"/>
    <xf numFmtId="0" fontId="19" fillId="26"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9" fillId="25" borderId="0" applyNumberFormat="0" applyBorder="0" applyAlignment="0" applyProtection="0"/>
    <xf numFmtId="0" fontId="18" fillId="29" borderId="0" applyNumberFormat="0" applyBorder="0" applyAlignment="0" applyProtection="0"/>
    <xf numFmtId="0" fontId="19" fillId="20"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9" fillId="25" borderId="0" applyNumberFormat="0" applyBorder="0" applyAlignment="0" applyProtection="0"/>
    <xf numFmtId="0" fontId="18" fillId="30" borderId="0" applyNumberFormat="0" applyBorder="0" applyAlignment="0" applyProtection="0"/>
    <xf numFmtId="0" fontId="19" fillId="31" borderId="0" applyNumberFormat="0" applyBorder="0" applyAlignment="0" applyProtection="0"/>
    <xf numFmtId="0" fontId="17" fillId="32" borderId="0" applyNumberFormat="0" applyBorder="0" applyAlignment="0" applyProtection="0"/>
    <xf numFmtId="0" fontId="17" fillId="21" borderId="0" applyNumberFormat="0" applyBorder="0" applyAlignment="0" applyProtection="0"/>
    <xf numFmtId="0" fontId="19" fillId="22" borderId="0" applyNumberFormat="0" applyBorder="0" applyAlignment="0" applyProtection="0"/>
    <xf numFmtId="0" fontId="18" fillId="17" borderId="0" applyNumberFormat="0" applyBorder="0" applyAlignment="0" applyProtection="0"/>
    <xf numFmtId="0" fontId="19" fillId="33" borderId="0" applyNumberFormat="0" applyBorder="0" applyAlignment="0" applyProtection="0"/>
    <xf numFmtId="0" fontId="17" fillId="24" borderId="0" applyNumberFormat="0" applyBorder="0" applyAlignment="0" applyProtection="0"/>
    <xf numFmtId="0" fontId="17" fillId="34" borderId="0" applyNumberFormat="0" applyBorder="0" applyAlignment="0" applyProtection="0"/>
    <xf numFmtId="0" fontId="19" fillId="34" borderId="0" applyNumberFormat="0" applyBorder="0" applyAlignment="0" applyProtection="0"/>
    <xf numFmtId="0" fontId="18" fillId="35" borderId="0" applyNumberFormat="0" applyBorder="0" applyAlignment="0" applyProtection="0"/>
    <xf numFmtId="181" fontId="20" fillId="0" borderId="1">
      <alignment horizontal="center" vertical="center"/>
    </xf>
    <xf numFmtId="0" fontId="21" fillId="36" borderId="0" applyNumberFormat="0" applyBorder="0" applyAlignment="0" applyProtection="0"/>
    <xf numFmtId="0" fontId="78" fillId="0" borderId="24" applyNumberFormat="0" applyFill="0" applyAlignment="0" applyProtection="0"/>
    <xf numFmtId="180" fontId="78" fillId="0" borderId="24" applyNumberFormat="0" applyFill="0" applyAlignment="0" applyProtection="0"/>
    <xf numFmtId="180" fontId="78" fillId="0" borderId="24" applyNumberFormat="0" applyFill="0" applyAlignment="0" applyProtection="0"/>
    <xf numFmtId="0" fontId="22" fillId="0" borderId="0" applyNumberFormat="0" applyFill="0" applyBorder="0" applyAlignment="0" applyProtection="0"/>
    <xf numFmtId="0" fontId="23" fillId="0" borderId="2" applyNumberFormat="0" applyFill="0" applyAlignment="0" applyProtection="0"/>
    <xf numFmtId="0" fontId="23" fillId="0" borderId="2"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180" fontId="24" fillId="0" borderId="3" applyNumberFormat="0" applyFill="0" applyAlignment="0" applyProtection="0"/>
    <xf numFmtId="0" fontId="25" fillId="0" borderId="2" applyNumberFormat="0" applyFill="0" applyAlignment="0" applyProtection="0"/>
    <xf numFmtId="0" fontId="25" fillId="0" borderId="2" applyNumberFormat="0" applyFill="0" applyAlignment="0" applyProtection="0"/>
    <xf numFmtId="0" fontId="78" fillId="0" borderId="24" applyNumberFormat="0" applyFill="0" applyAlignment="0" applyProtection="0"/>
    <xf numFmtId="180" fontId="78" fillId="0" borderId="24" applyNumberFormat="0" applyFill="0" applyAlignment="0" applyProtection="0"/>
    <xf numFmtId="180" fontId="78" fillId="0" borderId="24" applyNumberFormat="0" applyFill="0" applyAlignment="0" applyProtection="0"/>
    <xf numFmtId="180" fontId="78" fillId="0" borderId="24" applyNumberFormat="0" applyFill="0" applyAlignment="0" applyProtection="0"/>
    <xf numFmtId="180" fontId="78" fillId="0" borderId="24" applyNumberFormat="0" applyFill="0" applyAlignment="0" applyProtection="0"/>
    <xf numFmtId="180" fontId="79" fillId="0" borderId="25" applyNumberFormat="0" applyFill="0" applyAlignment="0" applyProtection="0"/>
    <xf numFmtId="180" fontId="79" fillId="0" borderId="25" applyNumberFormat="0" applyFill="0" applyAlignment="0" applyProtection="0"/>
    <xf numFmtId="0" fontId="26" fillId="0" borderId="4"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180" fontId="27" fillId="0" borderId="5"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180" fontId="79" fillId="0" borderId="25" applyNumberFormat="0" applyFill="0" applyAlignment="0" applyProtection="0"/>
    <xf numFmtId="180" fontId="79" fillId="0" borderId="25" applyNumberFormat="0" applyFill="0" applyAlignment="0" applyProtection="0"/>
    <xf numFmtId="180" fontId="79" fillId="0" borderId="25" applyNumberFormat="0" applyFill="0" applyAlignment="0" applyProtection="0"/>
    <xf numFmtId="180" fontId="79" fillId="0" borderId="25" applyNumberFormat="0" applyFill="0" applyAlignment="0" applyProtection="0"/>
    <xf numFmtId="180" fontId="79" fillId="0" borderId="25" applyNumberFormat="0" applyFill="0" applyAlignment="0" applyProtection="0"/>
    <xf numFmtId="180" fontId="80" fillId="0" borderId="26" applyNumberFormat="0" applyFill="0" applyAlignment="0" applyProtection="0"/>
    <xf numFmtId="180" fontId="80" fillId="0" borderId="26" applyNumberFormat="0" applyFill="0" applyAlignment="0" applyProtection="0"/>
    <xf numFmtId="0" fontId="29" fillId="0" borderId="6"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180" fontId="30" fillId="0" borderId="7"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180" fontId="80" fillId="0" borderId="26" applyNumberFormat="0" applyFill="0" applyAlignment="0" applyProtection="0"/>
    <xf numFmtId="180" fontId="80" fillId="0" borderId="26" applyNumberFormat="0" applyFill="0" applyAlignment="0" applyProtection="0"/>
    <xf numFmtId="180" fontId="80" fillId="0" borderId="26" applyNumberFormat="0" applyFill="0" applyAlignment="0" applyProtection="0"/>
    <xf numFmtId="180" fontId="80" fillId="0" borderId="26" applyNumberFormat="0" applyFill="0" applyAlignment="0" applyProtection="0"/>
    <xf numFmtId="180" fontId="80" fillId="0" borderId="26" applyNumberFormat="0" applyFill="0" applyAlignment="0" applyProtection="0"/>
    <xf numFmtId="180" fontId="80" fillId="0" borderId="0" applyNumberFormat="0" applyFill="0" applyBorder="0" applyAlignment="0" applyProtection="0"/>
    <xf numFmtId="180" fontId="80" fillId="0" borderId="0" applyNumberFormat="0" applyFill="0" applyBorder="0" applyAlignment="0" applyProtection="0"/>
    <xf numFmtId="0" fontId="29"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18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80" fontId="80" fillId="0" borderId="0" applyNumberFormat="0" applyFill="0" applyBorder="0" applyAlignment="0" applyProtection="0"/>
    <xf numFmtId="180" fontId="80" fillId="0" borderId="0" applyNumberFormat="0" applyFill="0" applyBorder="0" applyAlignment="0" applyProtection="0"/>
    <xf numFmtId="180" fontId="80" fillId="0" borderId="0" applyNumberFormat="0" applyFill="0" applyBorder="0" applyAlignment="0" applyProtection="0"/>
    <xf numFmtId="180" fontId="80" fillId="0" borderId="0" applyNumberFormat="0" applyFill="0" applyBorder="0" applyAlignment="0" applyProtection="0"/>
    <xf numFmtId="180" fontId="80" fillId="0" borderId="0" applyNumberFormat="0" applyFill="0" applyBorder="0" applyAlignment="0" applyProtection="0"/>
    <xf numFmtId="165" fontId="81"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2" fillId="41" borderId="9" applyNumberFormat="0" applyAlignment="0" applyProtection="0"/>
    <xf numFmtId="0" fontId="32" fillId="41" borderId="9" applyNumberFormat="0" applyAlignment="0" applyProtection="0"/>
    <xf numFmtId="0" fontId="82" fillId="55" borderId="28" applyNumberFormat="0" applyAlignment="0" applyProtection="0"/>
    <xf numFmtId="0" fontId="33" fillId="13" borderId="9" applyNumberFormat="0" applyAlignment="0" applyProtection="0"/>
    <xf numFmtId="0" fontId="33" fillId="13" borderId="9" applyNumberFormat="0" applyAlignment="0" applyProtection="0"/>
    <xf numFmtId="180" fontId="83" fillId="0" borderId="29" applyNumberFormat="0" applyFill="0" applyAlignment="0" applyProtection="0"/>
    <xf numFmtId="180" fontId="83" fillId="0" borderId="29" applyNumberFormat="0" applyFill="0" applyAlignment="0" applyProtection="0"/>
    <xf numFmtId="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180" fontId="34"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180" fontId="83" fillId="0" borderId="29" applyNumberFormat="0" applyFill="0" applyAlignment="0" applyProtection="0"/>
    <xf numFmtId="180" fontId="83" fillId="0" borderId="29" applyNumberFormat="0" applyFill="0" applyAlignment="0" applyProtection="0"/>
    <xf numFmtId="180" fontId="83" fillId="0" borderId="29" applyNumberFormat="0" applyFill="0" applyAlignment="0" applyProtection="0"/>
    <xf numFmtId="180" fontId="83" fillId="0" borderId="29" applyNumberFormat="0" applyFill="0" applyAlignment="0" applyProtection="0"/>
    <xf numFmtId="180" fontId="83" fillId="0" borderId="29" applyNumberFormat="0" applyFill="0" applyAlignment="0" applyProtection="0"/>
    <xf numFmtId="0" fontId="36" fillId="26" borderId="11" applyNumberFormat="0" applyAlignment="0" applyProtection="0"/>
    <xf numFmtId="165" fontId="37"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7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3" fontId="1" fillId="0" borderId="0" applyFill="0" applyBorder="0" applyAlignment="0" applyProtection="0"/>
    <xf numFmtId="0" fontId="18"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8"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8"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8"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180" fontId="84" fillId="56" borderId="0" applyNumberFormat="0" applyBorder="0" applyAlignment="0" applyProtection="0"/>
    <xf numFmtId="180" fontId="84" fillId="56" borderId="0" applyNumberFormat="0" applyBorder="0" applyAlignment="0" applyProtection="0"/>
    <xf numFmtId="0" fontId="85" fillId="56"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180" fontId="38"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180" fontId="84" fillId="56" borderId="0" applyNumberFormat="0" applyBorder="0" applyAlignment="0" applyProtection="0"/>
    <xf numFmtId="180" fontId="84" fillId="56" borderId="0" applyNumberFormat="0" applyBorder="0" applyAlignment="0" applyProtection="0"/>
    <xf numFmtId="180" fontId="84" fillId="56" borderId="0" applyNumberFormat="0" applyBorder="0" applyAlignment="0" applyProtection="0"/>
    <xf numFmtId="180" fontId="84" fillId="56" borderId="0" applyNumberFormat="0" applyBorder="0" applyAlignment="0" applyProtection="0"/>
    <xf numFmtId="180" fontId="84" fillId="56" borderId="0" applyNumberFormat="0" applyBorder="0" applyAlignment="0" applyProtection="0"/>
    <xf numFmtId="0" fontId="84" fillId="56" borderId="0" applyNumberFormat="0" applyBorder="0" applyAlignment="0" applyProtection="0"/>
    <xf numFmtId="190" fontId="37" fillId="0" borderId="0" applyFill="0" applyBorder="0" applyAlignment="0" applyProtection="0"/>
    <xf numFmtId="184" fontId="1" fillId="0" borderId="0" applyFont="0" applyFill="0" applyBorder="0" applyAlignment="0"/>
    <xf numFmtId="191" fontId="76" fillId="0" borderId="0" applyFont="0" applyFill="0" applyBorder="0" applyAlignment="0" applyProtection="0"/>
    <xf numFmtId="191" fontId="76" fillId="0" borderId="0" applyFont="0" applyFill="0" applyBorder="0" applyAlignment="0" applyProtection="0"/>
    <xf numFmtId="191" fontId="76" fillId="0" borderId="0" applyFont="0" applyFill="0" applyBorder="0" applyAlignment="0" applyProtection="0"/>
    <xf numFmtId="191" fontId="76" fillId="0" borderId="0" applyFont="0" applyFill="0" applyBorder="0" applyAlignment="0" applyProtection="0"/>
    <xf numFmtId="191" fontId="76" fillId="0" borderId="0" applyFont="0" applyFill="0" applyBorder="0" applyAlignment="0" applyProtection="0"/>
    <xf numFmtId="191" fontId="76" fillId="0" borderId="0" applyFont="0" applyFill="0" applyBorder="0" applyAlignment="0" applyProtection="0"/>
    <xf numFmtId="191" fontId="76" fillId="0" borderId="0" applyFont="0" applyFill="0" applyBorder="0" applyAlignment="0" applyProtection="0"/>
    <xf numFmtId="191" fontId="76" fillId="0" borderId="0" applyFont="0" applyFill="0" applyBorder="0" applyAlignment="0" applyProtection="0"/>
    <xf numFmtId="192" fontId="1" fillId="0" borderId="0" applyFill="0" applyBorder="0" applyAlignment="0" applyProtection="0"/>
    <xf numFmtId="193" fontId="37" fillId="0" borderId="0" applyFill="0" applyBorder="0" applyAlignment="0" applyProtection="0"/>
    <xf numFmtId="17" fontId="40" fillId="0" borderId="0" applyFill="0" applyBorder="0">
      <alignment horizontal="right"/>
    </xf>
    <xf numFmtId="181" fontId="41" fillId="0" borderId="12" applyBorder="0">
      <alignment vertical="center"/>
    </xf>
    <xf numFmtId="0" fontId="42"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180" fontId="86" fillId="57" borderId="28" applyNumberFormat="0" applyAlignment="0" applyProtection="0"/>
    <xf numFmtId="180" fontId="86" fillId="57" borderId="28" applyNumberFormat="0" applyAlignment="0" applyProtection="0"/>
    <xf numFmtId="0" fontId="87" fillId="57" borderId="28"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180" fontId="43" fillId="14" borderId="9" applyNumberFormat="0" applyAlignment="0" applyProtection="0"/>
    <xf numFmtId="0" fontId="44" fillId="7" borderId="9" applyNumberFormat="0" applyAlignment="0" applyProtection="0"/>
    <xf numFmtId="0" fontId="44" fillId="7" borderId="9" applyNumberFormat="0" applyAlignment="0" applyProtection="0"/>
    <xf numFmtId="180" fontId="86" fillId="57" borderId="28" applyNumberFormat="0" applyAlignment="0" applyProtection="0"/>
    <xf numFmtId="180" fontId="86" fillId="57" borderId="28" applyNumberFormat="0" applyAlignment="0" applyProtection="0"/>
    <xf numFmtId="180" fontId="86" fillId="57" borderId="28" applyNumberFormat="0" applyAlignment="0" applyProtection="0"/>
    <xf numFmtId="180" fontId="86" fillId="57" borderId="28" applyNumberFormat="0" applyAlignment="0" applyProtection="0"/>
    <xf numFmtId="180" fontId="86"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5" fillId="47" borderId="13" applyNumberFormat="0"/>
    <xf numFmtId="0" fontId="46" fillId="0" borderId="0" applyNumberFormat="0" applyFill="0" applyBorder="0" applyAlignment="0" applyProtection="0"/>
    <xf numFmtId="181" fontId="7" fillId="40" borderId="14" applyNumberFormat="0">
      <alignment vertical="center"/>
    </xf>
    <xf numFmtId="2" fontId="37" fillId="0" borderId="0" applyFill="0" applyBorder="0" applyAlignment="0" applyProtection="0"/>
    <xf numFmtId="0" fontId="38" fillId="4" borderId="0" applyNumberFormat="0" applyBorder="0" applyAlignment="0" applyProtection="0"/>
    <xf numFmtId="38" fontId="2" fillId="40" borderId="0" applyNumberFormat="0" applyFont="0" applyBorder="0" applyAlignment="0">
      <protection hidden="1"/>
    </xf>
    <xf numFmtId="181" fontId="47" fillId="40" borderId="15" applyNumberFormat="0">
      <alignment vertical="center"/>
    </xf>
    <xf numFmtId="0" fontId="26" fillId="0" borderId="4"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8" fillId="0" borderId="0" applyNumberFormat="0" applyFill="0" applyBorder="0" applyAlignment="0" applyProtection="0"/>
    <xf numFmtId="0" fontId="90" fillId="0" borderId="0" applyNumberFormat="0" applyFill="0" applyBorder="0" applyAlignment="0" applyProtection="0"/>
    <xf numFmtId="0" fontId="50"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43" fillId="7" borderId="9" applyNumberFormat="0" applyAlignment="0" applyProtection="0"/>
    <xf numFmtId="182" fontId="52" fillId="48" borderId="16" applyNumberFormat="0">
      <alignment vertical="center"/>
    </xf>
    <xf numFmtId="0" fontId="43"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4"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2" fillId="37" borderId="17" applyNumberFormat="0">
      <alignment vertical="center"/>
      <protection locked="0"/>
    </xf>
    <xf numFmtId="181" fontId="53" fillId="0" borderId="0" applyNumberFormat="0" applyBorder="0">
      <alignment horizontal="left" vertical="top"/>
    </xf>
    <xf numFmtId="0" fontId="54" fillId="49" borderId="0" applyNumberFormat="0" applyBorder="0" applyAlignment="0" applyProtection="0"/>
    <xf numFmtId="0" fontId="91" fillId="58"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203" fontId="55"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6" fillId="0" borderId="0"/>
    <xf numFmtId="174" fontId="1" fillId="0" borderId="0"/>
    <xf numFmtId="180" fontId="1" fillId="0" borderId="0"/>
    <xf numFmtId="0" fontId="76" fillId="0" borderId="0"/>
    <xf numFmtId="0" fontId="76" fillId="0" borderId="0"/>
    <xf numFmtId="0" fontId="1" fillId="0" borderId="0"/>
    <xf numFmtId="0" fontId="76"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7" fillId="0" borderId="0"/>
    <xf numFmtId="0" fontId="1" fillId="0" borderId="0"/>
    <xf numFmtId="1" fontId="56"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3" fillId="0" borderId="0"/>
    <xf numFmtId="0" fontId="3"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3" fillId="0" borderId="0"/>
    <xf numFmtId="0" fontId="3" fillId="0" borderId="0"/>
    <xf numFmtId="0" fontId="3" fillId="0" borderId="0"/>
    <xf numFmtId="0" fontId="1" fillId="0" borderId="0"/>
    <xf numFmtId="0" fontId="1" fillId="0" borderId="0"/>
    <xf numFmtId="0" fontId="76" fillId="0" borderId="0"/>
    <xf numFmtId="203" fontId="57" fillId="0" borderId="0"/>
    <xf numFmtId="203" fontId="57" fillId="0" borderId="0"/>
    <xf numFmtId="203" fontId="57" fillId="0" borderId="0"/>
    <xf numFmtId="0" fontId="76" fillId="0" borderId="0"/>
    <xf numFmtId="0" fontId="76"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7" fillId="0" borderId="0"/>
    <xf numFmtId="0" fontId="1" fillId="0" borderId="0"/>
    <xf numFmtId="0" fontId="1" fillId="0" borderId="0"/>
    <xf numFmtId="0" fontId="1" fillId="0" borderId="0"/>
    <xf numFmtId="0" fontId="1" fillId="0" borderId="0"/>
    <xf numFmtId="0" fontId="3" fillId="0" borderId="0"/>
    <xf numFmtId="0" fontId="76" fillId="0" borderId="0"/>
    <xf numFmtId="0" fontId="16" fillId="0" borderId="0"/>
    <xf numFmtId="0" fontId="58"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76" fillId="0" borderId="0"/>
    <xf numFmtId="0" fontId="76" fillId="0" borderId="0"/>
    <xf numFmtId="0" fontId="76" fillId="0" borderId="0"/>
    <xf numFmtId="0" fontId="1" fillId="0" borderId="0"/>
    <xf numFmtId="182"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7" fillId="0" borderId="0"/>
    <xf numFmtId="177" fontId="57" fillId="0" borderId="0"/>
    <xf numFmtId="177" fontId="57" fillId="0" borderId="0"/>
    <xf numFmtId="177" fontId="57" fillId="0" borderId="0"/>
    <xf numFmtId="177" fontId="57" fillId="0" borderId="0"/>
    <xf numFmtId="0" fontId="76" fillId="0" borderId="0"/>
    <xf numFmtId="0" fontId="93"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 fillId="0" borderId="0"/>
    <xf numFmtId="0" fontId="3" fillId="0" borderId="0"/>
    <xf numFmtId="0" fontId="3" fillId="0" borderId="0"/>
    <xf numFmtId="0" fontId="1" fillId="0" borderId="0"/>
    <xf numFmtId="177" fontId="57" fillId="0" borderId="0"/>
    <xf numFmtId="177" fontId="57" fillId="0" borderId="0"/>
    <xf numFmtId="177"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58" fillId="0" borderId="0"/>
    <xf numFmtId="0" fontId="76" fillId="0" borderId="0"/>
    <xf numFmtId="0" fontId="94" fillId="0" borderId="0"/>
    <xf numFmtId="0" fontId="95" fillId="0" borderId="0"/>
    <xf numFmtId="0" fontId="76" fillId="0" borderId="0"/>
    <xf numFmtId="0" fontId="1" fillId="0" borderId="0"/>
    <xf numFmtId="180" fontId="1" fillId="0" borderId="0"/>
    <xf numFmtId="180" fontId="1" fillId="0" borderId="0"/>
    <xf numFmtId="0" fontId="76" fillId="0" borderId="0"/>
    <xf numFmtId="0" fontId="76" fillId="0" borderId="0"/>
    <xf numFmtId="0" fontId="76" fillId="0" borderId="0"/>
    <xf numFmtId="0" fontId="16" fillId="0" borderId="0"/>
    <xf numFmtId="0" fontId="76" fillId="0" borderId="0"/>
    <xf numFmtId="0" fontId="76" fillId="0" borderId="0"/>
    <xf numFmtId="0" fontId="16" fillId="0" borderId="0"/>
    <xf numFmtId="0" fontId="76" fillId="0" borderId="0"/>
    <xf numFmtId="0" fontId="1" fillId="0" borderId="0"/>
    <xf numFmtId="0" fontId="16" fillId="0" borderId="0"/>
    <xf numFmtId="0" fontId="76" fillId="0" borderId="0"/>
    <xf numFmtId="0" fontId="7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3" fillId="0" borderId="0"/>
    <xf numFmtId="0" fontId="3" fillId="0" borderId="0"/>
    <xf numFmtId="0" fontId="76" fillId="0" borderId="0"/>
    <xf numFmtId="0" fontId="76" fillId="0" borderId="0"/>
    <xf numFmtId="0" fontId="76" fillId="0" borderId="0"/>
    <xf numFmtId="0" fontId="76" fillId="0" borderId="0"/>
    <xf numFmtId="0" fontId="3"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3" fillId="0" borderId="0"/>
    <xf numFmtId="0" fontId="3" fillId="0" borderId="0"/>
    <xf numFmtId="0" fontId="58" fillId="0" borderId="0"/>
    <xf numFmtId="0" fontId="1" fillId="0" borderId="0"/>
    <xf numFmtId="197" fontId="40" fillId="0" borderId="0" applyNumberFormat="0" applyFill="0" applyBorder="0" applyAlignment="0" applyProtection="0"/>
    <xf numFmtId="165" fontId="59" fillId="0" borderId="0"/>
    <xf numFmtId="180" fontId="76" fillId="59" borderId="30" applyNumberFormat="0" applyFont="0" applyAlignment="0" applyProtection="0"/>
    <xf numFmtId="180" fontId="76"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7" fillId="8" borderId="18" applyNumberFormat="0" applyFont="0" applyAlignment="0" applyProtection="0"/>
    <xf numFmtId="0" fontId="17" fillId="8" borderId="18" applyNumberFormat="0" applyFont="0" applyAlignment="0" applyProtection="0"/>
    <xf numFmtId="180" fontId="76" fillId="59" borderId="30" applyNumberFormat="0" applyFont="0" applyAlignment="0" applyProtection="0"/>
    <xf numFmtId="180" fontId="76" fillId="59" borderId="30" applyNumberFormat="0" applyFont="0" applyAlignment="0" applyProtection="0"/>
    <xf numFmtId="180" fontId="76" fillId="59" borderId="30" applyNumberFormat="0" applyFont="0" applyAlignment="0" applyProtection="0"/>
    <xf numFmtId="180" fontId="76" fillId="59" borderId="30" applyNumberFormat="0" applyFont="0" applyAlignment="0" applyProtection="0"/>
    <xf numFmtId="180" fontId="76"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6" fillId="60" borderId="31">
      <alignment horizontal="center" vertical="center" wrapText="1" readingOrder="1"/>
    </xf>
    <xf numFmtId="0" fontId="97" fillId="61" borderId="32">
      <alignment horizontal="left" vertical="center" wrapText="1" indent="1" readingOrder="1"/>
    </xf>
    <xf numFmtId="3" fontId="98" fillId="61" borderId="33">
      <alignment horizontal="right" vertical="center" indent="1"/>
    </xf>
    <xf numFmtId="165" fontId="98" fillId="61" borderId="33">
      <alignment horizontal="right" vertical="center" indent="1"/>
    </xf>
    <xf numFmtId="0" fontId="99" fillId="0" borderId="34">
      <alignment horizontal="left" vertical="center" indent="1"/>
    </xf>
    <xf numFmtId="0" fontId="99" fillId="0" borderId="34">
      <alignment horizontal="left" vertical="center" indent="2"/>
    </xf>
    <xf numFmtId="3" fontId="99" fillId="0" borderId="35">
      <alignment horizontal="right" vertical="center" indent="1"/>
    </xf>
    <xf numFmtId="0" fontId="100" fillId="0" borderId="36"/>
    <xf numFmtId="0" fontId="101" fillId="62" borderId="0">
      <alignment vertical="center"/>
    </xf>
    <xf numFmtId="0" fontId="102" fillId="0" borderId="0">
      <alignment horizontal="center" vertical="top" wrapText="1"/>
    </xf>
    <xf numFmtId="0" fontId="100" fillId="62" borderId="0"/>
    <xf numFmtId="0" fontId="60" fillId="0" borderId="19" applyNumberFormat="0" applyFill="0" applyBorder="0" applyProtection="0">
      <alignment vertical="top" wrapText="1"/>
    </xf>
    <xf numFmtId="0" fontId="61" fillId="41" borderId="14" applyNumberFormat="0" applyAlignment="0" applyProtection="0"/>
    <xf numFmtId="0" fontId="61"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58"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07" fontId="2" fillId="0" borderId="0" applyFont="0" applyFill="0" applyBorder="0" applyAlignment="0" applyProtection="0"/>
    <xf numFmtId="181" fontId="37" fillId="0" borderId="0" applyFont="0" applyFill="0" applyBorder="0" applyAlignment="0" applyProtection="0">
      <alignment horizontal="right"/>
    </xf>
    <xf numFmtId="197" fontId="53" fillId="0" borderId="0" applyNumberFormat="0" applyFill="0" applyBorder="0" applyAlignment="0" applyProtection="0">
      <alignment horizontal="left"/>
    </xf>
    <xf numFmtId="0" fontId="40" fillId="51" borderId="21" applyNumberFormat="0" applyFont="0" applyBorder="0" applyAlignment="0">
      <alignment vertical="top" wrapText="1"/>
    </xf>
    <xf numFmtId="0" fontId="63" fillId="13" borderId="14" applyNumberFormat="0" applyAlignment="0" applyProtection="0"/>
    <xf numFmtId="0" fontId="61" fillId="13" borderId="14" applyNumberFormat="0" applyAlignment="0" applyProtection="0"/>
    <xf numFmtId="0" fontId="61" fillId="13" borderId="14" applyNumberFormat="0" applyAlignment="0" applyProtection="0"/>
    <xf numFmtId="4" fontId="15" fillId="52" borderId="14" applyProtection="0">
      <alignment horizontal="right" vertical="center"/>
    </xf>
    <xf numFmtId="0" fontId="64"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3" fillId="0" borderId="0" applyNumberFormat="0" applyFill="0" applyBorder="0" applyAlignment="0" applyProtection="0"/>
    <xf numFmtId="180" fontId="103" fillId="0" borderId="0" applyNumberFormat="0" applyFill="0" applyBorder="0" applyAlignment="0" applyProtection="0"/>
    <xf numFmtId="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18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80" fontId="103" fillId="0" borderId="0" applyNumberFormat="0" applyFill="0" applyBorder="0" applyAlignment="0" applyProtection="0"/>
    <xf numFmtId="180" fontId="103" fillId="0" borderId="0" applyNumberFormat="0" applyFill="0" applyBorder="0" applyAlignment="0" applyProtection="0"/>
    <xf numFmtId="180" fontId="103" fillId="0" borderId="0" applyNumberFormat="0" applyFill="0" applyBorder="0" applyAlignment="0" applyProtection="0"/>
    <xf numFmtId="180" fontId="103" fillId="0" borderId="0" applyNumberFormat="0" applyFill="0" applyBorder="0" applyAlignment="0" applyProtection="0"/>
    <xf numFmtId="180" fontId="103" fillId="0" borderId="0" applyNumberFormat="0" applyFill="0" applyBorder="0" applyAlignment="0" applyProtection="0"/>
    <xf numFmtId="0" fontId="4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182" fontId="69" fillId="53" borderId="0" applyNumberFormat="0">
      <alignment vertical="center"/>
    </xf>
    <xf numFmtId="182" fontId="70" fillId="0" borderId="0" applyNumberFormat="0">
      <alignment vertical="center"/>
    </xf>
    <xf numFmtId="182" fontId="71" fillId="0" borderId="0" applyNumberFormat="0">
      <alignment vertical="center"/>
    </xf>
    <xf numFmtId="181" fontId="72" fillId="0" borderId="0">
      <alignment vertical="center"/>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73" fillId="0" borderId="22" applyNumberFormat="0" applyFill="0" applyAlignment="0" applyProtection="0"/>
    <xf numFmtId="180" fontId="63" fillId="0" borderId="23" applyNumberFormat="0" applyFill="0" applyAlignment="0" applyProtection="0"/>
    <xf numFmtId="180" fontId="63" fillId="0" borderId="23" applyNumberFormat="0" applyFill="0" applyAlignment="0" applyProtection="0"/>
    <xf numFmtId="0" fontId="6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63" fillId="0" borderId="23" applyNumberFormat="0" applyFill="0" applyAlignment="0" applyProtection="0"/>
    <xf numFmtId="180" fontId="63" fillId="0" borderId="23" applyNumberFormat="0" applyFill="0" applyAlignment="0" applyProtection="0"/>
    <xf numFmtId="180" fontId="63" fillId="0" borderId="23" applyNumberFormat="0" applyFill="0" applyAlignment="0" applyProtection="0"/>
    <xf numFmtId="180" fontId="63" fillId="0" borderId="23" applyNumberFormat="0" applyFill="0" applyAlignment="0" applyProtection="0"/>
    <xf numFmtId="180" fontId="63" fillId="0" borderId="23" applyNumberFormat="0" applyFill="0" applyAlignment="0" applyProtection="0"/>
    <xf numFmtId="180" fontId="63" fillId="0" borderId="23" applyNumberFormat="0" applyFill="0" applyAlignment="0" applyProtection="0"/>
    <xf numFmtId="180" fontId="63" fillId="0" borderId="23"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74" fillId="43" borderId="11" applyNumberFormat="0" applyAlignment="0" applyProtection="0"/>
    <xf numFmtId="0" fontId="36" fillId="43" borderId="11" applyNumberFormat="0" applyAlignment="0" applyProtection="0"/>
    <xf numFmtId="0" fontId="36" fillId="43" borderId="11" applyNumberFormat="0" applyAlignment="0" applyProtection="0"/>
    <xf numFmtId="164" fontId="7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5"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1" fillId="0" borderId="0" applyFont="0" applyFill="0" applyBorder="0" applyAlignment="0" applyProtection="0"/>
    <xf numFmtId="164" fontId="7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5"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3" fillId="90" borderId="14" applyNumberFormat="0" applyProtection="0">
      <alignment horizontal="left" vertical="center" indent="1"/>
    </xf>
    <xf numFmtId="4" fontId="154" fillId="40" borderId="14" applyNumberFormat="0" applyProtection="0">
      <alignment horizontal="right" vertical="center"/>
    </xf>
    <xf numFmtId="0" fontId="156" fillId="91" borderId="103">
      <alignment horizontal="right" vertical="center"/>
    </xf>
    <xf numFmtId="217" fontId="76" fillId="0" borderId="0"/>
    <xf numFmtId="217" fontId="1" fillId="0" borderId="0"/>
    <xf numFmtId="217" fontId="76" fillId="0" borderId="0"/>
    <xf numFmtId="217" fontId="1" fillId="0" borderId="0"/>
    <xf numFmtId="217" fontId="159" fillId="0" borderId="0" applyNumberFormat="0" applyFill="0" applyBorder="0" applyAlignment="0" applyProtection="0"/>
    <xf numFmtId="217" fontId="157" fillId="0" borderId="0" applyNumberFormat="0" applyFill="0" applyBorder="0" applyAlignment="0" applyProtection="0"/>
    <xf numFmtId="217" fontId="78" fillId="0" borderId="24" applyNumberFormat="0" applyFill="0" applyAlignment="0" applyProtection="0"/>
    <xf numFmtId="217" fontId="79" fillId="0" borderId="25" applyNumberFormat="0" applyFill="0" applyAlignment="0" applyProtection="0"/>
    <xf numFmtId="217" fontId="80" fillId="0" borderId="26" applyNumberFormat="0" applyFill="0" applyAlignment="0" applyProtection="0"/>
    <xf numFmtId="217" fontId="80" fillId="0" borderId="0" applyNumberFormat="0" applyFill="0" applyBorder="0" applyAlignment="0" applyProtection="0"/>
    <xf numFmtId="217" fontId="84" fillId="56" borderId="0" applyNumberFormat="0" applyBorder="0" applyAlignment="0" applyProtection="0"/>
    <xf numFmtId="217" fontId="147" fillId="65" borderId="0" applyNumberFormat="0" applyBorder="0" applyAlignment="0" applyProtection="0"/>
    <xf numFmtId="217" fontId="158" fillId="58" borderId="0" applyNumberFormat="0" applyBorder="0" applyAlignment="0" applyProtection="0"/>
    <xf numFmtId="217" fontId="86" fillId="57" borderId="28" applyNumberFormat="0" applyAlignment="0" applyProtection="0"/>
    <xf numFmtId="217" fontId="148" fillId="55" borderId="100" applyNumberFormat="0" applyAlignment="0" applyProtection="0"/>
    <xf numFmtId="217" fontId="149" fillId="55" borderId="28" applyNumberFormat="0" applyAlignment="0" applyProtection="0"/>
    <xf numFmtId="217" fontId="83" fillId="0" borderId="29" applyNumberFormat="0" applyFill="0" applyAlignment="0" applyProtection="0"/>
    <xf numFmtId="217" fontId="150" fillId="66" borderId="101" applyNumberFormat="0" applyAlignment="0" applyProtection="0"/>
    <xf numFmtId="217" fontId="103" fillId="0" borderId="0" applyNumberFormat="0" applyFill="0" applyBorder="0" applyAlignment="0" applyProtection="0"/>
    <xf numFmtId="217" fontId="76" fillId="59" borderId="30" applyNumberFormat="0" applyFont="0" applyAlignment="0" applyProtection="0"/>
    <xf numFmtId="217" fontId="151" fillId="0" borderId="0" applyNumberFormat="0" applyFill="0" applyBorder="0" applyAlignment="0" applyProtection="0"/>
    <xf numFmtId="217" fontId="152" fillId="0" borderId="102" applyNumberFormat="0" applyFill="0" applyAlignment="0" applyProtection="0"/>
    <xf numFmtId="217" fontId="146" fillId="67" borderId="0" applyNumberFormat="0" applyBorder="0" applyAlignment="0" applyProtection="0"/>
    <xf numFmtId="217" fontId="76" fillId="68" borderId="0" applyNumberFormat="0" applyBorder="0" applyAlignment="0" applyProtection="0"/>
    <xf numFmtId="217" fontId="76" fillId="69" borderId="0" applyNumberFormat="0" applyBorder="0" applyAlignment="0" applyProtection="0"/>
    <xf numFmtId="217" fontId="146" fillId="70" borderId="0" applyNumberFormat="0" applyBorder="0" applyAlignment="0" applyProtection="0"/>
    <xf numFmtId="217" fontId="146" fillId="71"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146" fillId="74" borderId="0" applyNumberFormat="0" applyBorder="0" applyAlignment="0" applyProtection="0"/>
    <xf numFmtId="217" fontId="146" fillId="75"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146" fillId="77" borderId="0" applyNumberFormat="0" applyBorder="0" applyAlignment="0" applyProtection="0"/>
    <xf numFmtId="217" fontId="146" fillId="78"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146" fillId="81" borderId="0" applyNumberFormat="0" applyBorder="0" applyAlignment="0" applyProtection="0"/>
    <xf numFmtId="217" fontId="146" fillId="82"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146" fillId="85" borderId="0" applyNumberFormat="0" applyBorder="0" applyAlignment="0" applyProtection="0"/>
    <xf numFmtId="217" fontId="146" fillId="86"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46" fillId="89" borderId="0" applyNumberFormat="0" applyBorder="0" applyAlignment="0" applyProtection="0"/>
    <xf numFmtId="217" fontId="76" fillId="0" borderId="0" applyNumberFormat="0" applyFill="0" applyBorder="0" applyAlignment="0" applyProtection="0"/>
    <xf numFmtId="217" fontId="76" fillId="0" borderId="0" applyNumberFormat="0" applyFill="0" applyBorder="0" applyAlignment="0" applyProtection="0"/>
    <xf numFmtId="217" fontId="1" fillId="0" borderId="0">
      <alignment wrapText="1"/>
    </xf>
    <xf numFmtId="217" fontId="161" fillId="0" borderId="0">
      <alignment wrapText="1"/>
    </xf>
    <xf numFmtId="217" fontId="160" fillId="0" borderId="0"/>
    <xf numFmtId="217" fontId="161" fillId="0" borderId="0"/>
    <xf numFmtId="217" fontId="3" fillId="0" borderId="0" applyNumberFormat="0" applyFill="0" applyBorder="0" applyAlignment="0" applyProtection="0"/>
    <xf numFmtId="217" fontId="1" fillId="0" borderId="0" applyNumberFormat="0" applyFill="0" applyBorder="0" applyAlignment="0" applyProtection="0"/>
    <xf numFmtId="217" fontId="162" fillId="0" borderId="0" applyNumberFormat="0" applyFill="0" applyBorder="0" applyAlignment="0" applyProtection="0"/>
    <xf numFmtId="217" fontId="76" fillId="68"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76" fillId="79" borderId="0" applyNumberFormat="0" applyBorder="0" applyAlignment="0" applyProtection="0"/>
    <xf numFmtId="217" fontId="76" fillId="83" borderId="0" applyNumberFormat="0" applyBorder="0" applyAlignment="0" applyProtection="0"/>
    <xf numFmtId="217" fontId="76" fillId="87" borderId="0" applyNumberFormat="0" applyBorder="0" applyAlignment="0" applyProtection="0"/>
    <xf numFmtId="217" fontId="76" fillId="69"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80"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146" fillId="70" borderId="0" applyNumberFormat="0" applyBorder="0" applyAlignment="0" applyProtection="0"/>
    <xf numFmtId="217" fontId="146" fillId="74" borderId="0" applyNumberFormat="0" applyBorder="0" applyAlignment="0" applyProtection="0"/>
    <xf numFmtId="217" fontId="146" fillId="77" borderId="0" applyNumberFormat="0" applyBorder="0" applyAlignment="0" applyProtection="0"/>
    <xf numFmtId="217" fontId="146" fillId="81" borderId="0" applyNumberFormat="0" applyBorder="0" applyAlignment="0" applyProtection="0"/>
    <xf numFmtId="217" fontId="146" fillId="85" borderId="0" applyNumberFormat="0" applyBorder="0" applyAlignment="0" applyProtection="0"/>
    <xf numFmtId="217" fontId="146" fillId="89" borderId="0" applyNumberFormat="0" applyBorder="0" applyAlignment="0" applyProtection="0"/>
    <xf numFmtId="217" fontId="146" fillId="67" borderId="0" applyNumberFormat="0" applyBorder="0" applyAlignment="0" applyProtection="0"/>
    <xf numFmtId="217" fontId="146" fillId="71" borderId="0" applyNumberFormat="0" applyBorder="0" applyAlignment="0" applyProtection="0"/>
    <xf numFmtId="217" fontId="146" fillId="75" borderId="0" applyNumberFormat="0" applyBorder="0" applyAlignment="0" applyProtection="0"/>
    <xf numFmtId="217" fontId="146" fillId="78" borderId="0" applyNumberFormat="0" applyBorder="0" applyAlignment="0" applyProtection="0"/>
    <xf numFmtId="217" fontId="146" fillId="82" borderId="0" applyNumberFormat="0" applyBorder="0" applyAlignment="0" applyProtection="0"/>
    <xf numFmtId="217" fontId="146" fillId="86" borderId="0" applyNumberFormat="0" applyBorder="0" applyAlignment="0" applyProtection="0"/>
    <xf numFmtId="217" fontId="147" fillId="65" borderId="0" applyNumberFormat="0" applyBorder="0" applyAlignment="0" applyProtection="0"/>
    <xf numFmtId="217" fontId="149" fillId="55" borderId="28" applyNumberFormat="0" applyAlignment="0" applyProtection="0"/>
    <xf numFmtId="217" fontId="150" fillId="66" borderId="101" applyNumberFormat="0" applyAlignment="0" applyProtection="0"/>
    <xf numFmtId="217" fontId="162" fillId="0" borderId="0" applyFont="0" applyFill="0" applyBorder="0" applyAlignment="0" applyProtection="0"/>
    <xf numFmtId="44" fontId="163" fillId="0" borderId="0" applyFont="0" applyFill="0" applyBorder="0" applyAlignment="0" applyProtection="0"/>
    <xf numFmtId="217" fontId="162" fillId="0" borderId="0" applyFont="0" applyFill="0" applyBorder="0" applyAlignment="0" applyProtection="0"/>
    <xf numFmtId="217" fontId="162" fillId="0" borderId="0" applyFont="0" applyFill="0" applyBorder="0" applyAlignment="0" applyProtection="0"/>
    <xf numFmtId="217" fontId="162" fillId="0" borderId="0" applyFont="0" applyFill="0" applyBorder="0" applyAlignment="0" applyProtection="0"/>
    <xf numFmtId="217" fontId="151" fillId="0" borderId="0" applyNumberFormat="0" applyFill="0" applyBorder="0" applyAlignment="0" applyProtection="0"/>
    <xf numFmtId="217" fontId="84" fillId="56" borderId="0" applyNumberFormat="0" applyBorder="0" applyAlignment="0" applyProtection="0"/>
    <xf numFmtId="217" fontId="78" fillId="0" borderId="24" applyNumberFormat="0" applyFill="0" applyAlignment="0" applyProtection="0"/>
    <xf numFmtId="217" fontId="79" fillId="0" borderId="25" applyNumberFormat="0" applyFill="0" applyAlignment="0" applyProtection="0"/>
    <xf numFmtId="217" fontId="80" fillId="0" borderId="26" applyNumberFormat="0" applyFill="0" applyAlignment="0" applyProtection="0"/>
    <xf numFmtId="217" fontId="80" fillId="0" borderId="0" applyNumberFormat="0" applyFill="0" applyBorder="0" applyAlignment="0" applyProtection="0"/>
    <xf numFmtId="217" fontId="86" fillId="57" borderId="28" applyNumberFormat="0" applyAlignment="0" applyProtection="0"/>
    <xf numFmtId="217" fontId="83" fillId="0" borderId="29" applyNumberFormat="0" applyFill="0" applyAlignment="0" applyProtection="0"/>
    <xf numFmtId="165" fontId="162"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177" fontId="162" fillId="0" borderId="0" applyFont="0" applyFill="0" applyBorder="0" applyAlignment="0" applyProtection="0"/>
    <xf numFmtId="165" fontId="162" fillId="0" borderId="0" applyFont="0" applyFill="0" applyBorder="0" applyAlignment="0" applyProtection="0"/>
    <xf numFmtId="165" fontId="162" fillId="0" borderId="0" applyFont="0" applyFill="0" applyBorder="0" applyAlignment="0" applyProtection="0"/>
    <xf numFmtId="217" fontId="158" fillId="58" borderId="0" applyNumberFormat="0" applyBorder="0" applyAlignment="0" applyProtection="0"/>
    <xf numFmtId="217" fontId="1" fillId="0" borderId="0"/>
    <xf numFmtId="217" fontId="162" fillId="0" borderId="0"/>
    <xf numFmtId="217" fontId="1"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59" fillId="0" borderId="0"/>
    <xf numFmtId="217" fontId="76" fillId="0" borderId="0"/>
    <xf numFmtId="217" fontId="162" fillId="0" borderId="0"/>
    <xf numFmtId="217" fontId="1" fillId="0" borderId="0"/>
    <xf numFmtId="217" fontId="162" fillId="0" borderId="0"/>
    <xf numFmtId="217" fontId="76" fillId="0" borderId="0"/>
    <xf numFmtId="217" fontId="159" fillId="0" borderId="0"/>
    <xf numFmtId="217" fontId="1" fillId="0" borderId="0"/>
    <xf numFmtId="217" fontId="1" fillId="0" borderId="0"/>
    <xf numFmtId="217" fontId="1" fillId="0" borderId="0"/>
    <xf numFmtId="217" fontId="159" fillId="0" borderId="0"/>
    <xf numFmtId="217" fontId="159" fillId="0" borderId="0"/>
    <xf numFmtId="217" fontId="159" fillId="0" borderId="0"/>
    <xf numFmtId="217" fontId="1" fillId="0" borderId="0"/>
    <xf numFmtId="217" fontId="1" fillId="0" borderId="0"/>
    <xf numFmtId="217" fontId="1" fillId="0" borderId="0"/>
    <xf numFmtId="217" fontId="1" fillId="0" borderId="0"/>
    <xf numFmtId="217" fontId="76" fillId="59" borderId="30" applyNumberFormat="0" applyFont="0" applyAlignment="0" applyProtection="0"/>
    <xf numFmtId="217" fontId="148" fillId="55" borderId="100" applyNumberFormat="0" applyAlignment="0" applyProtection="0"/>
    <xf numFmtId="9" fontId="1"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 fillId="0" borderId="0" applyFont="0" applyFill="0" applyBorder="0" applyAlignment="0" applyProtection="0"/>
    <xf numFmtId="9" fontId="162" fillId="0" borderId="0" applyFont="0" applyFill="0" applyBorder="0" applyAlignment="0" applyProtection="0"/>
    <xf numFmtId="217" fontId="157" fillId="0" borderId="0" applyNumberFormat="0" applyFill="0" applyBorder="0" applyAlignment="0" applyProtection="0"/>
    <xf numFmtId="217" fontId="103" fillId="0" borderId="0" applyNumberFormat="0" applyFill="0" applyBorder="0" applyAlignment="0" applyProtection="0"/>
    <xf numFmtId="217" fontId="76" fillId="0" borderId="0"/>
    <xf numFmtId="217" fontId="76" fillId="0" borderId="0"/>
    <xf numFmtId="217" fontId="1" fillId="0" borderId="0"/>
    <xf numFmtId="217" fontId="164" fillId="0" borderId="0"/>
    <xf numFmtId="9" fontId="164" fillId="0" borderId="0" applyFont="0" applyFill="0" applyBorder="0" applyAlignment="0" applyProtection="0"/>
    <xf numFmtId="217" fontId="160"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6"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7" fillId="52" borderId="14" applyNumberFormat="0" applyProtection="0">
      <alignment horizontal="right" vertical="center"/>
    </xf>
    <xf numFmtId="217" fontId="76" fillId="0" borderId="0" applyNumberFormat="0" applyFill="0" applyBorder="0" applyAlignment="0" applyProtection="0"/>
    <xf numFmtId="217" fontId="164" fillId="0" borderId="0"/>
    <xf numFmtId="44" fontId="58" fillId="0" borderId="0" applyFont="0" applyFill="0" applyBorder="0" applyAlignment="0" applyProtection="0"/>
    <xf numFmtId="217" fontId="58" fillId="0" borderId="0"/>
    <xf numFmtId="217" fontId="58" fillId="0" borderId="0" applyFont="0" applyFill="0" applyBorder="0" applyAlignment="0" applyProtection="0"/>
    <xf numFmtId="217" fontId="1" fillId="0" borderId="0"/>
    <xf numFmtId="217" fontId="1" fillId="0" borderId="0" applyFont="0" applyFill="0" applyBorder="0" applyAlignment="0" applyProtection="0"/>
    <xf numFmtId="217" fontId="37" fillId="0" borderId="0"/>
    <xf numFmtId="164" fontId="1" fillId="0" borderId="0" applyFont="0" applyFill="0" applyBorder="0" applyAlignment="0" applyProtection="0"/>
    <xf numFmtId="217" fontId="37" fillId="0" borderId="0"/>
    <xf numFmtId="217" fontId="37" fillId="0" borderId="0"/>
    <xf numFmtId="217" fontId="152" fillId="0" borderId="102" applyNumberFormat="0" applyFill="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applyFont="0" applyFill="0" applyBorder="0" applyAlignment="0" applyProtection="0"/>
    <xf numFmtId="217" fontId="37"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37" fillId="0" borderId="0"/>
    <xf numFmtId="217" fontId="1" fillId="0" borderId="0"/>
    <xf numFmtId="217" fontId="37" fillId="0" borderId="0"/>
    <xf numFmtId="217" fontId="37" fillId="0" borderId="0"/>
    <xf numFmtId="217" fontId="1" fillId="0" borderId="0"/>
    <xf numFmtId="217" fontId="37" fillId="0" borderId="0"/>
    <xf numFmtId="217" fontId="76" fillId="0" borderId="0"/>
    <xf numFmtId="217" fontId="76" fillId="0" borderId="0"/>
    <xf numFmtId="217" fontId="76" fillId="0" borderId="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6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84" borderId="0" applyNumberFormat="0" applyBorder="0" applyAlignment="0" applyProtection="0"/>
    <xf numFmtId="217" fontId="76" fillId="72"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7" fillId="0" borderId="0"/>
    <xf numFmtId="217" fontId="37" fillId="0" borderId="0"/>
    <xf numFmtId="217" fontId="1" fillId="0" borderId="0"/>
    <xf numFmtId="217" fontId="37" fillId="0" borderId="0"/>
    <xf numFmtId="217" fontId="37" fillId="0" borderId="0"/>
    <xf numFmtId="217" fontId="1" fillId="0" borderId="0"/>
    <xf numFmtId="217" fontId="1"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87" borderId="0" applyNumberFormat="0" applyBorder="0" applyAlignment="0" applyProtection="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37" fillId="0" borderId="0"/>
    <xf numFmtId="217" fontId="37" fillId="0" borderId="0"/>
    <xf numFmtId="217" fontId="1" fillId="0" borderId="0"/>
    <xf numFmtId="217" fontId="1" fillId="0" borderId="0"/>
    <xf numFmtId="217" fontId="1" fillId="0" borderId="0"/>
    <xf numFmtId="217" fontId="37" fillId="0" borderId="0"/>
    <xf numFmtId="217" fontId="37" fillId="0" borderId="0"/>
    <xf numFmtId="217" fontId="37" fillId="0" borderId="0"/>
    <xf numFmtId="217" fontId="76"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7" fillId="0" borderId="0"/>
    <xf numFmtId="217" fontId="37" fillId="0" borderId="0"/>
    <xf numFmtId="217" fontId="37" fillId="0" borderId="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37" fillId="0" borderId="0"/>
    <xf numFmtId="217" fontId="37" fillId="0" borderId="0"/>
    <xf numFmtId="217" fontId="1" fillId="0" borderId="0"/>
    <xf numFmtId="217" fontId="1" fillId="0" borderId="0"/>
    <xf numFmtId="217" fontId="1" fillId="0" borderId="0"/>
    <xf numFmtId="217" fontId="1" fillId="0" borderId="0"/>
    <xf numFmtId="217" fontId="1" fillId="0" borderId="0"/>
    <xf numFmtId="217" fontId="37" fillId="0" borderId="0"/>
    <xf numFmtId="217" fontId="37" fillId="0" borderId="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37" fillId="0" borderId="0"/>
    <xf numFmtId="217" fontId="1" fillId="0" borderId="0"/>
    <xf numFmtId="217" fontId="1" fillId="0" borderId="0"/>
    <xf numFmtId="217" fontId="37" fillId="0" borderId="0"/>
    <xf numFmtId="217" fontId="1" fillId="0" borderId="0"/>
    <xf numFmtId="217" fontId="1" fillId="0" borderId="0"/>
    <xf numFmtId="217" fontId="1" fillId="0" borderId="0"/>
    <xf numFmtId="217" fontId="1" fillId="0" borderId="0"/>
    <xf numFmtId="217" fontId="37" fillId="0" borderId="0"/>
    <xf numFmtId="217" fontId="37" fillId="0" borderId="0"/>
    <xf numFmtId="217" fontId="1" fillId="0" borderId="0"/>
    <xf numFmtId="217" fontId="1" fillId="0" borderId="0"/>
    <xf numFmtId="217" fontId="37" fillId="0" borderId="0"/>
    <xf numFmtId="217" fontId="1" fillId="0" borderId="0"/>
    <xf numFmtId="217" fontId="1" fillId="0" borderId="0"/>
    <xf numFmtId="217" fontId="1" fillId="0" borderId="0"/>
    <xf numFmtId="4" fontId="15" fillId="52" borderId="14" applyProtection="0">
      <alignment horizontal="right" vertical="center"/>
    </xf>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54" borderId="0" applyNumberFormat="0" applyBorder="0" applyAlignment="0" applyProtection="0"/>
    <xf numFmtId="217" fontId="76" fillId="84" borderId="0" applyNumberFormat="0" applyBorder="0" applyAlignment="0" applyProtection="0"/>
    <xf numFmtId="217" fontId="76" fillId="83" borderId="0" applyNumberFormat="0" applyBorder="0" applyAlignment="0" applyProtection="0"/>
    <xf numFmtId="217" fontId="76" fillId="80" borderId="0" applyNumberFormat="0" applyBorder="0" applyAlignment="0" applyProtection="0"/>
    <xf numFmtId="217" fontId="76" fillId="79"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0" borderId="0"/>
    <xf numFmtId="217" fontId="76" fillId="59" borderId="30" applyNumberFormat="0" applyFont="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68" borderId="0" applyNumberFormat="0" applyBorder="0" applyAlignment="0" applyProtection="0"/>
    <xf numFmtId="217" fontId="76" fillId="69" borderId="0" applyNumberFormat="0" applyBorder="0" applyAlignment="0" applyProtection="0"/>
    <xf numFmtId="217" fontId="37" fillId="0" borderId="0"/>
    <xf numFmtId="217" fontId="76" fillId="72"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69"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1" fillId="0" borderId="0"/>
    <xf numFmtId="217" fontId="76" fillId="68"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1" fillId="0" borderId="0"/>
    <xf numFmtId="217" fontId="76" fillId="59" borderId="30" applyNumberFormat="0" applyFont="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76" fillId="0" borderId="0"/>
    <xf numFmtId="217" fontId="76" fillId="87" borderId="0" applyNumberFormat="0" applyBorder="0" applyAlignment="0" applyProtection="0"/>
    <xf numFmtId="217" fontId="76" fillId="88" borderId="0" applyNumberFormat="0" applyBorder="0" applyAlignment="0" applyProtection="0"/>
    <xf numFmtId="217" fontId="76"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7" fillId="0" borderId="0"/>
    <xf numFmtId="217" fontId="37" fillId="0" borderId="0"/>
    <xf numFmtId="217" fontId="1"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0" borderId="0"/>
    <xf numFmtId="217" fontId="76" fillId="0" borderId="0"/>
    <xf numFmtId="217" fontId="37"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87" borderId="0" applyNumberFormat="0" applyBorder="0" applyAlignment="0" applyProtection="0"/>
    <xf numFmtId="217" fontId="1" fillId="0" borderId="0"/>
    <xf numFmtId="217" fontId="76" fillId="72" borderId="0" applyNumberFormat="0" applyBorder="0" applyAlignment="0" applyProtection="0"/>
    <xf numFmtId="217" fontId="76" fillId="73" borderId="0" applyNumberFormat="0" applyBorder="0" applyAlignment="0" applyProtection="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6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84" borderId="0" applyNumberFormat="0" applyBorder="0" applyAlignment="0" applyProtection="0"/>
    <xf numFmtId="217" fontId="76" fillId="72"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59" borderId="30" applyNumberFormat="0" applyFont="0" applyAlignment="0" applyProtection="0"/>
    <xf numFmtId="217" fontId="76" fillId="0" borderId="0"/>
    <xf numFmtId="217" fontId="76" fillId="7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69" borderId="0" applyNumberFormat="0" applyBorder="0" applyAlignment="0" applyProtection="0"/>
    <xf numFmtId="217" fontId="76" fillId="76" borderId="0" applyNumberFormat="0" applyBorder="0" applyAlignment="0" applyProtection="0"/>
    <xf numFmtId="217" fontId="1" fillId="0" borderId="0"/>
    <xf numFmtId="217" fontId="76" fillId="0" borderId="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7" borderId="0" applyNumberFormat="0" applyBorder="0" applyAlignment="0" applyProtection="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164" fontId="1" fillId="0" borderId="0" applyFont="0" applyFill="0" applyBorder="0" applyAlignment="0" applyProtection="0"/>
    <xf numFmtId="217" fontId="1" fillId="0" borderId="0"/>
    <xf numFmtId="217" fontId="76" fillId="83" borderId="0" applyNumberFormat="0" applyBorder="0" applyAlignment="0" applyProtection="0"/>
    <xf numFmtId="217" fontId="76" fillId="84" borderId="0" applyNumberFormat="0" applyBorder="0" applyAlignment="0" applyProtection="0"/>
    <xf numFmtId="217" fontId="1" fillId="0" borderId="0" applyFont="0" applyFill="0" applyBorder="0" applyAlignment="0" applyProtection="0"/>
    <xf numFmtId="217" fontId="1" fillId="0" borderId="0"/>
    <xf numFmtId="217" fontId="76" fillId="88" borderId="0" applyNumberFormat="0" applyBorder="0" applyAlignment="0" applyProtection="0"/>
    <xf numFmtId="217" fontId="1" fillId="0" borderId="0"/>
    <xf numFmtId="217" fontId="76" fillId="84"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88" borderId="0" applyNumberFormat="0" applyBorder="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37" fillId="0" borderId="0"/>
    <xf numFmtId="217" fontId="76" fillId="80" borderId="0" applyNumberFormat="0" applyBorder="0" applyAlignment="0" applyProtection="0"/>
    <xf numFmtId="217" fontId="1" fillId="0" borderId="0"/>
    <xf numFmtId="217" fontId="1" fillId="0" borderId="0"/>
    <xf numFmtId="217" fontId="76" fillId="84" borderId="0" applyNumberFormat="0" applyBorder="0" applyAlignment="0" applyProtection="0"/>
    <xf numFmtId="217" fontId="76" fillId="0" borderId="0"/>
    <xf numFmtId="217" fontId="76" fillId="87" borderId="0" applyNumberFormat="0" applyBorder="0" applyAlignment="0" applyProtection="0"/>
    <xf numFmtId="217" fontId="1" fillId="0" borderId="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3" borderId="0" applyNumberFormat="0" applyBorder="0" applyAlignment="0" applyProtection="0"/>
    <xf numFmtId="217" fontId="76" fillId="68" borderId="0" applyNumberFormat="0" applyBorder="0" applyAlignment="0" applyProtection="0"/>
    <xf numFmtId="217" fontId="1" fillId="0" borderId="0"/>
    <xf numFmtId="217" fontId="1" fillId="0" borderId="0"/>
    <xf numFmtId="217" fontId="37" fillId="0" borderId="0"/>
    <xf numFmtId="217" fontId="1" fillId="0" borderId="0"/>
    <xf numFmtId="217" fontId="1" fillId="0" borderId="0"/>
    <xf numFmtId="217" fontId="76" fillId="0" borderId="0"/>
    <xf numFmtId="217" fontId="1" fillId="0" borderId="0"/>
    <xf numFmtId="217" fontId="76" fillId="79" borderId="0" applyNumberFormat="0" applyBorder="0" applyAlignment="0" applyProtection="0"/>
    <xf numFmtId="217" fontId="76" fillId="0" borderId="0"/>
    <xf numFmtId="217" fontId="1" fillId="0" borderId="0"/>
    <xf numFmtId="217" fontId="37" fillId="0" borderId="0"/>
    <xf numFmtId="217" fontId="37" fillId="0" borderId="0"/>
    <xf numFmtId="217" fontId="1" fillId="0" borderId="0"/>
    <xf numFmtId="217" fontId="1" fillId="0" borderId="0"/>
    <xf numFmtId="217" fontId="76" fillId="80" borderId="0" applyNumberFormat="0" applyBorder="0" applyAlignment="0" applyProtection="0"/>
    <xf numFmtId="9" fontId="1" fillId="0" borderId="0" applyFont="0" applyFill="0" applyBorder="0" applyAlignment="0" applyProtection="0"/>
    <xf numFmtId="217" fontId="76" fillId="69" borderId="0" applyNumberFormat="0" applyBorder="0" applyAlignment="0" applyProtection="0"/>
    <xf numFmtId="164" fontId="1"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1" fillId="0" borderId="0"/>
    <xf numFmtId="217" fontId="37" fillId="0" borderId="0"/>
    <xf numFmtId="217" fontId="1" fillId="0" borderId="0"/>
    <xf numFmtId="217" fontId="37" fillId="0" borderId="0"/>
    <xf numFmtId="9" fontId="1" fillId="0" borderId="0" applyFont="0" applyFill="0" applyBorder="0" applyAlignment="0" applyProtection="0"/>
    <xf numFmtId="164" fontId="1"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79" borderId="0" applyNumberFormat="0" applyBorder="0" applyAlignment="0" applyProtection="0"/>
    <xf numFmtId="217" fontId="76" fillId="59" borderId="30" applyNumberFormat="0" applyFont="0" applyAlignment="0" applyProtection="0"/>
    <xf numFmtId="217" fontId="76" fillId="68" borderId="0" applyNumberFormat="0" applyBorder="0" applyAlignment="0" applyProtection="0"/>
    <xf numFmtId="217" fontId="76" fillId="80" borderId="0" applyNumberFormat="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6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84" borderId="0" applyNumberFormat="0" applyBorder="0" applyAlignment="0" applyProtection="0"/>
    <xf numFmtId="217" fontId="76" fillId="72"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76" fillId="83" borderId="0" applyNumberFormat="0" applyBorder="0" applyAlignment="0" applyProtection="0"/>
    <xf numFmtId="217" fontId="76" fillId="54" borderId="0" applyNumberFormat="0" applyBorder="0" applyAlignment="0" applyProtection="0"/>
    <xf numFmtId="217" fontId="76" fillId="0" borderId="0"/>
    <xf numFmtId="217" fontId="76" fillId="59" borderId="30" applyNumberFormat="0" applyFont="0" applyAlignment="0" applyProtection="0"/>
    <xf numFmtId="217" fontId="1" fillId="0" borderId="0"/>
    <xf numFmtId="217" fontId="76" fillId="79" borderId="0" applyNumberFormat="0" applyBorder="0" applyAlignment="0" applyProtection="0"/>
    <xf numFmtId="217" fontId="76"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7" borderId="0" applyNumberFormat="0" applyBorder="0" applyAlignment="0" applyProtection="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37" fillId="0" borderId="0"/>
    <xf numFmtId="217" fontId="1" fillId="0" borderId="0"/>
    <xf numFmtId="217" fontId="76" fillId="76" borderId="0" applyNumberFormat="0" applyBorder="0" applyAlignment="0" applyProtection="0"/>
    <xf numFmtId="217" fontId="1" fillId="0" borderId="0"/>
    <xf numFmtId="217" fontId="76" fillId="0" borderId="0"/>
    <xf numFmtId="217" fontId="76" fillId="0" borderId="0"/>
    <xf numFmtId="217" fontId="76" fillId="88" borderId="0" applyNumberFormat="0" applyBorder="0" applyAlignment="0" applyProtection="0"/>
    <xf numFmtId="217" fontId="1" fillId="0" borderId="0"/>
    <xf numFmtId="217" fontId="76" fillId="73" borderId="0" applyNumberFormat="0" applyBorder="0" applyAlignment="0" applyProtection="0"/>
    <xf numFmtId="217" fontId="76" fillId="0" borderId="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83" borderId="0" applyNumberFormat="0" applyBorder="0" applyAlignment="0" applyProtection="0"/>
    <xf numFmtId="217" fontId="1" fillId="0" borderId="0"/>
    <xf numFmtId="217" fontId="1" fillId="0" borderId="0"/>
    <xf numFmtId="217" fontId="76" fillId="69" borderId="0" applyNumberFormat="0" applyBorder="0" applyAlignment="0" applyProtection="0"/>
    <xf numFmtId="217" fontId="76" fillId="72" borderId="0" applyNumberFormat="0" applyBorder="0" applyAlignment="0" applyProtection="0"/>
    <xf numFmtId="217" fontId="37" fillId="0" borderId="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8" borderId="0" applyNumberFormat="0" applyBorder="0" applyAlignment="0" applyProtection="0"/>
    <xf numFmtId="217" fontId="76" fillId="0" borderId="0"/>
    <xf numFmtId="217" fontId="1" fillId="0" borderId="0"/>
    <xf numFmtId="217" fontId="1" fillId="0" borderId="0"/>
    <xf numFmtId="217" fontId="37" fillId="0" borderId="0"/>
    <xf numFmtId="217" fontId="1" fillId="0" borderId="0"/>
    <xf numFmtId="217" fontId="1" fillId="0" borderId="0"/>
    <xf numFmtId="217" fontId="76" fillId="87" borderId="0" applyNumberFormat="0" applyBorder="0" applyAlignment="0" applyProtection="0"/>
    <xf numFmtId="217" fontId="1" fillId="0" borderId="0"/>
    <xf numFmtId="217" fontId="76" fillId="80" borderId="0" applyNumberFormat="0" applyBorder="0" applyAlignment="0" applyProtection="0"/>
    <xf numFmtId="217" fontId="1" fillId="0" borderId="0"/>
    <xf numFmtId="217" fontId="76" fillId="0" borderId="0"/>
    <xf numFmtId="217" fontId="1" fillId="0" borderId="0"/>
    <xf numFmtId="217" fontId="1" fillId="0" borderId="0"/>
    <xf numFmtId="217" fontId="76" fillId="84" borderId="0" applyNumberFormat="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37" fillId="0" borderId="0"/>
    <xf numFmtId="217" fontId="1" fillId="0" borderId="0"/>
    <xf numFmtId="217" fontId="1" fillId="0" borderId="0"/>
    <xf numFmtId="217" fontId="37" fillId="0" borderId="0"/>
    <xf numFmtId="9" fontId="1" fillId="0" borderId="0" applyFont="0" applyFill="0" applyBorder="0" applyAlignment="0" applyProtection="0"/>
    <xf numFmtId="217" fontId="1" fillId="0" borderId="0"/>
    <xf numFmtId="217" fontId="37" fillId="0" borderId="0"/>
    <xf numFmtId="217" fontId="1" fillId="0" borderId="0"/>
    <xf numFmtId="217" fontId="37" fillId="0" borderId="0"/>
    <xf numFmtId="217" fontId="1"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37" fillId="0" borderId="0"/>
    <xf numFmtId="217" fontId="1" fillId="0" borderId="0"/>
    <xf numFmtId="217" fontId="37" fillId="0" borderId="0"/>
    <xf numFmtId="217" fontId="76" fillId="73" borderId="0" applyNumberFormat="0" applyBorder="0" applyAlignment="0" applyProtection="0"/>
    <xf numFmtId="217" fontId="76" fillId="87" borderId="0" applyNumberFormat="0" applyBorder="0" applyAlignment="0" applyProtection="0"/>
    <xf numFmtId="217" fontId="76" fillId="83" borderId="0" applyNumberFormat="0" applyBorder="0" applyAlignment="0" applyProtection="0"/>
    <xf numFmtId="217" fontId="1" fillId="0" borderId="0"/>
    <xf numFmtId="217" fontId="76" fillId="80" borderId="0" applyNumberFormat="0" applyBorder="0" applyAlignment="0" applyProtection="0"/>
    <xf numFmtId="217" fontId="76" fillId="59" borderId="30" applyNumberFormat="0" applyFont="0" applyAlignment="0" applyProtection="0"/>
    <xf numFmtId="217" fontId="76" fillId="76" borderId="0" applyNumberFormat="0" applyBorder="0" applyAlignment="0" applyProtection="0"/>
    <xf numFmtId="217" fontId="1" fillId="0" borderId="0"/>
    <xf numFmtId="217" fontId="76" fillId="0" borderId="0"/>
    <xf numFmtId="217" fontId="1" fillId="0" borderId="0"/>
    <xf numFmtId="217" fontId="76" fillId="0" borderId="0"/>
    <xf numFmtId="217" fontId="76" fillId="0" borderId="0"/>
    <xf numFmtId="217" fontId="1" fillId="0" borderId="0"/>
    <xf numFmtId="217" fontId="37" fillId="0" borderId="0"/>
    <xf numFmtId="217" fontId="76" fillId="54" borderId="0" applyNumberFormat="0" applyBorder="0" applyAlignment="0" applyProtection="0"/>
    <xf numFmtId="217" fontId="76" fillId="69" borderId="0" applyNumberFormat="0" applyBorder="0" applyAlignment="0" applyProtection="0"/>
    <xf numFmtId="217" fontId="76" fillId="76" borderId="0" applyNumberFormat="0" applyBorder="0" applyAlignment="0" applyProtection="0"/>
    <xf numFmtId="217" fontId="76" fillId="73" borderId="0" applyNumberFormat="0" applyBorder="0" applyAlignment="0" applyProtection="0"/>
    <xf numFmtId="217" fontId="76" fillId="68" borderId="0" applyNumberFormat="0" applyBorder="0" applyAlignment="0" applyProtection="0"/>
    <xf numFmtId="217" fontId="76" fillId="80" borderId="0" applyNumberFormat="0" applyBorder="0" applyAlignment="0" applyProtection="0"/>
    <xf numFmtId="217" fontId="1" fillId="0" borderId="0"/>
    <xf numFmtId="217" fontId="76" fillId="54" borderId="0" applyNumberFormat="0" applyBorder="0" applyAlignment="0" applyProtection="0"/>
    <xf numFmtId="217" fontId="1" fillId="0" borderId="0"/>
    <xf numFmtId="217" fontId="76" fillId="72" borderId="0" applyNumberFormat="0" applyBorder="0" applyAlignment="0" applyProtection="0"/>
    <xf numFmtId="217" fontId="76" fillId="0" borderId="0"/>
    <xf numFmtId="217" fontId="1" fillId="0" borderId="0"/>
    <xf numFmtId="217" fontId="76" fillId="76" borderId="0" applyNumberFormat="0" applyBorder="0" applyAlignment="0" applyProtection="0"/>
    <xf numFmtId="217" fontId="76" fillId="88" borderId="0" applyNumberFormat="0" applyBorder="0" applyAlignment="0" applyProtection="0"/>
    <xf numFmtId="217" fontId="76" fillId="0" borderId="0"/>
    <xf numFmtId="217" fontId="76" fillId="0" borderId="0"/>
    <xf numFmtId="217" fontId="76" fillId="73" borderId="0" applyNumberFormat="0" applyBorder="0" applyAlignment="0" applyProtection="0"/>
    <xf numFmtId="217" fontId="76" fillId="0" borderId="0"/>
    <xf numFmtId="217" fontId="76" fillId="87" borderId="0" applyNumberFormat="0" applyBorder="0" applyAlignment="0" applyProtection="0"/>
    <xf numFmtId="217" fontId="76" fillId="0" borderId="0"/>
    <xf numFmtId="217" fontId="76" fillId="0" borderId="0"/>
    <xf numFmtId="217" fontId="76" fillId="0" borderId="0"/>
    <xf numFmtId="217" fontId="37" fillId="0" borderId="0"/>
    <xf numFmtId="217" fontId="37" fillId="0" borderId="0"/>
    <xf numFmtId="217" fontId="76" fillId="68" borderId="0" applyNumberFormat="0" applyBorder="0" applyAlignment="0" applyProtection="0"/>
    <xf numFmtId="217" fontId="76" fillId="68" borderId="0" applyNumberFormat="0" applyBorder="0" applyAlignment="0" applyProtection="0"/>
    <xf numFmtId="217" fontId="1" fillId="0" borderId="0"/>
    <xf numFmtId="217" fontId="76" fillId="84" borderId="0" applyNumberFormat="0" applyBorder="0" applyAlignment="0" applyProtection="0"/>
    <xf numFmtId="217" fontId="76" fillId="84" borderId="0" applyNumberFormat="0" applyBorder="0" applyAlignment="0" applyProtection="0"/>
    <xf numFmtId="217" fontId="1" fillId="0" borderId="0"/>
    <xf numFmtId="217" fontId="76" fillId="69" borderId="0" applyNumberFormat="0" applyBorder="0" applyAlignment="0" applyProtection="0"/>
    <xf numFmtId="217" fontId="76" fillId="80" borderId="0" applyNumberFormat="0" applyBorder="0" applyAlignment="0" applyProtection="0"/>
    <xf numFmtId="217" fontId="76" fillId="0" borderId="0"/>
    <xf numFmtId="217" fontId="76" fillId="0" borderId="0"/>
    <xf numFmtId="217" fontId="1" fillId="0" borderId="0"/>
    <xf numFmtId="217" fontId="76" fillId="0" borderId="0"/>
    <xf numFmtId="217" fontId="76" fillId="0" borderId="0"/>
    <xf numFmtId="217" fontId="1" fillId="0" borderId="0"/>
    <xf numFmtId="217" fontId="37" fillId="0" borderId="0"/>
    <xf numFmtId="217" fontId="76" fillId="72" borderId="0" applyNumberFormat="0" applyBorder="0" applyAlignment="0" applyProtection="0"/>
    <xf numFmtId="217" fontId="76" fillId="54" borderId="0" applyNumberFormat="0" applyBorder="0" applyAlignment="0" applyProtection="0"/>
    <xf numFmtId="217" fontId="76" fillId="72" borderId="0" applyNumberFormat="0" applyBorder="0" applyAlignment="0" applyProtection="0"/>
    <xf numFmtId="217" fontId="1" fillId="0" borderId="0"/>
    <xf numFmtId="217" fontId="76" fillId="0" borderId="0"/>
    <xf numFmtId="217" fontId="76" fillId="87" borderId="0" applyNumberFormat="0" applyBorder="0" applyAlignment="0" applyProtection="0"/>
    <xf numFmtId="217" fontId="76" fillId="79" borderId="0" applyNumberFormat="0" applyBorder="0" applyAlignment="0" applyProtection="0"/>
    <xf numFmtId="217" fontId="76" fillId="88"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68" borderId="0" applyNumberFormat="0" applyBorder="0" applyAlignment="0" applyProtection="0"/>
    <xf numFmtId="217" fontId="76" fillId="79" borderId="0" applyNumberFormat="0" applyBorder="0" applyAlignment="0" applyProtection="0"/>
    <xf numFmtId="217" fontId="76" fillId="59" borderId="30" applyNumberFormat="0" applyFont="0" applyAlignment="0" applyProtection="0"/>
    <xf numFmtId="217" fontId="76" fillId="88" borderId="0" applyNumberFormat="0" applyBorder="0" applyAlignment="0" applyProtection="0"/>
    <xf numFmtId="217" fontId="76" fillId="0" borderId="0"/>
    <xf numFmtId="217" fontId="76" fillId="0" borderId="0"/>
    <xf numFmtId="217" fontId="76" fillId="76" borderId="0" applyNumberFormat="0" applyBorder="0" applyAlignment="0" applyProtection="0"/>
    <xf numFmtId="217" fontId="76" fillId="84" borderId="0" applyNumberFormat="0" applyBorder="0" applyAlignment="0" applyProtection="0"/>
    <xf numFmtId="217" fontId="76" fillId="73"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1" fillId="0" borderId="0"/>
    <xf numFmtId="217" fontId="76" fillId="54" borderId="0" applyNumberFormat="0" applyBorder="0" applyAlignment="0" applyProtection="0"/>
    <xf numFmtId="217" fontId="76" fillId="79" borderId="0" applyNumberFormat="0" applyBorder="0" applyAlignment="0" applyProtection="0"/>
    <xf numFmtId="217" fontId="1" fillId="0" borderId="0"/>
    <xf numFmtId="217" fontId="76" fillId="0" borderId="0"/>
    <xf numFmtId="217" fontId="76" fillId="54"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217" fontId="76" fillId="0" borderId="0"/>
    <xf numFmtId="217" fontId="1" fillId="0" borderId="0"/>
    <xf numFmtId="217" fontId="37" fillId="0" borderId="0"/>
    <xf numFmtId="217" fontId="37" fillId="0" borderId="0"/>
    <xf numFmtId="217" fontId="76" fillId="0" borderId="0"/>
    <xf numFmtId="217" fontId="76" fillId="59" borderId="30" applyNumberFormat="0" applyFont="0" applyAlignment="0" applyProtection="0"/>
    <xf numFmtId="217" fontId="76" fillId="76" borderId="0" applyNumberFormat="0" applyBorder="0" applyAlignment="0" applyProtection="0"/>
    <xf numFmtId="217" fontId="1" fillId="0" borderId="0" applyFont="0" applyFill="0" applyBorder="0" applyAlignment="0" applyProtection="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88" borderId="0" applyNumberFormat="0" applyBorder="0" applyAlignment="0" applyProtection="0"/>
    <xf numFmtId="217" fontId="37" fillId="0" borderId="0"/>
    <xf numFmtId="217" fontId="76" fillId="73" borderId="0" applyNumberFormat="0" applyBorder="0" applyAlignment="0" applyProtection="0"/>
    <xf numFmtId="217" fontId="76" fillId="84" borderId="0" applyNumberFormat="0" applyBorder="0" applyAlignment="0" applyProtection="0"/>
    <xf numFmtId="217" fontId="76" fillId="0" borderId="0"/>
    <xf numFmtId="217" fontId="76" fillId="69" borderId="0" applyNumberFormat="0" applyBorder="0" applyAlignment="0" applyProtection="0"/>
    <xf numFmtId="217" fontId="1" fillId="0" borderId="0"/>
    <xf numFmtId="217" fontId="76" fillId="0" borderId="0"/>
    <xf numFmtId="217" fontId="76" fillId="0" borderId="0"/>
    <xf numFmtId="217" fontId="76" fillId="88" borderId="0" applyNumberFormat="0" applyBorder="0" applyAlignment="0" applyProtection="0"/>
    <xf numFmtId="217" fontId="1" fillId="0" borderId="0"/>
    <xf numFmtId="217" fontId="76" fillId="87" borderId="0" applyNumberFormat="0" applyBorder="0" applyAlignment="0" applyProtection="0"/>
    <xf numFmtId="217" fontId="1" fillId="0" borderId="0"/>
    <xf numFmtId="217" fontId="76" fillId="72" borderId="0" applyNumberFormat="0" applyBorder="0" applyAlignment="0" applyProtection="0"/>
    <xf numFmtId="217" fontId="76" fillId="83" borderId="0" applyNumberFormat="0" applyBorder="0" applyAlignment="0" applyProtection="0"/>
    <xf numFmtId="217" fontId="76" fillId="0" borderId="0"/>
    <xf numFmtId="217" fontId="76" fillId="68" borderId="0" applyNumberFormat="0" applyBorder="0" applyAlignment="0" applyProtection="0"/>
    <xf numFmtId="217" fontId="1" fillId="0" borderId="0"/>
    <xf numFmtId="217" fontId="76" fillId="0" borderId="0"/>
    <xf numFmtId="217" fontId="76" fillId="0" borderId="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1" fillId="0" borderId="0"/>
    <xf numFmtId="217" fontId="37" fillId="0" borderId="0"/>
    <xf numFmtId="217" fontId="1" fillId="0" borderId="0"/>
    <xf numFmtId="217" fontId="1"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76" fillId="72"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69" borderId="0" applyNumberFormat="0" applyBorder="0" applyAlignment="0" applyProtection="0"/>
    <xf numFmtId="217" fontId="76" fillId="84" borderId="0" applyNumberFormat="0" applyBorder="0" applyAlignment="0" applyProtection="0"/>
    <xf numFmtId="217" fontId="76" fillId="54" borderId="0" applyNumberFormat="0" applyBorder="0" applyAlignment="0" applyProtection="0"/>
    <xf numFmtId="217" fontId="76" fillId="88" borderId="0" applyNumberFormat="0" applyBorder="0" applyAlignment="0" applyProtection="0"/>
    <xf numFmtId="217" fontId="76" fillId="80" borderId="0" applyNumberFormat="0" applyBorder="0" applyAlignment="0" applyProtection="0"/>
    <xf numFmtId="217" fontId="76" fillId="87" borderId="0" applyNumberFormat="0" applyBorder="0" applyAlignment="0" applyProtection="0"/>
    <xf numFmtId="217" fontId="76" fillId="83" borderId="0" applyNumberFormat="0" applyBorder="0" applyAlignment="0" applyProtection="0"/>
    <xf numFmtId="217" fontId="76" fillId="68" borderId="0" applyNumberFormat="0" applyBorder="0" applyAlignment="0" applyProtection="0"/>
    <xf numFmtId="217" fontId="1" fillId="0" borderId="0"/>
    <xf numFmtId="217" fontId="37" fillId="0" borderId="0"/>
    <xf numFmtId="217" fontId="76" fillId="79" borderId="0" applyNumberFormat="0" applyBorder="0" applyAlignment="0" applyProtection="0"/>
    <xf numFmtId="217" fontId="1" fillId="0" borderId="0"/>
    <xf numFmtId="217" fontId="1" fillId="0" borderId="0"/>
    <xf numFmtId="217" fontId="37" fillId="0" borderId="0"/>
    <xf numFmtId="217" fontId="1" fillId="0" borderId="0"/>
    <xf numFmtId="217" fontId="37" fillId="0" borderId="0"/>
    <xf numFmtId="217" fontId="1" fillId="0" borderId="0"/>
    <xf numFmtId="217" fontId="37" fillId="0" borderId="0"/>
    <xf numFmtId="217" fontId="1" fillId="0" borderId="0"/>
    <xf numFmtId="217" fontId="37"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7" fillId="0" borderId="0"/>
    <xf numFmtId="217" fontId="1" fillId="0" borderId="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68" fillId="0" borderId="0" applyNumberFormat="0" applyFill="0" applyBorder="0" applyAlignment="0" applyProtection="0"/>
    <xf numFmtId="217" fontId="65" fillId="0" borderId="0" applyNumberFormat="0" applyFill="0" applyBorder="0" applyAlignment="0" applyProtection="0"/>
    <xf numFmtId="164" fontId="76" fillId="0" borderId="0" applyFont="0" applyFill="0" applyBorder="0" applyAlignment="0" applyProtection="0"/>
    <xf numFmtId="217" fontId="76" fillId="0" borderId="0"/>
    <xf numFmtId="217" fontId="43" fillId="7" borderId="9" applyNumberFormat="0" applyAlignment="0" applyProtection="0"/>
    <xf numFmtId="217" fontId="155"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159" fillId="0" borderId="0" applyNumberFormat="0" applyFill="0" applyBorder="0" applyAlignment="0" applyProtection="0"/>
    <xf numFmtId="217" fontId="159" fillId="0" borderId="0" applyNumberFormat="0" applyFill="0" applyBorder="0" applyAlignment="0" applyProtection="0"/>
    <xf numFmtId="217" fontId="16" fillId="8" borderId="18" applyNumberFormat="0" applyFont="0" applyAlignment="0" applyProtection="0"/>
    <xf numFmtId="217" fontId="159" fillId="0" borderId="0" applyNumberFormat="0" applyFill="0" applyBorder="0" applyAlignment="0" applyProtection="0"/>
    <xf numFmtId="217" fontId="3" fillId="0" borderId="0" applyNumberFormat="0" applyFill="0" applyBorder="0" applyAlignment="0" applyProtection="0"/>
    <xf numFmtId="217" fontId="23" fillId="0" borderId="2" applyNumberFormat="0" applyFill="0" applyAlignment="0" applyProtection="0"/>
    <xf numFmtId="217" fontId="26" fillId="0" borderId="4" applyNumberFormat="0" applyFill="0" applyAlignment="0" applyProtection="0"/>
    <xf numFmtId="217" fontId="29" fillId="0" borderId="6" applyNumberFormat="0" applyFill="0" applyAlignment="0" applyProtection="0"/>
    <xf numFmtId="217" fontId="29" fillId="0" borderId="0" applyNumberFormat="0" applyFill="0" applyBorder="0" applyAlignment="0" applyProtection="0"/>
    <xf numFmtId="217" fontId="34" fillId="0" borderId="10" applyNumberFormat="0" applyFill="0" applyAlignment="0" applyProtection="0"/>
    <xf numFmtId="217" fontId="63" fillId="13" borderId="14" applyNumberFormat="0" applyAlignment="0" applyProtection="0"/>
    <xf numFmtId="217" fontId="38"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3"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6"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5" fillId="0" borderId="0"/>
    <xf numFmtId="217" fontId="1" fillId="0" borderId="0"/>
    <xf numFmtId="217" fontId="1" fillId="0" borderId="0"/>
    <xf numFmtId="217" fontId="76" fillId="0" borderId="0" applyNumberFormat="0" applyFill="0" applyBorder="0" applyAlignment="0" applyProtection="0"/>
    <xf numFmtId="217" fontId="76" fillId="0" borderId="0" applyNumberFormat="0" applyFill="0" applyBorder="0" applyAlignment="0" applyProtection="0"/>
    <xf numFmtId="217" fontId="1" fillId="0" borderId="0"/>
    <xf numFmtId="217" fontId="76" fillId="0" borderId="0"/>
    <xf numFmtId="9" fontId="159" fillId="0" borderId="0" applyFont="0" applyFill="0" applyBorder="0" applyAlignment="0" applyProtection="0"/>
    <xf numFmtId="164" fontId="76" fillId="0" borderId="0" applyFont="0" applyFill="0" applyBorder="0" applyAlignment="0" applyProtection="0"/>
    <xf numFmtId="217" fontId="1" fillId="0" borderId="0"/>
    <xf numFmtId="217" fontId="1" fillId="0" borderId="0"/>
    <xf numFmtId="217" fontId="1" fillId="0" borderId="0"/>
    <xf numFmtId="217" fontId="1" fillId="0" borderId="0"/>
    <xf numFmtId="217" fontId="76" fillId="0" borderId="0"/>
    <xf numFmtId="217" fontId="159" fillId="0" borderId="0"/>
    <xf numFmtId="217" fontId="159" fillId="0" borderId="0"/>
    <xf numFmtId="217" fontId="159" fillId="0" borderId="0"/>
    <xf numFmtId="217" fontId="159" fillId="0" borderId="0"/>
    <xf numFmtId="217" fontId="159" fillId="0" borderId="0" applyNumberFormat="0" applyFill="0" applyBorder="0" applyAlignment="0" applyProtection="0"/>
    <xf numFmtId="217" fontId="1" fillId="0" borderId="0"/>
    <xf numFmtId="217" fontId="76"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9"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9" fillId="0" borderId="0" applyNumberFormat="0" applyFill="0" applyBorder="0" applyAlignment="0" applyProtection="0"/>
    <xf numFmtId="217" fontId="1" fillId="0" borderId="0">
      <alignment wrapText="1"/>
    </xf>
    <xf numFmtId="217" fontId="1" fillId="0" borderId="0"/>
    <xf numFmtId="217" fontId="76"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9"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159"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9" fillId="0" borderId="0" applyNumberFormat="0" applyFill="0" applyBorder="0" applyAlignment="0" applyProtection="0"/>
    <xf numFmtId="217" fontId="34" fillId="0" borderId="10" applyNumberFormat="0" applyFill="0" applyAlignment="0" applyProtection="0"/>
    <xf numFmtId="217" fontId="1" fillId="0" borderId="0"/>
    <xf numFmtId="217" fontId="167"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6" fillId="0" borderId="0" applyFont="0" applyFill="0" applyBorder="0" applyAlignment="0" applyProtection="0"/>
    <xf numFmtId="217" fontId="162" fillId="0" borderId="0" applyFont="0" applyFill="0" applyBorder="0" applyAlignment="0" applyProtection="0"/>
    <xf numFmtId="217" fontId="65" fillId="0" borderId="0" applyNumberFormat="0" applyFill="0" applyBorder="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29" fillId="0" borderId="0" applyNumberFormat="0" applyFill="0" applyBorder="0" applyAlignment="0" applyProtection="0"/>
    <xf numFmtId="217" fontId="29" fillId="0" borderId="6" applyNumberFormat="0" applyFill="0" applyAlignment="0" applyProtection="0"/>
    <xf numFmtId="217" fontId="26" fillId="0" borderId="4" applyNumberFormat="0" applyFill="0" applyAlignment="0" applyProtection="0"/>
    <xf numFmtId="217" fontId="23" fillId="0" borderId="2" applyNumberFormat="0" applyFill="0" applyAlignment="0" applyProtection="0"/>
    <xf numFmtId="217" fontId="38" fillId="4" borderId="0" applyNumberFormat="0" applyBorder="0" applyAlignment="0" applyProtection="0"/>
    <xf numFmtId="217" fontId="46" fillId="0" borderId="0" applyNumberFormat="0" applyFill="0" applyBorder="0" applyAlignment="0" applyProtection="0"/>
    <xf numFmtId="217" fontId="74" fillId="43" borderId="11" applyNumberFormat="0" applyAlignment="0" applyProtection="0"/>
    <xf numFmtId="217" fontId="168" fillId="13" borderId="9" applyNumberFormat="0" applyAlignment="0" applyProtection="0"/>
    <xf numFmtId="217" fontId="50" fillId="3" borderId="0" applyNumberFormat="0" applyBorder="0" applyAlignment="0" applyProtection="0"/>
    <xf numFmtId="217" fontId="18" fillId="35" borderId="0" applyNumberFormat="0" applyBorder="0" applyAlignment="0" applyProtection="0"/>
    <xf numFmtId="217" fontId="18" fillId="17" borderId="0" applyNumberFormat="0" applyBorder="0" applyAlignment="0" applyProtection="0"/>
    <xf numFmtId="217" fontId="18" fillId="16" borderId="0" applyNumberFormat="0" applyBorder="0" applyAlignment="0" applyProtection="0"/>
    <xf numFmtId="217" fontId="18" fillId="19" borderId="0" applyNumberFormat="0" applyBorder="0" applyAlignment="0" applyProtection="0"/>
    <xf numFmtId="217" fontId="18" fillId="27" borderId="0" applyNumberFormat="0" applyBorder="0" applyAlignment="0" applyProtection="0"/>
    <xf numFmtId="217" fontId="18" fillId="42" borderId="0" applyNumberFormat="0" applyBorder="0" applyAlignment="0" applyProtection="0"/>
    <xf numFmtId="217" fontId="18" fillId="18" borderId="0" applyNumberFormat="0" applyBorder="0" applyAlignment="0" applyProtection="0"/>
    <xf numFmtId="217" fontId="18" fillId="17" borderId="0" applyNumberFormat="0" applyBorder="0" applyAlignment="0" applyProtection="0"/>
    <xf numFmtId="217" fontId="18" fillId="16" borderId="0" applyNumberFormat="0" applyBorder="0" applyAlignment="0" applyProtection="0"/>
    <xf numFmtId="217" fontId="18" fillId="11" borderId="0" applyNumberFormat="0" applyBorder="0" applyAlignment="0" applyProtection="0"/>
    <xf numFmtId="217" fontId="18" fillId="10" borderId="0" applyNumberFormat="0" applyBorder="0" applyAlignment="0" applyProtection="0"/>
    <xf numFmtId="217" fontId="18" fillId="15" borderId="0" applyNumberFormat="0" applyBorder="0" applyAlignment="0" applyProtection="0"/>
    <xf numFmtId="217" fontId="16" fillId="12" borderId="0" applyNumberFormat="0" applyBorder="0" applyAlignment="0" applyProtection="0"/>
    <xf numFmtId="217" fontId="16" fillId="9" borderId="0" applyNumberFormat="0" applyBorder="0" applyAlignment="0" applyProtection="0"/>
    <xf numFmtId="217" fontId="16" fillId="5" borderId="0" applyNumberFormat="0" applyBorder="0" applyAlignment="0" applyProtection="0"/>
    <xf numFmtId="217" fontId="16" fillId="11" borderId="0" applyNumberFormat="0" applyBorder="0" applyAlignment="0" applyProtection="0"/>
    <xf numFmtId="217" fontId="16" fillId="10" borderId="0" applyNumberFormat="0" applyBorder="0" applyAlignment="0" applyProtection="0"/>
    <xf numFmtId="217" fontId="16" fillId="9" borderId="0" applyNumberFormat="0" applyBorder="0" applyAlignment="0" applyProtection="0"/>
    <xf numFmtId="217" fontId="16" fillId="7" borderId="0" applyNumberFormat="0" applyBorder="0" applyAlignment="0" applyProtection="0"/>
    <xf numFmtId="217" fontId="16" fillId="6" borderId="0" applyNumberFormat="0" applyBorder="0" applyAlignment="0" applyProtection="0"/>
    <xf numFmtId="217" fontId="16" fillId="5" borderId="0" applyNumberFormat="0" applyBorder="0" applyAlignment="0" applyProtection="0"/>
    <xf numFmtId="217" fontId="16" fillId="4" borderId="0" applyNumberFormat="0" applyBorder="0" applyAlignment="0" applyProtection="0"/>
    <xf numFmtId="217" fontId="16" fillId="3" borderId="0" applyNumberFormat="0" applyBorder="0" applyAlignment="0" applyProtection="0"/>
    <xf numFmtId="217" fontId="16" fillId="2" borderId="0" applyNumberFormat="0" applyBorder="0" applyAlignment="0" applyProtection="0"/>
    <xf numFmtId="217" fontId="16" fillId="0" borderId="0" applyNumberFormat="0" applyFill="0" applyBorder="0" applyAlignment="0" applyProtection="0"/>
    <xf numFmtId="217" fontId="1" fillId="0" borderId="0" applyNumberForma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applyNumberFormat="0" applyFill="0" applyBorder="0" applyAlignment="0" applyProtection="0"/>
    <xf numFmtId="217" fontId="76" fillId="0" borderId="0" applyNumberFormat="0" applyFill="0" applyBorder="0" applyAlignment="0" applyProtection="0"/>
    <xf numFmtId="217" fontId="3" fillId="0" borderId="0" applyNumberFormat="0" applyFill="0" applyBorder="0" applyAlignment="0" applyProtection="0"/>
    <xf numFmtId="217" fontId="76" fillId="0" borderId="0" applyNumberFormat="0" applyFill="0" applyBorder="0" applyAlignment="0" applyProtection="0"/>
    <xf numFmtId="217" fontId="76"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9" fillId="0" borderId="0" applyFont="0" applyFill="0" applyBorder="0" applyAlignment="0" applyProtection="0"/>
    <xf numFmtId="217" fontId="1" fillId="0" borderId="0" applyFont="0" applyFill="0" applyBorder="0" applyAlignment="0" applyProtection="0"/>
    <xf numFmtId="9" fontId="169"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70"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71" fillId="0" borderId="0" applyNumberFormat="0" applyFill="0" applyBorder="0" applyAlignment="0" applyProtection="0">
      <alignment vertical="top"/>
      <protection locked="0"/>
    </xf>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200"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217" fontId="1" fillId="0" borderId="0"/>
    <xf numFmtId="217" fontId="58" fillId="0" borderId="0"/>
    <xf numFmtId="217" fontId="76" fillId="0" borderId="0"/>
    <xf numFmtId="217" fontId="76" fillId="0" borderId="0"/>
    <xf numFmtId="217" fontId="76" fillId="0" borderId="0"/>
    <xf numFmtId="217" fontId="1" fillId="0" borderId="0"/>
    <xf numFmtId="217" fontId="1" fillId="0" borderId="0"/>
    <xf numFmtId="217" fontId="76" fillId="0" borderId="0" applyNumberFormat="0" applyFill="0" applyBorder="0" applyAlignment="0" applyProtection="0"/>
    <xf numFmtId="217" fontId="58" fillId="0" borderId="0"/>
    <xf numFmtId="217" fontId="162" fillId="0" borderId="0" applyFont="0" applyFill="0" applyBorder="0" applyAlignment="0" applyProtection="0"/>
    <xf numFmtId="217" fontId="76" fillId="0" borderId="0"/>
    <xf numFmtId="217" fontId="76" fillId="0" borderId="0"/>
    <xf numFmtId="9" fontId="131" fillId="0" borderId="0" applyFont="0" applyFill="0" applyBorder="0" applyAlignment="0" applyProtection="0"/>
    <xf numFmtId="212" fontId="131" fillId="0" borderId="0"/>
    <xf numFmtId="217" fontId="131" fillId="92" borderId="0"/>
    <xf numFmtId="217" fontId="167" fillId="0" borderId="0"/>
    <xf numFmtId="217" fontId="131" fillId="0" borderId="0"/>
    <xf numFmtId="217" fontId="131" fillId="0" borderId="0"/>
    <xf numFmtId="217" fontId="166" fillId="0" borderId="0">
      <alignment horizontal="center" textRotation="90"/>
    </xf>
    <xf numFmtId="217" fontId="166" fillId="0" borderId="0">
      <alignment horizontal="center"/>
    </xf>
    <xf numFmtId="217" fontId="165" fillId="0" borderId="104"/>
    <xf numFmtId="212" fontId="131" fillId="0" borderId="0"/>
    <xf numFmtId="217" fontId="131" fillId="92" borderId="0"/>
    <xf numFmtId="217" fontId="131" fillId="92" borderId="0"/>
    <xf numFmtId="217" fontId="131" fillId="0" borderId="0"/>
    <xf numFmtId="217" fontId="1" fillId="0" borderId="0">
      <alignment wrapText="1"/>
    </xf>
    <xf numFmtId="217" fontId="159" fillId="0" borderId="0"/>
    <xf numFmtId="217" fontId="159" fillId="0" borderId="0" applyNumberFormat="0" applyFill="0" applyBorder="0" applyAlignment="0" applyProtection="0"/>
    <xf numFmtId="217" fontId="76" fillId="0" borderId="0"/>
    <xf numFmtId="217" fontId="76" fillId="0" borderId="0"/>
    <xf numFmtId="217" fontId="1" fillId="0" borderId="0"/>
    <xf numFmtId="217" fontId="162" fillId="0" borderId="0"/>
    <xf numFmtId="217" fontId="159" fillId="0" borderId="0"/>
    <xf numFmtId="217" fontId="159" fillId="0" borderId="0" applyNumberFormat="0" applyFill="0" applyBorder="0" applyAlignment="0" applyProtection="0"/>
    <xf numFmtId="217" fontId="1" fillId="0" borderId="0"/>
    <xf numFmtId="217" fontId="1" fillId="0" borderId="0"/>
    <xf numFmtId="217" fontId="76" fillId="0" borderId="0"/>
    <xf numFmtId="217" fontId="162" fillId="0" borderId="0"/>
    <xf numFmtId="217" fontId="76" fillId="0" borderId="0"/>
    <xf numFmtId="217" fontId="162" fillId="0" borderId="0"/>
    <xf numFmtId="217" fontId="76" fillId="0" borderId="0"/>
    <xf numFmtId="217" fontId="162" fillId="0" borderId="0"/>
    <xf numFmtId="217" fontId="162" fillId="0" borderId="0"/>
    <xf numFmtId="217" fontId="1"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1" fillId="0" borderId="0"/>
    <xf numFmtId="217" fontId="76" fillId="0" borderId="0"/>
    <xf numFmtId="217" fontId="76" fillId="0" borderId="0"/>
    <xf numFmtId="217" fontId="1" fillId="0" borderId="0"/>
    <xf numFmtId="217" fontId="76" fillId="0" borderId="0"/>
    <xf numFmtId="217" fontId="162" fillId="0" borderId="0"/>
    <xf numFmtId="217" fontId="76" fillId="0" borderId="0"/>
    <xf numFmtId="217" fontId="1" fillId="0" borderId="0"/>
    <xf numFmtId="217" fontId="1" fillId="0" borderId="0">
      <alignment wrapText="1"/>
    </xf>
    <xf numFmtId="217" fontId="76" fillId="0" borderId="0"/>
    <xf numFmtId="217" fontId="76" fillId="0" borderId="0"/>
    <xf numFmtId="217" fontId="1" fillId="0" borderId="0"/>
    <xf numFmtId="217" fontId="160" fillId="0" borderId="0"/>
    <xf numFmtId="217" fontId="1" fillId="0" borderId="0"/>
    <xf numFmtId="217" fontId="159" fillId="0" borderId="0"/>
    <xf numFmtId="217" fontId="76" fillId="0" borderId="0"/>
    <xf numFmtId="217" fontId="76" fillId="0" borderId="0"/>
    <xf numFmtId="217" fontId="1" fillId="0" borderId="0"/>
    <xf numFmtId="217" fontId="160" fillId="0" borderId="0"/>
    <xf numFmtId="217" fontId="1" fillId="0" borderId="0"/>
    <xf numFmtId="217" fontId="1" fillId="0" borderId="0"/>
    <xf numFmtId="217" fontId="1" fillId="0" borderId="0"/>
    <xf numFmtId="217" fontId="1" fillId="0" borderId="0"/>
    <xf numFmtId="217" fontId="58" fillId="0" borderId="0"/>
    <xf numFmtId="217" fontId="164" fillId="0" borderId="0"/>
    <xf numFmtId="217" fontId="1" fillId="0" borderId="0"/>
    <xf numFmtId="217" fontId="164" fillId="0" borderId="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76" fillId="0" borderId="0" applyFont="0" applyFill="0" applyBorder="0" applyAlignment="0" applyProtection="0"/>
    <xf numFmtId="9" fontId="58"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4" fontId="17" fillId="52" borderId="14" applyNumberFormat="0" applyProtection="0">
      <alignment horizontal="right" vertical="center"/>
    </xf>
    <xf numFmtId="217" fontId="1" fillId="0" borderId="0"/>
    <xf numFmtId="217" fontId="1" fillId="0" borderId="0"/>
    <xf numFmtId="164" fontId="76" fillId="0" borderId="0" applyFont="0" applyFill="0" applyBorder="0" applyAlignment="0" applyProtection="0"/>
    <xf numFmtId="217" fontId="76" fillId="0" borderId="0"/>
    <xf numFmtId="9" fontId="76" fillId="0" borderId="0" applyFont="0" applyFill="0" applyBorder="0" applyAlignment="0" applyProtection="0"/>
    <xf numFmtId="9" fontId="58" fillId="0" borderId="0" applyFont="0" applyFill="0" applyBorder="0" applyAlignment="0" applyProtection="0"/>
    <xf numFmtId="217" fontId="76" fillId="0" borderId="0"/>
    <xf numFmtId="217" fontId="76" fillId="0" borderId="0"/>
    <xf numFmtId="9" fontId="76" fillId="0" borderId="0" applyFont="0" applyFill="0" applyBorder="0" applyAlignment="0" applyProtection="0"/>
    <xf numFmtId="164" fontId="76" fillId="0" borderId="0" applyFont="0" applyFill="0" applyBorder="0" applyAlignment="0" applyProtection="0"/>
    <xf numFmtId="217" fontId="76" fillId="0" borderId="0"/>
    <xf numFmtId="217" fontId="76" fillId="0" borderId="0"/>
    <xf numFmtId="9" fontId="1" fillId="0" borderId="0" applyFont="0" applyFill="0" applyBorder="0" applyAlignment="0" applyProtection="0"/>
    <xf numFmtId="9" fontId="76" fillId="0" borderId="0" applyFont="0" applyFill="0" applyBorder="0" applyAlignment="0" applyProtection="0"/>
    <xf numFmtId="164" fontId="76" fillId="0" borderId="0" applyFont="0" applyFill="0" applyBorder="0" applyAlignment="0" applyProtection="0"/>
    <xf numFmtId="217" fontId="76" fillId="0" borderId="0"/>
    <xf numFmtId="217" fontId="76" fillId="0" borderId="0"/>
    <xf numFmtId="217" fontId="76" fillId="0" borderId="0"/>
    <xf numFmtId="217" fontId="76" fillId="68" borderId="0" applyNumberFormat="0" applyBorder="0" applyAlignment="0" applyProtection="0"/>
    <xf numFmtId="217" fontId="76" fillId="68" borderId="0" applyNumberFormat="0" applyBorder="0" applyAlignment="0" applyProtection="0"/>
    <xf numFmtId="217" fontId="76" fillId="72"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76" fillId="54" borderId="0" applyNumberFormat="0" applyBorder="0" applyAlignment="0" applyProtection="0"/>
    <xf numFmtId="217" fontId="76" fillId="79" borderId="0" applyNumberFormat="0" applyBorder="0" applyAlignment="0" applyProtection="0"/>
    <xf numFmtId="217" fontId="76" fillId="79"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7" borderId="0" applyNumberFormat="0" applyBorder="0" applyAlignment="0" applyProtection="0"/>
    <xf numFmtId="217" fontId="76" fillId="87"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76" borderId="0" applyNumberFormat="0" applyBorder="0" applyAlignment="0" applyProtection="0"/>
    <xf numFmtId="217" fontId="76" fillId="80" borderId="0" applyNumberFormat="0" applyBorder="0" applyAlignment="0" applyProtection="0"/>
    <xf numFmtId="217" fontId="76" fillId="80" borderId="0" applyNumberFormat="0" applyBorder="0" applyAlignment="0" applyProtection="0"/>
    <xf numFmtId="217" fontId="76" fillId="84"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76" fillId="88"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59" borderId="30" applyNumberFormat="0" applyFont="0" applyAlignment="0" applyProtection="0"/>
    <xf numFmtId="164" fontId="169"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16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9" fontId="76" fillId="0" borderId="0" applyFont="0" applyFill="0" applyBorder="0" applyAlignment="0" applyProtection="0"/>
    <xf numFmtId="208" fontId="1" fillId="0" borderId="0" applyFont="0" applyFill="0" applyBorder="0" applyAlignment="0" applyProtection="0"/>
    <xf numFmtId="217" fontId="76" fillId="0" borderId="0"/>
    <xf numFmtId="217" fontId="76" fillId="0" borderId="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217" fontId="76" fillId="0" borderId="0"/>
    <xf numFmtId="164" fontId="76" fillId="0" borderId="0" applyFont="0" applyFill="0" applyBorder="0" applyAlignment="0" applyProtection="0"/>
    <xf numFmtId="217" fontId="76" fillId="0" borderId="0"/>
    <xf numFmtId="217" fontId="76" fillId="0" borderId="0" applyNumberFormat="0" applyFill="0" applyBorder="0" applyAlignment="0" applyProtection="0"/>
    <xf numFmtId="217" fontId="76" fillId="0" borderId="0"/>
    <xf numFmtId="217"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1" fillId="0" borderId="0"/>
    <xf numFmtId="9" fontId="76" fillId="0" borderId="0" applyFont="0" applyFill="0" applyBorder="0" applyAlignment="0" applyProtection="0"/>
    <xf numFmtId="9" fontId="76" fillId="0" borderId="0" applyFont="0" applyFill="0" applyBorder="0" applyAlignment="0" applyProtection="0"/>
    <xf numFmtId="164" fontId="1"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9" fontId="76" fillId="0" borderId="0" applyFont="0" applyFill="0" applyBorder="0" applyAlignment="0" applyProtection="0"/>
    <xf numFmtId="217" fontId="76" fillId="0" borderId="0"/>
    <xf numFmtId="9" fontId="169" fillId="0" borderId="0" applyFont="0" applyFill="0" applyBorder="0" applyAlignment="0" applyProtection="0"/>
    <xf numFmtId="217" fontId="76" fillId="0" borderId="0"/>
    <xf numFmtId="217" fontId="76" fillId="0" borderId="0"/>
    <xf numFmtId="217" fontId="76" fillId="68" borderId="0" applyNumberFormat="0" applyBorder="0" applyAlignment="0" applyProtection="0"/>
    <xf numFmtId="217" fontId="76" fillId="68" borderId="0" applyNumberFormat="0" applyBorder="0" applyAlignment="0" applyProtection="0"/>
    <xf numFmtId="217" fontId="76" fillId="72"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76" fillId="54" borderId="0" applyNumberFormat="0" applyBorder="0" applyAlignment="0" applyProtection="0"/>
    <xf numFmtId="217" fontId="76" fillId="79" borderId="0" applyNumberFormat="0" applyBorder="0" applyAlignment="0" applyProtection="0"/>
    <xf numFmtId="217" fontId="76" fillId="79"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7" borderId="0" applyNumberFormat="0" applyBorder="0" applyAlignment="0" applyProtection="0"/>
    <xf numFmtId="217" fontId="76" fillId="87"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76" borderId="0" applyNumberFormat="0" applyBorder="0" applyAlignment="0" applyProtection="0"/>
    <xf numFmtId="217" fontId="76" fillId="80" borderId="0" applyNumberFormat="0" applyBorder="0" applyAlignment="0" applyProtection="0"/>
    <xf numFmtId="217" fontId="76" fillId="80" borderId="0" applyNumberFormat="0" applyBorder="0" applyAlignment="0" applyProtection="0"/>
    <xf numFmtId="217" fontId="76" fillId="84"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76" fillId="88"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44" fontId="76" fillId="0" borderId="0" applyFont="0" applyFill="0" applyBorder="0" applyAlignment="0" applyProtection="0"/>
    <xf numFmtId="16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217" fontId="76" fillId="0" borderId="0"/>
    <xf numFmtId="16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217" fontId="76" fillId="0" borderId="0"/>
    <xf numFmtId="217" fontId="76" fillId="0" borderId="0"/>
    <xf numFmtId="217" fontId="76" fillId="68" borderId="0" applyNumberFormat="0" applyBorder="0" applyAlignment="0" applyProtection="0"/>
    <xf numFmtId="217" fontId="76" fillId="68" borderId="0" applyNumberFormat="0" applyBorder="0" applyAlignment="0" applyProtection="0"/>
    <xf numFmtId="217" fontId="76" fillId="72"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76" fillId="54" borderId="0" applyNumberFormat="0" applyBorder="0" applyAlignment="0" applyProtection="0"/>
    <xf numFmtId="217" fontId="76" fillId="79" borderId="0" applyNumberFormat="0" applyBorder="0" applyAlignment="0" applyProtection="0"/>
    <xf numFmtId="217" fontId="76" fillId="79"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7" borderId="0" applyNumberFormat="0" applyBorder="0" applyAlignment="0" applyProtection="0"/>
    <xf numFmtId="217" fontId="76" fillId="87"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76" borderId="0" applyNumberFormat="0" applyBorder="0" applyAlignment="0" applyProtection="0"/>
    <xf numFmtId="217" fontId="76" fillId="80" borderId="0" applyNumberFormat="0" applyBorder="0" applyAlignment="0" applyProtection="0"/>
    <xf numFmtId="217" fontId="76" fillId="80" borderId="0" applyNumberFormat="0" applyBorder="0" applyAlignment="0" applyProtection="0"/>
    <xf numFmtId="217" fontId="76" fillId="84"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76" fillId="88"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16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9" fontId="76" fillId="0" borderId="0" applyFont="0" applyFill="0" applyBorder="0" applyAlignment="0" applyProtection="0"/>
    <xf numFmtId="217" fontId="76" fillId="0" borderId="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217" fontId="76" fillId="0" borderId="0"/>
    <xf numFmtId="16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9" fontId="76" fillId="0" borderId="0" applyFont="0" applyFill="0" applyBorder="0" applyAlignment="0" applyProtection="0"/>
    <xf numFmtId="217" fontId="17" fillId="0" borderId="0">
      <alignment vertical="top"/>
    </xf>
    <xf numFmtId="217" fontId="1" fillId="0" borderId="0" applyNumberFormat="0" applyFill="0" applyBorder="0" applyAlignment="0" applyProtection="0"/>
    <xf numFmtId="217" fontId="76" fillId="68" borderId="0" applyNumberFormat="0" applyBorder="0" applyAlignment="0" applyProtection="0"/>
    <xf numFmtId="217" fontId="76" fillId="68" borderId="0" applyNumberFormat="0" applyBorder="0" applyAlignment="0" applyProtection="0"/>
    <xf numFmtId="217" fontId="16" fillId="2" borderId="0" applyNumberFormat="0" applyBorder="0" applyAlignment="0" applyProtection="0"/>
    <xf numFmtId="217" fontId="16" fillId="2" borderId="0" applyNumberFormat="0" applyBorder="0" applyAlignment="0" applyProtection="0"/>
    <xf numFmtId="217" fontId="16" fillId="2"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9" fillId="20" borderId="0" applyNumberFormat="0" applyBorder="0" applyAlignment="0" applyProtection="0"/>
    <xf numFmtId="217" fontId="17" fillId="21" borderId="0" applyNumberFormat="0" applyBorder="0" applyAlignment="0" applyProtection="0"/>
    <xf numFmtId="217" fontId="17" fillId="21" borderId="0" applyNumberFormat="0" applyBorder="0" applyAlignment="0" applyProtection="0"/>
    <xf numFmtId="217" fontId="19" fillId="2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9" fillId="23" borderId="0" applyNumberFormat="0" applyBorder="0" applyAlignment="0" applyProtection="0"/>
    <xf numFmtId="217" fontId="17" fillId="24" borderId="0" applyNumberFormat="0" applyBorder="0" applyAlignment="0" applyProtection="0"/>
    <xf numFmtId="217" fontId="17" fillId="25" borderId="0" applyNumberFormat="0" applyBorder="0" applyAlignment="0" applyProtection="0"/>
    <xf numFmtId="217" fontId="19" fillId="26"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9" fillId="26" borderId="0" applyNumberFormat="0" applyBorder="0" applyAlignment="0" applyProtection="0"/>
    <xf numFmtId="217" fontId="17" fillId="24" borderId="0" applyNumberFormat="0" applyBorder="0" applyAlignment="0" applyProtection="0"/>
    <xf numFmtId="217" fontId="17" fillId="28" borderId="0" applyNumberFormat="0" applyBorder="0" applyAlignment="0" applyProtection="0"/>
    <xf numFmtId="217" fontId="19" fillId="25"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9" fillId="20" borderId="0" applyNumberFormat="0" applyBorder="0" applyAlignment="0" applyProtection="0"/>
    <xf numFmtId="217" fontId="17" fillId="21" borderId="0" applyNumberFormat="0" applyBorder="0" applyAlignment="0" applyProtection="0"/>
    <xf numFmtId="217" fontId="17" fillId="25" borderId="0" applyNumberFormat="0" applyBorder="0" applyAlignment="0" applyProtection="0"/>
    <xf numFmtId="217" fontId="19" fillId="25"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9" fillId="31" borderId="0" applyNumberFormat="0" applyBorder="0" applyAlignment="0" applyProtection="0"/>
    <xf numFmtId="217" fontId="17" fillId="32" borderId="0" applyNumberFormat="0" applyBorder="0" applyAlignment="0" applyProtection="0"/>
    <xf numFmtId="217" fontId="17" fillId="21" borderId="0" applyNumberFormat="0" applyBorder="0" applyAlignment="0" applyProtection="0"/>
    <xf numFmtId="217" fontId="19" fillId="22"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9" fillId="33" borderId="0" applyNumberFormat="0" applyBorder="0" applyAlignment="0" applyProtection="0"/>
    <xf numFmtId="217" fontId="17" fillId="24" borderId="0" applyNumberFormat="0" applyBorder="0" applyAlignment="0" applyProtection="0"/>
    <xf numFmtId="217" fontId="17" fillId="34" borderId="0" applyNumberFormat="0" applyBorder="0" applyAlignment="0" applyProtection="0"/>
    <xf numFmtId="217" fontId="19" fillId="34"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21" fillId="36"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172" fillId="0" borderId="12" applyNumberFormat="0" applyBorder="0" applyProtection="0">
      <alignment horizontal="center"/>
    </xf>
    <xf numFmtId="217" fontId="172" fillId="0" borderId="12" applyNumberFormat="0" applyBorder="0" applyProtection="0">
      <alignment horizontal="center"/>
    </xf>
    <xf numFmtId="217" fontId="32" fillId="41"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32" fillId="41" borderId="9" applyNumberFormat="0" applyAlignment="0" applyProtection="0"/>
    <xf numFmtId="217" fontId="32" fillId="41" borderId="9" applyNumberFormat="0" applyAlignment="0" applyProtection="0"/>
    <xf numFmtId="217" fontId="32" fillId="41" borderId="9" applyNumberFormat="0" applyAlignment="0" applyProtection="0"/>
    <xf numFmtId="217" fontId="36" fillId="26" borderId="11" applyNumberFormat="0" applyAlignment="0" applyProtection="0"/>
    <xf numFmtId="217" fontId="74" fillId="43" borderId="11" applyNumberFormat="0" applyAlignment="0" applyProtection="0"/>
    <xf numFmtId="217" fontId="74" fillId="43" borderId="11" applyNumberFormat="0" applyAlignment="0" applyProtection="0"/>
    <xf numFmtId="217" fontId="74" fillId="43" borderId="11" applyNumberFormat="0" applyAlignment="0" applyProtection="0"/>
    <xf numFmtId="217" fontId="74" fillId="43" borderId="11" applyNumberFormat="0" applyAlignment="0" applyProtection="0"/>
    <xf numFmtId="217" fontId="74" fillId="43" borderId="11" applyNumberFormat="0" applyAlignment="0" applyProtection="0"/>
    <xf numFmtId="218" fontId="173" fillId="0" borderId="0">
      <protection locked="0"/>
    </xf>
    <xf numFmtId="218" fontId="173" fillId="0" borderId="0">
      <protection locked="0"/>
    </xf>
    <xf numFmtId="218" fontId="173" fillId="0" borderId="0">
      <protection locked="0"/>
    </xf>
    <xf numFmtId="219" fontId="173" fillId="0" borderId="0">
      <protection locked="0"/>
    </xf>
    <xf numFmtId="219" fontId="173" fillId="0" borderId="0">
      <protection locked="0"/>
    </xf>
    <xf numFmtId="219" fontId="173" fillId="0" borderId="0">
      <protection locked="0"/>
    </xf>
    <xf numFmtId="219" fontId="173" fillId="0" borderId="0">
      <protection locked="0"/>
    </xf>
    <xf numFmtId="220" fontId="173" fillId="0" borderId="0">
      <protection locked="0"/>
    </xf>
    <xf numFmtId="220" fontId="173" fillId="0" borderId="0">
      <protection locked="0"/>
    </xf>
    <xf numFmtId="192" fontId="1" fillId="0" borderId="0" applyFont="0" applyFill="0" applyBorder="0" applyAlignment="0" applyProtection="0"/>
    <xf numFmtId="220" fontId="173" fillId="0" borderId="0">
      <protection locked="0"/>
    </xf>
    <xf numFmtId="221" fontId="173" fillId="0" borderId="0">
      <protection locked="0"/>
    </xf>
    <xf numFmtId="221" fontId="173" fillId="0" borderId="0">
      <protection locked="0"/>
    </xf>
    <xf numFmtId="221" fontId="173" fillId="0" borderId="0">
      <protection locked="0"/>
    </xf>
    <xf numFmtId="221" fontId="173" fillId="0" borderId="0">
      <protection locked="0"/>
    </xf>
    <xf numFmtId="217" fontId="173" fillId="0" borderId="0">
      <protection locked="0"/>
    </xf>
    <xf numFmtId="217" fontId="173" fillId="0" borderId="0">
      <protection locked="0"/>
    </xf>
    <xf numFmtId="217" fontId="173" fillId="0" borderId="0">
      <protection locked="0"/>
    </xf>
    <xf numFmtId="217" fontId="173" fillId="0" borderId="0">
      <protection locked="0"/>
    </xf>
    <xf numFmtId="217" fontId="42" fillId="44" borderId="0" applyNumberFormat="0" applyBorder="0" applyAlignment="0" applyProtection="0"/>
    <xf numFmtId="217" fontId="42" fillId="45" borderId="0" applyNumberFormat="0" applyBorder="0" applyAlignment="0" applyProtection="0"/>
    <xf numFmtId="217" fontId="42" fillId="46" borderId="0" applyNumberFormat="0" applyBorder="0" applyAlignment="0" applyProtection="0"/>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22" fontId="1" fillId="0" borderId="0" applyFont="0" applyFill="0" applyBorder="0" applyAlignment="0" applyProtection="0"/>
    <xf numFmtId="217" fontId="46" fillId="0" borderId="0" applyNumberFormat="0" applyFill="0" applyBorder="0" applyAlignment="0" applyProtection="0"/>
    <xf numFmtId="217" fontId="46" fillId="0" borderId="0" applyNumberFormat="0" applyFill="0" applyBorder="0" applyAlignment="0" applyProtection="0"/>
    <xf numFmtId="217" fontId="46" fillId="0" borderId="0" applyNumberFormat="0" applyFill="0" applyBorder="0" applyAlignment="0" applyProtection="0"/>
    <xf numFmtId="217" fontId="46" fillId="0" borderId="0" applyNumberFormat="0" applyFill="0" applyBorder="0" applyAlignment="0" applyProtection="0"/>
    <xf numFmtId="217" fontId="46" fillId="0" borderId="0" applyNumberFormat="0" applyFill="0" applyBorder="0" applyAlignment="0" applyProtection="0"/>
    <xf numFmtId="223" fontId="173" fillId="0" borderId="0">
      <protection locked="0"/>
    </xf>
    <xf numFmtId="223" fontId="173" fillId="0" borderId="0">
      <protection locked="0"/>
    </xf>
    <xf numFmtId="223" fontId="173" fillId="0" borderId="0">
      <protection locked="0"/>
    </xf>
    <xf numFmtId="223" fontId="173" fillId="0" borderId="0">
      <protection locked="0"/>
    </xf>
    <xf numFmtId="217" fontId="39" fillId="28"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173" fillId="0" borderId="0">
      <protection locked="0"/>
    </xf>
    <xf numFmtId="217" fontId="173" fillId="0" borderId="0">
      <protection locked="0"/>
    </xf>
    <xf numFmtId="217" fontId="173" fillId="0" borderId="0">
      <protection locked="0"/>
    </xf>
    <xf numFmtId="217" fontId="173" fillId="0" borderId="0">
      <protection locked="0"/>
    </xf>
    <xf numFmtId="217" fontId="23" fillId="0" borderId="2" applyNumberFormat="0" applyFill="0" applyAlignment="0" applyProtection="0"/>
    <xf numFmtId="217" fontId="173" fillId="0" borderId="0">
      <protection locked="0"/>
    </xf>
    <xf numFmtId="217" fontId="173" fillId="0" borderId="0">
      <protection locked="0"/>
    </xf>
    <xf numFmtId="217" fontId="173" fillId="0" borderId="0">
      <protection locked="0"/>
    </xf>
    <xf numFmtId="217" fontId="173" fillId="0" borderId="0">
      <protection locked="0"/>
    </xf>
    <xf numFmtId="217" fontId="26" fillId="0" borderId="4" applyNumberFormat="0" applyFill="0" applyAlignment="0" applyProtection="0"/>
    <xf numFmtId="217" fontId="174" fillId="0" borderId="105" applyNumberFormat="0" applyFill="0" applyAlignment="0" applyProtection="0"/>
    <xf numFmtId="217" fontId="29" fillId="0" borderId="6" applyNumberFormat="0" applyFill="0" applyAlignment="0" applyProtection="0"/>
    <xf numFmtId="217" fontId="29" fillId="0" borderId="6" applyNumberFormat="0" applyFill="0" applyAlignment="0" applyProtection="0"/>
    <xf numFmtId="217" fontId="29" fillId="0" borderId="6" applyNumberFormat="0" applyFill="0" applyAlignment="0" applyProtection="0"/>
    <xf numFmtId="217" fontId="29" fillId="0" borderId="6" applyNumberFormat="0" applyFill="0" applyAlignment="0" applyProtection="0"/>
    <xf numFmtId="217" fontId="174" fillId="0" borderId="0" applyNumberFormat="0" applyFill="0" applyBorder="0" applyAlignment="0" applyProtection="0"/>
    <xf numFmtId="217" fontId="29" fillId="0" borderId="0" applyNumberFormat="0" applyFill="0" applyBorder="0" applyAlignment="0" applyProtection="0"/>
    <xf numFmtId="217" fontId="29" fillId="0" borderId="0" applyNumberFormat="0" applyFill="0" applyBorder="0" applyAlignment="0" applyProtection="0"/>
    <xf numFmtId="217" fontId="29" fillId="0" borderId="0" applyNumberFormat="0" applyFill="0" applyBorder="0" applyAlignment="0" applyProtection="0"/>
    <xf numFmtId="217" fontId="29" fillId="0" borderId="0" applyNumberFormat="0" applyFill="0" applyBorder="0" applyAlignment="0" applyProtection="0"/>
    <xf numFmtId="217" fontId="44" fillId="34"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4" fillId="34" borderId="9" applyNumberFormat="0" applyAlignment="0" applyProtection="0"/>
    <xf numFmtId="217" fontId="44" fillId="34" borderId="9" applyNumberFormat="0" applyAlignment="0" applyProtection="0"/>
    <xf numFmtId="217" fontId="44" fillId="34" borderId="9" applyNumberFormat="0" applyAlignment="0" applyProtection="0"/>
    <xf numFmtId="217" fontId="175" fillId="0" borderId="10" applyNumberFormat="0" applyFill="0" applyAlignment="0" applyProtection="0"/>
    <xf numFmtId="217" fontId="34" fillId="0" borderId="10" applyNumberFormat="0" applyFill="0" applyAlignment="0" applyProtection="0"/>
    <xf numFmtId="217" fontId="34" fillId="0" borderId="10" applyNumberFormat="0" applyFill="0" applyAlignment="0" applyProtection="0"/>
    <xf numFmtId="217" fontId="34" fillId="0" borderId="10" applyNumberFormat="0" applyFill="0" applyAlignment="0" applyProtection="0"/>
    <xf numFmtId="217" fontId="34" fillId="0" borderId="10" applyNumberFormat="0" applyFill="0" applyAlignment="0" applyProtection="0"/>
    <xf numFmtId="44" fontId="16" fillId="0" borderId="0" applyFont="0" applyFill="0" applyBorder="0" applyAlignment="0" applyProtection="0"/>
    <xf numFmtId="217" fontId="54" fillId="49"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6" fillId="0" borderId="0"/>
    <xf numFmtId="217" fontId="76"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6" fillId="0" borderId="0"/>
    <xf numFmtId="217" fontId="76" fillId="0" borderId="0"/>
    <xf numFmtId="217" fontId="159" fillId="0" borderId="0"/>
    <xf numFmtId="217" fontId="76"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6"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6" fillId="0" borderId="0"/>
    <xf numFmtId="217" fontId="76" fillId="0" borderId="0"/>
    <xf numFmtId="217" fontId="76" fillId="0" borderId="0"/>
    <xf numFmtId="217" fontId="76" fillId="0" borderId="0"/>
    <xf numFmtId="217" fontId="16"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6" fillId="8" borderId="18" applyNumberFormat="0" applyFont="0" applyAlignment="0" applyProtection="0"/>
    <xf numFmtId="217" fontId="16" fillId="8" borderId="18" applyNumberFormat="0" applyFont="0" applyAlignment="0" applyProtection="0"/>
    <xf numFmtId="217" fontId="16" fillId="8" borderId="18" applyNumberFormat="0" applyFont="0" applyAlignment="0" applyProtection="0"/>
    <xf numFmtId="217" fontId="16"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1" fillId="41" borderId="14" applyNumberFormat="0" applyAlignment="0" applyProtection="0"/>
    <xf numFmtId="217" fontId="61" fillId="41" borderId="14" applyNumberFormat="0" applyAlignment="0" applyProtection="0"/>
    <xf numFmtId="217" fontId="61" fillId="41" borderId="14" applyNumberFormat="0" applyAlignment="0" applyProtection="0"/>
    <xf numFmtId="217" fontId="61" fillId="41"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24" fontId="173" fillId="0" borderId="0">
      <protection locked="0"/>
    </xf>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3" fillId="0" borderId="0">
      <protection locked="0"/>
    </xf>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38" fontId="58" fillId="0" borderId="0" applyFont="0" applyFill="0" applyBorder="0" applyAlignment="0" applyProtection="0"/>
    <xf numFmtId="217" fontId="64" fillId="0" borderId="0" applyNumberFormat="0" applyFill="0" applyBorder="0" applyAlignment="0" applyProtection="0"/>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68" fillId="0" borderId="0" applyNumberFormat="0" applyFill="0" applyBorder="0" applyAlignment="0" applyProtection="0"/>
    <xf numFmtId="217" fontId="68" fillId="0" borderId="0" applyNumberFormat="0" applyFill="0" applyBorder="0" applyAlignment="0" applyProtection="0"/>
    <xf numFmtId="217" fontId="68" fillId="0" borderId="0" applyNumberFormat="0" applyFill="0" applyBorder="0" applyAlignment="0" applyProtection="0"/>
    <xf numFmtId="217" fontId="68" fillId="0" borderId="0" applyNumberFormat="0" applyFill="0" applyBorder="0" applyAlignment="0" applyProtection="0"/>
    <xf numFmtId="217" fontId="68" fillId="0" borderId="0" applyNumberFormat="0" applyFill="0" applyBorder="0" applyAlignment="0" applyProtection="0"/>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169" fontId="1" fillId="0" borderId="0" applyFont="0" applyFill="0" applyBorder="0" applyAlignment="0" applyProtection="0"/>
    <xf numFmtId="43" fontId="75" fillId="0" borderId="0" applyFont="0" applyFill="0" applyBorder="0" applyAlignment="0" applyProtection="0"/>
    <xf numFmtId="177" fontId="1" fillId="0" borderId="0" applyFont="0" applyFill="0" applyBorder="0" applyAlignment="0" applyProtection="0"/>
    <xf numFmtId="164" fontId="16" fillId="0" borderId="0" applyFont="0" applyFill="0" applyBorder="0" applyAlignment="0" applyProtection="0"/>
    <xf numFmtId="164" fontId="58" fillId="0" borderId="0" applyFont="0" applyFill="0" applyBorder="0" applyAlignment="0" applyProtection="0"/>
    <xf numFmtId="43" fontId="75" fillId="0" borderId="0" applyFont="0" applyFill="0" applyBorder="0" applyAlignment="0" applyProtection="0"/>
    <xf numFmtId="217" fontId="66" fillId="0" borderId="0" applyNumberFormat="0" applyFill="0" applyBorder="0" applyAlignment="0" applyProtection="0"/>
    <xf numFmtId="217" fontId="65" fillId="0" borderId="0" applyNumberFormat="0" applyFill="0" applyBorder="0" applyAlignment="0" applyProtection="0"/>
    <xf numFmtId="217" fontId="65" fillId="0" borderId="0" applyNumberFormat="0" applyFill="0" applyBorder="0" applyAlignment="0" applyProtection="0"/>
    <xf numFmtId="217" fontId="65" fillId="0" borderId="0" applyNumberFormat="0" applyFill="0" applyBorder="0" applyAlignment="0" applyProtection="0"/>
    <xf numFmtId="217" fontId="65" fillId="0" borderId="0" applyNumberFormat="0" applyFill="0" applyBorder="0" applyAlignment="0" applyProtection="0"/>
    <xf numFmtId="217" fontId="76" fillId="0" borderId="0"/>
    <xf numFmtId="44" fontId="1" fillId="0" borderId="0" applyFont="0" applyFill="0" applyBorder="0" applyAlignment="0" applyProtection="0"/>
    <xf numFmtId="4" fontId="17" fillId="52" borderId="14" applyNumberFormat="0" applyProtection="0">
      <alignment horizontal="right" vertical="center"/>
    </xf>
    <xf numFmtId="9" fontId="76"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7" fillId="0" borderId="0"/>
    <xf numFmtId="217" fontId="37" fillId="0" borderId="0"/>
    <xf numFmtId="217" fontId="37" fillId="0" borderId="0"/>
    <xf numFmtId="217" fontId="78" fillId="0" borderId="24" applyNumberFormat="0" applyFill="0" applyAlignment="0" applyProtection="0"/>
    <xf numFmtId="217" fontId="79" fillId="0" borderId="25" applyNumberFormat="0" applyFill="0" applyAlignment="0" applyProtection="0"/>
    <xf numFmtId="217" fontId="80" fillId="0" borderId="26" applyNumberFormat="0" applyFill="0" applyAlignment="0" applyProtection="0"/>
    <xf numFmtId="217" fontId="80" fillId="0" borderId="0" applyNumberFormat="0" applyFill="0" applyBorder="0" applyAlignment="0" applyProtection="0"/>
    <xf numFmtId="217" fontId="84" fillId="56" borderId="0" applyNumberFormat="0" applyBorder="0" applyAlignment="0" applyProtection="0"/>
    <xf numFmtId="217" fontId="147" fillId="65" borderId="0" applyNumberFormat="0" applyBorder="0" applyAlignment="0" applyProtection="0"/>
    <xf numFmtId="217" fontId="158" fillId="58" borderId="0" applyNumberFormat="0" applyBorder="0" applyAlignment="0" applyProtection="0"/>
    <xf numFmtId="217" fontId="86" fillId="57" borderId="28" applyNumberFormat="0" applyAlignment="0" applyProtection="0"/>
    <xf numFmtId="217" fontId="148" fillId="55" borderId="100" applyNumberFormat="0" applyAlignment="0" applyProtection="0"/>
    <xf numFmtId="217" fontId="149" fillId="55" borderId="28" applyNumberFormat="0" applyAlignment="0" applyProtection="0"/>
    <xf numFmtId="217" fontId="83" fillId="0" borderId="29" applyNumberFormat="0" applyFill="0" applyAlignment="0" applyProtection="0"/>
    <xf numFmtId="217" fontId="150" fillId="66" borderId="101" applyNumberFormat="0" applyAlignment="0" applyProtection="0"/>
    <xf numFmtId="217" fontId="103" fillId="0" borderId="0" applyNumberFormat="0" applyFill="0" applyBorder="0" applyAlignment="0" applyProtection="0"/>
    <xf numFmtId="217" fontId="151" fillId="0" borderId="0" applyNumberFormat="0" applyFill="0" applyBorder="0" applyAlignment="0" applyProtection="0"/>
    <xf numFmtId="217" fontId="152" fillId="0" borderId="102" applyNumberFormat="0" applyFill="0" applyAlignment="0" applyProtection="0"/>
    <xf numFmtId="217" fontId="146" fillId="67" borderId="0" applyNumberFormat="0" applyBorder="0" applyAlignment="0" applyProtection="0"/>
    <xf numFmtId="217" fontId="146" fillId="70" borderId="0" applyNumberFormat="0" applyBorder="0" applyAlignment="0" applyProtection="0"/>
    <xf numFmtId="217" fontId="146" fillId="71"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146" fillId="74" borderId="0" applyNumberFormat="0" applyBorder="0" applyAlignment="0" applyProtection="0"/>
    <xf numFmtId="217" fontId="146" fillId="75"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146" fillId="77" borderId="0" applyNumberFormat="0" applyBorder="0" applyAlignment="0" applyProtection="0"/>
    <xf numFmtId="217" fontId="146" fillId="78"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146" fillId="81" borderId="0" applyNumberFormat="0" applyBorder="0" applyAlignment="0" applyProtection="0"/>
    <xf numFmtId="217" fontId="146" fillId="82"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146" fillId="85" borderId="0" applyNumberFormat="0" applyBorder="0" applyAlignment="0" applyProtection="0"/>
    <xf numFmtId="217" fontId="146" fillId="86"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46" fillId="89" borderId="0" applyNumberFormat="0" applyBorder="0" applyAlignment="0" applyProtection="0"/>
    <xf numFmtId="217" fontId="76" fillId="59" borderId="30" applyNumberFormat="0" applyFont="0" applyAlignment="0" applyProtection="0"/>
    <xf numFmtId="217" fontId="76" fillId="0" borderId="0"/>
    <xf numFmtId="217" fontId="1" fillId="0" borderId="0"/>
    <xf numFmtId="217" fontId="76" fillId="0" borderId="0"/>
    <xf numFmtId="217" fontId="76" fillId="0" borderId="0"/>
    <xf numFmtId="217" fontId="76" fillId="0" borderId="0"/>
    <xf numFmtId="217" fontId="76" fillId="59" borderId="30" applyNumberFormat="0" applyFont="0" applyAlignment="0" applyProtection="0"/>
    <xf numFmtId="217" fontId="1" fillId="0" borderId="0"/>
    <xf numFmtId="217" fontId="1" fillId="0" borderId="0" applyFont="0" applyFill="0" applyBorder="0" applyAlignment="0" applyProtection="0"/>
    <xf numFmtId="217" fontId="37" fillId="0" borderId="0"/>
    <xf numFmtId="217" fontId="76" fillId="59" borderId="30" applyNumberFormat="0" applyFont="0" applyAlignment="0" applyProtection="0"/>
    <xf numFmtId="217" fontId="76" fillId="0" borderId="0"/>
    <xf numFmtId="217" fontId="37" fillId="0" borderId="0"/>
    <xf numFmtId="217" fontId="37" fillId="0" borderId="0"/>
    <xf numFmtId="217" fontId="37" fillId="0" borderId="0"/>
    <xf numFmtId="217" fontId="37" fillId="0" borderId="0"/>
    <xf numFmtId="217" fontId="76" fillId="0" borderId="0"/>
    <xf numFmtId="217" fontId="76" fillId="0" borderId="0"/>
    <xf numFmtId="217" fontId="76" fillId="0" borderId="0"/>
    <xf numFmtId="217" fontId="76" fillId="0" borderId="0"/>
    <xf numFmtId="217" fontId="76" fillId="0" borderId="0"/>
    <xf numFmtId="217" fontId="1" fillId="0" borderId="0" applyFont="0" applyFill="0" applyBorder="0" applyAlignment="0" applyProtection="0"/>
    <xf numFmtId="217" fontId="37" fillId="0" borderId="0"/>
    <xf numFmtId="217" fontId="37" fillId="0" borderId="0"/>
    <xf numFmtId="217" fontId="1" fillId="0" borderId="0"/>
    <xf numFmtId="217" fontId="1" fillId="0" borderId="0"/>
    <xf numFmtId="217" fontId="76" fillId="0" borderId="0"/>
    <xf numFmtId="217" fontId="76" fillId="0" borderId="0"/>
    <xf numFmtId="217" fontId="76" fillId="0" borderId="0"/>
    <xf numFmtId="217" fontId="76" fillId="59" borderId="30" applyNumberFormat="0" applyFont="0" applyAlignment="0" applyProtection="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37" fillId="0" borderId="0"/>
    <xf numFmtId="217" fontId="37" fillId="0" borderId="0"/>
    <xf numFmtId="217" fontId="1" fillId="0" borderId="0"/>
    <xf numFmtId="217" fontId="1" fillId="0" borderId="0"/>
    <xf numFmtId="217" fontId="37" fillId="0" borderId="0"/>
    <xf numFmtId="217" fontId="37" fillId="0" borderId="0"/>
    <xf numFmtId="217" fontId="1" fillId="0" borderId="0"/>
    <xf numFmtId="217" fontId="1" fillId="0" borderId="0"/>
    <xf numFmtId="217" fontId="1" fillId="0" borderId="0" applyFont="0" applyFill="0" applyBorder="0" applyAlignment="0" applyProtection="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37" fillId="0" borderId="0"/>
    <xf numFmtId="4" fontId="15" fillId="52" borderId="14" applyProtection="0">
      <alignment horizontal="right" vertical="center"/>
    </xf>
    <xf numFmtId="217" fontId="76" fillId="0" borderId="0"/>
    <xf numFmtId="217" fontId="76" fillId="59" borderId="30" applyNumberFormat="0" applyFont="0" applyAlignment="0" applyProtection="0"/>
    <xf numFmtId="217" fontId="76" fillId="0" borderId="0"/>
    <xf numFmtId="217" fontId="76" fillId="59" borderId="30" applyNumberFormat="0" applyFont="0" applyAlignment="0" applyProtection="0"/>
    <xf numFmtId="217" fontId="76" fillId="0" borderId="0"/>
    <xf numFmtId="217" fontId="76" fillId="0" borderId="0"/>
    <xf numFmtId="217" fontId="1" fillId="0" borderId="0" applyFont="0" applyFill="0" applyBorder="0" applyAlignment="0" applyProtection="0"/>
    <xf numFmtId="217" fontId="37" fillId="0" borderId="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applyFont="0" applyFill="0" applyBorder="0" applyAlignment="0" applyProtection="0"/>
    <xf numFmtId="217" fontId="76" fillId="0" borderId="0"/>
    <xf numFmtId="217" fontId="76" fillId="0" borderId="0"/>
    <xf numFmtId="217" fontId="76" fillId="0" borderId="0"/>
    <xf numFmtId="217" fontId="37" fillId="0" borderId="0"/>
    <xf numFmtId="217" fontId="37" fillId="0" borderId="0"/>
    <xf numFmtId="164" fontId="1" fillId="0" borderId="0" applyFont="0" applyFill="0" applyBorder="0" applyAlignment="0" applyProtection="0"/>
    <xf numFmtId="217" fontId="76"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37" fillId="0" borderId="0"/>
    <xf numFmtId="217" fontId="76" fillId="0" borderId="0"/>
    <xf numFmtId="217" fontId="76" fillId="0" borderId="0"/>
    <xf numFmtId="217" fontId="76" fillId="59" borderId="30" applyNumberFormat="0" applyFont="0" applyAlignment="0" applyProtection="0"/>
    <xf numFmtId="9" fontId="1" fillId="0" borderId="0" applyFont="0" applyFill="0" applyBorder="0" applyAlignment="0" applyProtection="0"/>
    <xf numFmtId="217" fontId="76" fillId="0" borderId="0"/>
    <xf numFmtId="217" fontId="37" fillId="0" borderId="0"/>
    <xf numFmtId="217" fontId="1" fillId="0" borderId="0" applyFont="0" applyFill="0" applyBorder="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1" fillId="0" borderId="0"/>
    <xf numFmtId="217" fontId="1" fillId="0" borderId="0"/>
    <xf numFmtId="9"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44" fontId="76" fillId="0" borderId="0" applyFont="0" applyFill="0" applyBorder="0" applyAlignment="0" applyProtection="0"/>
    <xf numFmtId="9" fontId="76" fillId="0" borderId="0" applyFont="0" applyFill="0" applyBorder="0" applyAlignment="0" applyProtection="0"/>
    <xf numFmtId="217" fontId="19" fillId="20" borderId="0" applyNumberFormat="0" applyBorder="0" applyAlignment="0" applyProtection="0"/>
    <xf numFmtId="217" fontId="19" fillId="23" borderId="0" applyNumberFormat="0" applyBorder="0" applyAlignment="0" applyProtection="0"/>
    <xf numFmtId="217" fontId="19" fillId="26" borderId="0" applyNumberFormat="0" applyBorder="0" applyAlignment="0" applyProtection="0"/>
    <xf numFmtId="217" fontId="76" fillId="0" borderId="0"/>
    <xf numFmtId="44" fontId="76" fillId="0" borderId="0" applyFont="0" applyFill="0" applyBorder="0" applyAlignment="0" applyProtection="0"/>
    <xf numFmtId="217" fontId="19" fillId="20" borderId="0" applyNumberFormat="0" applyBorder="0" applyAlignment="0" applyProtection="0"/>
    <xf numFmtId="217" fontId="76" fillId="0" borderId="0"/>
    <xf numFmtId="217" fontId="76" fillId="0" borderId="0"/>
    <xf numFmtId="217" fontId="19" fillId="31" borderId="0" applyNumberFormat="0" applyBorder="0" applyAlignment="0" applyProtection="0"/>
    <xf numFmtId="217" fontId="19" fillId="33" borderId="0" applyNumberFormat="0" applyBorder="0" applyAlignment="0" applyProtection="0"/>
    <xf numFmtId="217" fontId="76" fillId="0" borderId="0"/>
    <xf numFmtId="217" fontId="76" fillId="0" borderId="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44" fontId="58" fillId="0" borderId="0" applyFont="0" applyFill="0" applyBorder="0" applyAlignment="0" applyProtection="0"/>
    <xf numFmtId="217" fontId="76" fillId="59" borderId="30" applyNumberFormat="0" applyFont="0" applyAlignment="0" applyProtection="0"/>
    <xf numFmtId="217" fontId="76" fillId="0" borderId="0"/>
    <xf numFmtId="217" fontId="76" fillId="0" borderId="0" applyNumberFormat="0" applyFill="0" applyBorder="0" applyAlignment="0" applyProtection="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217" fontId="3" fillId="0" borderId="0" applyNumberFormat="0" applyFill="0" applyBorder="0" applyAlignment="0" applyProtection="0"/>
    <xf numFmtId="217" fontId="76" fillId="83" borderId="0" applyNumberFormat="0" applyBorder="0" applyAlignment="0" applyProtection="0"/>
    <xf numFmtId="217" fontId="19" fillId="33" borderId="0" applyNumberFormat="0" applyBorder="0" applyAlignment="0" applyProtection="0"/>
    <xf numFmtId="217" fontId="37" fillId="0" borderId="0"/>
    <xf numFmtId="217" fontId="19" fillId="31" borderId="0" applyNumberFormat="0" applyBorder="0" applyAlignment="0" applyProtection="0"/>
    <xf numFmtId="217" fontId="19" fillId="20" borderId="0" applyNumberFormat="0" applyBorder="0" applyAlignment="0" applyProtection="0"/>
    <xf numFmtId="217" fontId="19" fillId="26" borderId="0" applyNumberFormat="0" applyBorder="0" applyAlignment="0" applyProtection="0"/>
    <xf numFmtId="217" fontId="19" fillId="23" borderId="0" applyNumberFormat="0" applyBorder="0" applyAlignment="0" applyProtection="0"/>
    <xf numFmtId="217" fontId="19" fillId="20" borderId="0" applyNumberFormat="0" applyBorder="0" applyAlignment="0" applyProtection="0"/>
    <xf numFmtId="9" fontId="1" fillId="0" borderId="0" applyFont="0" applyFill="0" applyBorder="0" applyAlignment="0" applyProtection="0"/>
    <xf numFmtId="217" fontId="76" fillId="0" borderId="0"/>
    <xf numFmtId="9" fontId="76" fillId="0" borderId="0" applyFont="0" applyFill="0" applyBorder="0" applyAlignment="0" applyProtection="0"/>
    <xf numFmtId="217" fontId="76" fillId="79" borderId="0" applyNumberFormat="0" applyBorder="0" applyAlignment="0" applyProtection="0"/>
    <xf numFmtId="217" fontId="76" fillId="0" borderId="0"/>
    <xf numFmtId="217" fontId="1" fillId="0" borderId="0" applyFont="0" applyFill="0" applyBorder="0" applyAlignment="0" applyProtection="0"/>
    <xf numFmtId="217" fontId="76" fillId="0" borderId="0"/>
    <xf numFmtId="217" fontId="76" fillId="0" borderId="0"/>
    <xf numFmtId="217" fontId="76" fillId="0" borderId="0" applyNumberFormat="0" applyFill="0" applyBorder="0" applyAlignment="0" applyProtection="0"/>
    <xf numFmtId="217" fontId="37" fillId="0" borderId="0"/>
    <xf numFmtId="9" fontId="76" fillId="0" borderId="0" applyFont="0" applyFill="0" applyBorder="0" applyAlignment="0" applyProtection="0"/>
    <xf numFmtId="217" fontId="76" fillId="73" borderId="0" applyNumberFormat="0" applyBorder="0" applyAlignment="0" applyProtection="0"/>
    <xf numFmtId="217" fontId="76" fillId="59" borderId="30" applyNumberFormat="0" applyFont="0" applyAlignment="0" applyProtection="0"/>
    <xf numFmtId="44" fontId="76" fillId="0" borderId="0" applyFont="0" applyFill="0" applyBorder="0" applyAlignment="0" applyProtection="0"/>
    <xf numFmtId="217" fontId="76" fillId="88"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0" borderId="0" applyNumberFormat="0" applyFill="0" applyBorder="0" applyAlignment="0" applyProtection="0"/>
    <xf numFmtId="164" fontId="76" fillId="0" borderId="0" applyFont="0" applyFill="0" applyBorder="0" applyAlignment="0" applyProtection="0"/>
    <xf numFmtId="9" fontId="76" fillId="0" borderId="0" applyFont="0" applyFill="0" applyBorder="0" applyAlignment="0" applyProtection="0"/>
    <xf numFmtId="217" fontId="37" fillId="0" borderId="0"/>
    <xf numFmtId="217" fontId="76" fillId="0" borderId="0"/>
    <xf numFmtId="9" fontId="76" fillId="0" borderId="0" applyFont="0" applyFill="0" applyBorder="0" applyAlignment="0" applyProtection="0"/>
    <xf numFmtId="217" fontId="76" fillId="0" borderId="0"/>
    <xf numFmtId="217" fontId="76" fillId="87" borderId="0" applyNumberFormat="0" applyBorder="0" applyAlignment="0" applyProtection="0"/>
    <xf numFmtId="217" fontId="76" fillId="0" borderId="0"/>
    <xf numFmtId="217" fontId="76" fillId="0" borderId="0"/>
    <xf numFmtId="217" fontId="58" fillId="0" borderId="0"/>
    <xf numFmtId="217" fontId="76" fillId="0" borderId="0"/>
    <xf numFmtId="217" fontId="76" fillId="0" borderId="0"/>
    <xf numFmtId="217" fontId="76" fillId="72" borderId="0" applyNumberFormat="0" applyBorder="0" applyAlignment="0" applyProtection="0"/>
    <xf numFmtId="217" fontId="76" fillId="0" borderId="0" applyNumberFormat="0" applyFill="0" applyBorder="0" applyAlignment="0" applyProtection="0"/>
    <xf numFmtId="217" fontId="1" fillId="0" borderId="0" applyFont="0" applyFill="0" applyBorder="0" applyAlignment="0" applyProtection="0"/>
    <xf numFmtId="217" fontId="58" fillId="0" borderId="0" applyFont="0" applyFill="0" applyBorder="0" applyAlignment="0" applyProtection="0"/>
    <xf numFmtId="217" fontId="1" fillId="0" borderId="0" applyNumberFormat="0" applyFill="0" applyBorder="0" applyAlignment="0" applyProtection="0"/>
    <xf numFmtId="217" fontId="76" fillId="76" borderId="0" applyNumberFormat="0" applyBorder="0" applyAlignment="0" applyProtection="0"/>
    <xf numFmtId="217" fontId="37" fillId="0" borderId="0"/>
    <xf numFmtId="217" fontId="76" fillId="0" borderId="0"/>
    <xf numFmtId="217" fontId="76" fillId="0" borderId="0"/>
    <xf numFmtId="9" fontId="76" fillId="0" borderId="0" applyFont="0" applyFill="0" applyBorder="0" applyAlignment="0" applyProtection="0"/>
    <xf numFmtId="217" fontId="76" fillId="0" borderId="0" applyNumberFormat="0" applyFill="0" applyBorder="0" applyAlignment="0" applyProtection="0"/>
    <xf numFmtId="217" fontId="164" fillId="0" borderId="0"/>
    <xf numFmtId="9" fontId="76" fillId="0" borderId="0" applyFont="0" applyFill="0" applyBorder="0" applyAlignment="0" applyProtection="0"/>
    <xf numFmtId="44" fontId="76" fillId="0" borderId="0" applyFont="0" applyFill="0" applyBorder="0" applyAlignment="0" applyProtection="0"/>
    <xf numFmtId="217" fontId="37" fillId="0" borderId="0"/>
    <xf numFmtId="217" fontId="76" fillId="0" borderId="0"/>
    <xf numFmtId="217" fontId="76" fillId="0" borderId="0"/>
    <xf numFmtId="217" fontId="76" fillId="59" borderId="30" applyNumberFormat="0" applyFont="0" applyAlignment="0" applyProtection="0"/>
    <xf numFmtId="217" fontId="1" fillId="0" borderId="0"/>
    <xf numFmtId="217" fontId="76" fillId="0" borderId="0"/>
    <xf numFmtId="217" fontId="76" fillId="0" borderId="0"/>
    <xf numFmtId="9" fontId="76" fillId="0" borderId="0" applyFont="0" applyFill="0" applyBorder="0" applyAlignment="0" applyProtection="0"/>
    <xf numFmtId="44" fontId="76" fillId="0" borderId="0" applyFont="0" applyFill="0" applyBorder="0" applyAlignment="0" applyProtection="0"/>
    <xf numFmtId="217" fontId="76" fillId="68" borderId="0" applyNumberFormat="0" applyBorder="0" applyAlignment="0" applyProtection="0"/>
    <xf numFmtId="217" fontId="76" fillId="80" borderId="0" applyNumberFormat="0" applyBorder="0" applyAlignment="0" applyProtection="0"/>
    <xf numFmtId="217" fontId="76" fillId="0" borderId="0"/>
    <xf numFmtId="217" fontId="76" fillId="0" borderId="0"/>
    <xf numFmtId="44" fontId="76" fillId="0" borderId="0" applyFont="0" applyFill="0" applyBorder="0" applyAlignment="0" applyProtection="0"/>
    <xf numFmtId="217" fontId="76" fillId="0" borderId="0"/>
    <xf numFmtId="164" fontId="76" fillId="0" borderId="0" applyFont="0" applyFill="0" applyBorder="0" applyAlignment="0" applyProtection="0"/>
    <xf numFmtId="217" fontId="76" fillId="69" borderId="0" applyNumberFormat="0" applyBorder="0" applyAlignment="0" applyProtection="0"/>
    <xf numFmtId="217" fontId="76" fillId="0" borderId="0"/>
    <xf numFmtId="217" fontId="37" fillId="0" borderId="0"/>
    <xf numFmtId="217" fontId="76" fillId="0" borderId="0"/>
    <xf numFmtId="217" fontId="76" fillId="0" borderId="0" applyNumberForma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84" borderId="0" applyNumberFormat="0" applyBorder="0" applyAlignment="0" applyProtection="0"/>
    <xf numFmtId="9" fontId="76" fillId="0" borderId="0" applyFont="0" applyFill="0" applyBorder="0" applyAlignment="0" applyProtection="0"/>
    <xf numFmtId="217" fontId="76" fillId="0" borderId="0"/>
    <xf numFmtId="217" fontId="76" fillId="54" borderId="0" applyNumberFormat="0" applyBorder="0" applyAlignment="0" applyProtection="0"/>
    <xf numFmtId="9" fontId="76" fillId="0" borderId="0" applyFont="0" applyFill="0" applyBorder="0" applyAlignment="0" applyProtection="0"/>
    <xf numFmtId="164" fontId="76" fillId="0" borderId="0" applyFont="0" applyFill="0" applyBorder="0" applyAlignment="0" applyProtection="0"/>
    <xf numFmtId="217" fontId="76" fillId="0" borderId="0"/>
    <xf numFmtId="217" fontId="76" fillId="0" borderId="0"/>
    <xf numFmtId="44" fontId="76" fillId="0" borderId="0" applyFont="0" applyFill="0" applyBorder="0" applyAlignment="0" applyProtection="0"/>
    <xf numFmtId="217" fontId="76" fillId="0" borderId="0"/>
    <xf numFmtId="217" fontId="76" fillId="0" borderId="0"/>
    <xf numFmtId="9" fontId="76" fillId="0" borderId="0" applyFont="0" applyFill="0" applyBorder="0" applyAlignment="0" applyProtection="0"/>
    <xf numFmtId="217" fontId="76" fillId="0" borderId="0"/>
    <xf numFmtId="217" fontId="37" fillId="0" borderId="0"/>
    <xf numFmtId="217" fontId="1" fillId="0" borderId="0"/>
    <xf numFmtId="0" fontId="76"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6"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76" fillId="0" borderId="0" applyNumberFormat="0" applyFill="0" applyBorder="0" applyAlignment="0" applyProtection="0"/>
    <xf numFmtId="0" fontId="162" fillId="0" borderId="0" applyNumberFormat="0" applyFill="0" applyBorder="0" applyAlignment="0" applyProtection="0"/>
    <xf numFmtId="0" fontId="159"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6" fillId="0" borderId="0" applyNumberFormat="0" applyFill="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7" borderId="0" applyNumberFormat="0" applyBorder="0" applyAlignment="0" applyProtection="0"/>
    <xf numFmtId="0" fontId="76" fillId="87"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8" borderId="0" applyNumberFormat="0" applyBorder="0" applyAlignment="0" applyProtection="0"/>
    <xf numFmtId="0" fontId="76" fillId="88"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7" borderId="0" applyNumberFormat="0" applyBorder="0" applyAlignment="0" applyProtection="0"/>
    <xf numFmtId="0" fontId="146" fillId="77"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5" borderId="0" applyNumberFormat="0" applyBorder="0" applyAlignment="0" applyProtection="0"/>
    <xf numFmtId="0" fontId="146" fillId="85" borderId="0" applyNumberFormat="0" applyBorder="0" applyAlignment="0" applyProtection="0"/>
    <xf numFmtId="0" fontId="146" fillId="89" borderId="0" applyNumberFormat="0" applyBorder="0" applyAlignment="0" applyProtection="0"/>
    <xf numFmtId="0" fontId="146" fillId="89"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71" borderId="0" applyNumberFormat="0" applyBorder="0" applyAlignment="0" applyProtection="0"/>
    <xf numFmtId="0" fontId="146" fillId="71"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6" fillId="78" borderId="0" applyNumberFormat="0" applyBorder="0" applyAlignment="0" applyProtection="0"/>
    <xf numFmtId="0" fontId="146" fillId="78" borderId="0" applyNumberFormat="0" applyBorder="0" applyAlignment="0" applyProtection="0"/>
    <xf numFmtId="0" fontId="146" fillId="82" borderId="0" applyNumberFormat="0" applyBorder="0" applyAlignment="0" applyProtection="0"/>
    <xf numFmtId="0" fontId="146" fillId="82" borderId="0" applyNumberFormat="0" applyBorder="0" applyAlignment="0" applyProtection="0"/>
    <xf numFmtId="0" fontId="146" fillId="86" borderId="0" applyNumberFormat="0" applyBorder="0" applyAlignment="0" applyProtection="0"/>
    <xf numFmtId="0" fontId="146" fillId="86" borderId="0" applyNumberFormat="0" applyBorder="0" applyAlignment="0" applyProtection="0"/>
    <xf numFmtId="0" fontId="147" fillId="65" borderId="0" applyNumberFormat="0" applyBorder="0" applyAlignment="0" applyProtection="0"/>
    <xf numFmtId="0" fontId="147" fillId="65" borderId="0" applyNumberFormat="0" applyBorder="0" applyAlignment="0" applyProtection="0"/>
    <xf numFmtId="0" fontId="23" fillId="0" borderId="2" applyNumberFormat="0" applyFill="0" applyAlignment="0" applyProtection="0"/>
    <xf numFmtId="0" fontId="26" fillId="0" borderId="4"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9" fillId="55" borderId="28" applyNumberFormat="0" applyAlignment="0" applyProtection="0"/>
    <xf numFmtId="0" fontId="149" fillId="55" borderId="28" applyNumberFormat="0" applyAlignment="0" applyProtection="0"/>
    <xf numFmtId="0" fontId="170" fillId="0" borderId="0"/>
    <xf numFmtId="0" fontId="34" fillId="0" borderId="10" applyNumberFormat="0" applyFill="0" applyAlignment="0" applyProtection="0"/>
    <xf numFmtId="0" fontId="150" fillId="66" borderId="101" applyNumberFormat="0" applyAlignment="0" applyProtection="0"/>
    <xf numFmtId="0" fontId="150" fillId="66" borderId="101" applyNumberFormat="0" applyAlignment="0" applyProtection="0"/>
    <xf numFmtId="0" fontId="38" fillId="4" borderId="0" applyNumberFormat="0" applyBorder="0" applyAlignment="0" applyProtection="0"/>
    <xf numFmtId="0" fontId="43"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62" fillId="0" borderId="0" applyFont="0" applyFill="0" applyBorder="0" applyAlignment="0" applyProtection="0"/>
    <xf numFmtId="194" fontId="162" fillId="0" borderId="0" applyFont="0" applyFill="0" applyBorder="0" applyAlignment="0" applyProtection="0"/>
    <xf numFmtId="194" fontId="162" fillId="0" borderId="0" applyFont="0" applyFill="0" applyBorder="0" applyAlignment="0" applyProtection="0"/>
    <xf numFmtId="194" fontId="162"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62"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6" fillId="0" borderId="0"/>
    <xf numFmtId="0" fontId="151" fillId="0" borderId="0" applyNumberFormat="0" applyFill="0" applyBorder="0" applyAlignment="0" applyProtection="0"/>
    <xf numFmtId="0" fontId="151" fillId="0" borderId="0" applyNumberFormat="0" applyFill="0" applyBorder="0" applyAlignment="0" applyProtection="0"/>
    <xf numFmtId="0" fontId="84" fillId="56" borderId="0" applyNumberFormat="0" applyBorder="0" applyAlignment="0" applyProtection="0"/>
    <xf numFmtId="0" fontId="84" fillId="56" borderId="0" applyNumberFormat="0" applyBorder="0" applyAlignment="0" applyProtection="0"/>
    <xf numFmtId="0" fontId="78" fillId="0" borderId="24" applyNumberFormat="0" applyFill="0" applyAlignment="0" applyProtection="0"/>
    <xf numFmtId="0" fontId="78" fillId="0" borderId="24" applyNumberFormat="0" applyFill="0" applyAlignment="0" applyProtection="0"/>
    <xf numFmtId="0" fontId="79" fillId="0" borderId="25" applyNumberFormat="0" applyFill="0" applyAlignment="0" applyProtection="0"/>
    <xf numFmtId="0" fontId="79" fillId="0" borderId="25"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71" fillId="0" borderId="0" applyNumberFormat="0" applyFill="0" applyBorder="0" applyAlignment="0" applyProtection="0">
      <alignment vertical="top"/>
      <protection locked="0"/>
    </xf>
    <xf numFmtId="0" fontId="86" fillId="57" borderId="28" applyNumberFormat="0" applyAlignment="0" applyProtection="0"/>
    <xf numFmtId="0" fontId="86" fillId="57" borderId="28" applyNumberFormat="0" applyAlignment="0" applyProtection="0"/>
    <xf numFmtId="0" fontId="83" fillId="0" borderId="29" applyNumberFormat="0" applyFill="0" applyAlignment="0" applyProtection="0"/>
    <xf numFmtId="0" fontId="83" fillId="0" borderId="29" applyNumberFormat="0" applyFill="0" applyAlignment="0" applyProtection="0"/>
    <xf numFmtId="0" fontId="158" fillId="58" borderId="0" applyNumberFormat="0" applyBorder="0" applyAlignment="0" applyProtection="0"/>
    <xf numFmtId="0" fontId="158"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8" fillId="0" borderId="0"/>
    <xf numFmtId="0" fontId="76" fillId="0" borderId="0"/>
    <xf numFmtId="0" fontId="76" fillId="0" borderId="0"/>
    <xf numFmtId="0" fontId="76" fillId="0" borderId="0"/>
    <xf numFmtId="214" fontId="1" fillId="0" borderId="0"/>
    <xf numFmtId="216" fontId="1" fillId="0" borderId="0"/>
    <xf numFmtId="0" fontId="76" fillId="0" borderId="0"/>
    <xf numFmtId="0" fontId="1" fillId="0" borderId="0"/>
    <xf numFmtId="0" fontId="76" fillId="0" borderId="0" applyNumberFormat="0" applyFill="0" applyBorder="0" applyAlignment="0" applyProtection="0"/>
    <xf numFmtId="0" fontId="76" fillId="0" borderId="0" applyNumberFormat="0" applyFill="0" applyBorder="0" applyAlignment="0" applyProtection="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applyNumberFormat="0" applyFill="0" applyBorder="0" applyAlignment="0" applyProtection="0"/>
    <xf numFmtId="0" fontId="1" fillId="0" borderId="0"/>
    <xf numFmtId="0" fontId="76" fillId="0" borderId="0"/>
    <xf numFmtId="0" fontId="76" fillId="0" borderId="0"/>
    <xf numFmtId="0" fontId="1" fillId="0" borderId="0"/>
    <xf numFmtId="0" fontId="159" fillId="0" borderId="0"/>
    <xf numFmtId="0" fontId="1" fillId="0" borderId="0"/>
    <xf numFmtId="214" fontId="1" fillId="0" borderId="0"/>
    <xf numFmtId="0" fontId="162"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xf numFmtId="0" fontId="162" fillId="0" borderId="0"/>
    <xf numFmtId="0" fontId="76" fillId="0" borderId="0"/>
    <xf numFmtId="0" fontId="162" fillId="0" borderId="0"/>
    <xf numFmtId="0" fontId="162" fillId="0" borderId="0"/>
    <xf numFmtId="0" fontId="76"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76"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2" fillId="0" borderId="0"/>
    <xf numFmtId="0" fontId="76" fillId="0" borderId="0"/>
    <xf numFmtId="0" fontId="76" fillId="0" borderId="0"/>
    <xf numFmtId="0" fontId="76" fillId="0" borderId="0"/>
    <xf numFmtId="0" fontId="76" fillId="0" borderId="0"/>
    <xf numFmtId="0" fontId="159" fillId="0" borderId="0"/>
    <xf numFmtId="0" fontId="76" fillId="0" borderId="0"/>
    <xf numFmtId="0" fontId="76" fillId="0" borderId="0"/>
    <xf numFmtId="0" fontId="1" fillId="0" borderId="0"/>
    <xf numFmtId="0" fontId="1" fillId="0" borderId="0"/>
    <xf numFmtId="0" fontId="76" fillId="0" borderId="0"/>
    <xf numFmtId="0" fontId="76" fillId="0" borderId="0"/>
    <xf numFmtId="0" fontId="76" fillId="0" borderId="0"/>
    <xf numFmtId="0" fontId="76" fillId="0" borderId="0"/>
    <xf numFmtId="214" fontId="1" fillId="0" borderId="0"/>
    <xf numFmtId="0" fontId="76" fillId="0" borderId="0"/>
    <xf numFmtId="0" fontId="76" fillId="0" borderId="0"/>
    <xf numFmtId="0" fontId="159" fillId="0" borderId="0"/>
    <xf numFmtId="0" fontId="1" fillId="0" borderId="0"/>
    <xf numFmtId="0" fontId="1" fillId="0" borderId="0"/>
    <xf numFmtId="0" fontId="1" fillId="0" borderId="0"/>
    <xf numFmtId="0" fontId="1" fillId="0" borderId="0"/>
    <xf numFmtId="0" fontId="1" fillId="0" borderId="0"/>
    <xf numFmtId="0" fontId="162" fillId="0" borderId="0"/>
    <xf numFmtId="0" fontId="76" fillId="0" borderId="0"/>
    <xf numFmtId="0" fontId="1" fillId="0" borderId="0"/>
    <xf numFmtId="0" fontId="76" fillId="0" borderId="0"/>
    <xf numFmtId="0" fontId="1" fillId="0" borderId="0"/>
    <xf numFmtId="0" fontId="1" fillId="0" borderId="0">
      <alignment wrapText="1"/>
    </xf>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applyNumberFormat="0" applyFill="0" applyBorder="0" applyAlignment="0" applyProtection="0"/>
    <xf numFmtId="0" fontId="1" fillId="0" borderId="0"/>
    <xf numFmtId="0" fontId="160" fillId="0" borderId="0"/>
    <xf numFmtId="215" fontId="1" fillId="0" borderId="0"/>
    <xf numFmtId="0" fontId="159" fillId="0" borderId="0"/>
    <xf numFmtId="0" fontId="1" fillId="0" borderId="0"/>
    <xf numFmtId="0" fontId="1" fillId="0" borderId="0"/>
    <xf numFmtId="0" fontId="1" fillId="0" borderId="0"/>
    <xf numFmtId="0" fontId="76" fillId="0" borderId="0"/>
    <xf numFmtId="0" fontId="76" fillId="0" borderId="0"/>
    <xf numFmtId="0" fontId="160" fillId="0" borderId="0"/>
    <xf numFmtId="0" fontId="1" fillId="0" borderId="0"/>
    <xf numFmtId="0" fontId="1" fillId="0" borderId="0"/>
    <xf numFmtId="0" fontId="1" fillId="0" borderId="0"/>
    <xf numFmtId="0" fontId="159" fillId="0" borderId="0"/>
    <xf numFmtId="0" fontId="1" fillId="0" borderId="0"/>
    <xf numFmtId="0" fontId="76" fillId="0" borderId="0"/>
    <xf numFmtId="0" fontId="76" fillId="0" borderId="0"/>
    <xf numFmtId="0" fontId="159" fillId="0" borderId="0"/>
    <xf numFmtId="194" fontId="1" fillId="0" borderId="0"/>
    <xf numFmtId="0" fontId="76" fillId="0" borderId="0"/>
    <xf numFmtId="194" fontId="1" fillId="0" borderId="0"/>
    <xf numFmtId="0" fontId="1" fillId="0" borderId="0"/>
    <xf numFmtId="194" fontId="1" fillId="0" borderId="0"/>
    <xf numFmtId="194"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xf numFmtId="0" fontId="1" fillId="0" borderId="0"/>
    <xf numFmtId="0" fontId="164"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6" fillId="59" borderId="30" applyNumberFormat="0" applyFont="0" applyAlignment="0" applyProtection="0"/>
    <xf numFmtId="0" fontId="76" fillId="59" borderId="30" applyNumberFormat="0" applyFont="0" applyAlignment="0" applyProtection="0"/>
    <xf numFmtId="0" fontId="148" fillId="55" borderId="100" applyNumberFormat="0" applyAlignment="0" applyProtection="0"/>
    <xf numFmtId="0" fontId="148" fillId="55" borderId="100"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61" fillId="0" borderId="0">
      <alignment wrapText="1"/>
    </xf>
    <xf numFmtId="0" fontId="65"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46" fillId="67" borderId="0" applyNumberFormat="0" applyBorder="0" applyAlignment="0" applyProtection="0"/>
    <xf numFmtId="0" fontId="146" fillId="71" borderId="0" applyNumberFormat="0" applyBorder="0" applyAlignment="0" applyProtection="0"/>
    <xf numFmtId="0" fontId="146" fillId="75" borderId="0" applyNumberFormat="0" applyBorder="0" applyAlignment="0" applyProtection="0"/>
    <xf numFmtId="0" fontId="146" fillId="78" borderId="0" applyNumberFormat="0" applyBorder="0" applyAlignment="0" applyProtection="0"/>
    <xf numFmtId="0" fontId="146" fillId="82" borderId="0" applyNumberFormat="0" applyBorder="0" applyAlignment="0" applyProtection="0"/>
    <xf numFmtId="0" fontId="146" fillId="86" borderId="0" applyNumberFormat="0" applyBorder="0" applyAlignment="0" applyProtection="0"/>
    <xf numFmtId="0" fontId="146" fillId="86" borderId="0" applyNumberFormat="0" applyBorder="0" applyAlignment="0" applyProtection="0"/>
    <xf numFmtId="0" fontId="146" fillId="82" borderId="0" applyNumberFormat="0" applyBorder="0" applyAlignment="0" applyProtection="0"/>
    <xf numFmtId="0" fontId="146" fillId="78" borderId="0" applyNumberFormat="0" applyBorder="0" applyAlignment="0" applyProtection="0"/>
    <xf numFmtId="0" fontId="146" fillId="75" borderId="0" applyNumberFormat="0" applyBorder="0" applyAlignment="0" applyProtection="0"/>
    <xf numFmtId="0" fontId="146" fillId="71" borderId="0" applyNumberFormat="0" applyBorder="0" applyAlignment="0" applyProtection="0"/>
    <xf numFmtId="0" fontId="146" fillId="67"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46" fillId="67" borderId="0" applyNumberFormat="0" applyBorder="0" applyAlignment="0" applyProtection="0"/>
    <xf numFmtId="0" fontId="146" fillId="71" borderId="0" applyNumberFormat="0" applyBorder="0" applyAlignment="0" applyProtection="0"/>
    <xf numFmtId="0" fontId="146" fillId="75" borderId="0" applyNumberFormat="0" applyBorder="0" applyAlignment="0" applyProtection="0"/>
    <xf numFmtId="0" fontId="146" fillId="78" borderId="0" applyNumberFormat="0" applyBorder="0" applyAlignment="0" applyProtection="0"/>
    <xf numFmtId="0" fontId="146" fillId="82" borderId="0" applyNumberFormat="0" applyBorder="0" applyAlignment="0" applyProtection="0"/>
    <xf numFmtId="0" fontId="146" fillId="86" borderId="0" applyNumberFormat="0" applyBorder="0" applyAlignment="0" applyProtection="0"/>
    <xf numFmtId="0" fontId="162" fillId="0" borderId="0"/>
    <xf numFmtId="0" fontId="76" fillId="0" borderId="0"/>
    <xf numFmtId="194" fontId="95" fillId="0" borderId="0"/>
    <xf numFmtId="194" fontId="1" fillId="0" borderId="0"/>
    <xf numFmtId="0" fontId="146" fillId="71" borderId="0" applyNumberFormat="0" applyBorder="0" applyAlignment="0" applyProtection="0"/>
    <xf numFmtId="0" fontId="146" fillId="86" borderId="0" applyNumberFormat="0" applyBorder="0" applyAlignment="0" applyProtection="0"/>
    <xf numFmtId="0" fontId="76" fillId="0" borderId="0"/>
    <xf numFmtId="0" fontId="76" fillId="0" borderId="0"/>
    <xf numFmtId="0" fontId="76" fillId="0" borderId="0"/>
    <xf numFmtId="0" fontId="76" fillId="68"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7" borderId="0" applyNumberFormat="0" applyBorder="0" applyAlignment="0" applyProtection="0"/>
    <xf numFmtId="0" fontId="76" fillId="87"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8" borderId="0" applyNumberFormat="0" applyBorder="0" applyAlignment="0" applyProtection="0"/>
    <xf numFmtId="0" fontId="76" fillId="88" borderId="0" applyNumberFormat="0" applyBorder="0" applyAlignment="0" applyProtection="0"/>
    <xf numFmtId="0" fontId="76" fillId="0" borderId="0"/>
    <xf numFmtId="0" fontId="76" fillId="0" borderId="0"/>
    <xf numFmtId="0" fontId="76" fillId="59" borderId="30" applyNumberFormat="0" applyFont="0" applyAlignment="0" applyProtection="0"/>
    <xf numFmtId="0" fontId="76" fillId="59" borderId="30" applyNumberFormat="0" applyFont="0" applyAlignment="0" applyProtection="0"/>
    <xf numFmtId="0" fontId="76" fillId="0" borderId="0"/>
    <xf numFmtId="0" fontId="1"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xf numFmtId="0" fontId="76" fillId="0" borderId="0"/>
    <xf numFmtId="0" fontId="76" fillId="0" borderId="0" applyNumberFormat="0" applyFill="0" applyBorder="0" applyAlignment="0" applyProtection="0"/>
    <xf numFmtId="0" fontId="76" fillId="0" borderId="0"/>
    <xf numFmtId="0" fontId="76" fillId="0" borderId="0"/>
    <xf numFmtId="0" fontId="146" fillId="67" borderId="0" applyNumberFormat="0" applyBorder="0" applyAlignment="0" applyProtection="0"/>
    <xf numFmtId="0" fontId="146" fillId="78"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68"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7" borderId="0" applyNumberFormat="0" applyBorder="0" applyAlignment="0" applyProtection="0"/>
    <xf numFmtId="0" fontId="76" fillId="87"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8" borderId="0" applyNumberFormat="0" applyBorder="0" applyAlignment="0" applyProtection="0"/>
    <xf numFmtId="0" fontId="76" fillId="88" borderId="0" applyNumberFormat="0" applyBorder="0" applyAlignment="0" applyProtection="0"/>
    <xf numFmtId="0" fontId="76" fillId="0" borderId="0"/>
    <xf numFmtId="0" fontId="76" fillId="0" borderId="0"/>
    <xf numFmtId="0" fontId="76" fillId="59" borderId="30" applyNumberFormat="0" applyFont="0" applyAlignment="0" applyProtection="0"/>
    <xf numFmtId="0" fontId="76" fillId="59" borderId="30" applyNumberFormat="0" applyFont="0" applyAlignment="0" applyProtection="0"/>
    <xf numFmtId="0" fontId="76"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xf numFmtId="0" fontId="76" fillId="0" borderId="0"/>
    <xf numFmtId="0" fontId="76" fillId="0" borderId="0" applyNumberFormat="0" applyFill="0" applyBorder="0" applyAlignment="0" applyProtection="0"/>
    <xf numFmtId="0" fontId="76" fillId="0" borderId="0"/>
    <xf numFmtId="0" fontId="76" fillId="0" borderId="0"/>
    <xf numFmtId="0" fontId="146" fillId="82"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7" fillId="0" borderId="0" applyNumberFormat="0" applyFill="0" applyBorder="0" applyAlignment="0" applyProtection="0"/>
    <xf numFmtId="0" fontId="78" fillId="0" borderId="24" applyNumberFormat="0" applyFill="0" applyAlignment="0" applyProtection="0"/>
    <xf numFmtId="0" fontId="79" fillId="0" borderId="25" applyNumberFormat="0" applyFill="0" applyAlignment="0" applyProtection="0"/>
    <xf numFmtId="0" fontId="80" fillId="0" borderId="26" applyNumberFormat="0" applyFill="0" applyAlignment="0" applyProtection="0"/>
    <xf numFmtId="0" fontId="80" fillId="0" borderId="0" applyNumberFormat="0" applyFill="0" applyBorder="0" applyAlignment="0" applyProtection="0"/>
    <xf numFmtId="0" fontId="84" fillId="56" borderId="0" applyNumberFormat="0" applyBorder="0" applyAlignment="0" applyProtection="0"/>
    <xf numFmtId="0" fontId="86" fillId="57" borderId="28" applyNumberFormat="0" applyAlignment="0" applyProtection="0"/>
    <xf numFmtId="0" fontId="83" fillId="0" borderId="29" applyNumberFormat="0" applyFill="0" applyAlignment="0" applyProtection="0"/>
    <xf numFmtId="0" fontId="103" fillId="0" borderId="0" applyNumberFormat="0" applyFill="0" applyBorder="0" applyAlignment="0" applyProtection="0"/>
    <xf numFmtId="0" fontId="152" fillId="0" borderId="102" applyNumberFormat="0" applyFill="0" applyAlignment="0" applyProtection="0"/>
    <xf numFmtId="0" fontId="76" fillId="0" borderId="0"/>
    <xf numFmtId="0" fontId="17" fillId="0" borderId="0">
      <alignment vertical="top"/>
    </xf>
    <xf numFmtId="0" fontId="1" fillId="0" borderId="0" applyNumberFormat="0" applyFill="0" applyBorder="0" applyAlignment="0" applyProtection="0"/>
    <xf numFmtId="0" fontId="76" fillId="68" borderId="0" applyNumberFormat="0" applyBorder="0" applyAlignment="0" applyProtection="0"/>
    <xf numFmtId="0" fontId="76" fillId="6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76" fillId="68"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9"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9" fillId="2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9"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9"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9" fillId="26"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9" fillId="2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9" fillId="20"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9" fillId="2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9" fillId="31" borderId="0" applyNumberFormat="0" applyBorder="0" applyAlignment="0" applyProtection="0"/>
    <xf numFmtId="0" fontId="17" fillId="32" borderId="0" applyNumberFormat="0" applyBorder="0" applyAlignment="0" applyProtection="0"/>
    <xf numFmtId="0" fontId="17" fillId="21" borderId="0" applyNumberFormat="0" applyBorder="0" applyAlignment="0" applyProtection="0"/>
    <xf numFmtId="0" fontId="19" fillId="22"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9" fillId="33" borderId="0" applyNumberFormat="0" applyBorder="0" applyAlignment="0" applyProtection="0"/>
    <xf numFmtId="0" fontId="17" fillId="24" borderId="0" applyNumberFormat="0" applyBorder="0" applyAlignment="0" applyProtection="0"/>
    <xf numFmtId="0" fontId="17" fillId="34" borderId="0" applyNumberFormat="0" applyBorder="0" applyAlignment="0" applyProtection="0"/>
    <xf numFmtId="0" fontId="19"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21" fillId="36"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172" fillId="0" borderId="12" applyNumberFormat="0" applyBorder="0" applyProtection="0">
      <alignment horizontal="center"/>
    </xf>
    <xf numFmtId="0" fontId="172" fillId="0" borderId="12" applyNumberFormat="0" applyBorder="0" applyProtection="0">
      <alignment horizontal="center"/>
    </xf>
    <xf numFmtId="0" fontId="32" fillId="41"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168" fillId="13" borderId="9" applyNumberFormat="0" applyAlignment="0" applyProtection="0"/>
    <xf numFmtId="0" fontId="32" fillId="41" borderId="9" applyNumberFormat="0" applyAlignment="0" applyProtection="0"/>
    <xf numFmtId="0" fontId="32" fillId="41" borderId="9" applyNumberFormat="0" applyAlignment="0" applyProtection="0"/>
    <xf numFmtId="0" fontId="32" fillId="41" borderId="9" applyNumberFormat="0" applyAlignment="0" applyProtection="0"/>
    <xf numFmtId="0" fontId="36" fillId="26" borderId="11" applyNumberFormat="0" applyAlignment="0" applyProtection="0"/>
    <xf numFmtId="0" fontId="74" fillId="43" borderId="11" applyNumberFormat="0" applyAlignment="0" applyProtection="0"/>
    <xf numFmtId="0" fontId="74" fillId="43" borderId="11" applyNumberFormat="0" applyAlignment="0" applyProtection="0"/>
    <xf numFmtId="0" fontId="74" fillId="43" borderId="11" applyNumberFormat="0" applyAlignment="0" applyProtection="0"/>
    <xf numFmtId="0" fontId="74" fillId="43" borderId="11" applyNumberFormat="0" applyAlignment="0" applyProtection="0"/>
    <xf numFmtId="0" fontId="74" fillId="43" borderId="11" applyNumberFormat="0" applyAlignment="0" applyProtection="0"/>
    <xf numFmtId="0" fontId="173" fillId="0" borderId="0">
      <protection locked="0"/>
    </xf>
    <xf numFmtId="0" fontId="173" fillId="0" borderId="0">
      <protection locked="0"/>
    </xf>
    <xf numFmtId="0" fontId="173" fillId="0" borderId="0">
      <protection locked="0"/>
    </xf>
    <xf numFmtId="0" fontId="173" fillId="0" borderId="0">
      <protection locked="0"/>
    </xf>
    <xf numFmtId="0" fontId="42"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9" fillId="28"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173" fillId="0" borderId="0">
      <protection locked="0"/>
    </xf>
    <xf numFmtId="0" fontId="173" fillId="0" borderId="0">
      <protection locked="0"/>
    </xf>
    <xf numFmtId="0" fontId="173" fillId="0" borderId="0">
      <protection locked="0"/>
    </xf>
    <xf numFmtId="0" fontId="173" fillId="0" borderId="0">
      <protection locked="0"/>
    </xf>
    <xf numFmtId="0" fontId="23" fillId="0" borderId="2" applyNumberFormat="0" applyFill="0" applyAlignment="0" applyProtection="0"/>
    <xf numFmtId="0" fontId="173" fillId="0" borderId="0">
      <protection locked="0"/>
    </xf>
    <xf numFmtId="0" fontId="173" fillId="0" borderId="0">
      <protection locked="0"/>
    </xf>
    <xf numFmtId="0" fontId="173" fillId="0" borderId="0">
      <protection locked="0"/>
    </xf>
    <xf numFmtId="0" fontId="173" fillId="0" borderId="0">
      <protection locked="0"/>
    </xf>
    <xf numFmtId="0" fontId="26" fillId="0" borderId="4" applyNumberFormat="0" applyFill="0" applyAlignment="0" applyProtection="0"/>
    <xf numFmtId="0" fontId="174" fillId="0" borderId="10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74"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34"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3" fillId="7" borderId="9" applyNumberFormat="0" applyAlignment="0" applyProtection="0"/>
    <xf numFmtId="0" fontId="44" fillId="34" borderId="9" applyNumberFormat="0" applyAlignment="0" applyProtection="0"/>
    <xf numFmtId="0" fontId="44" fillId="34" borderId="9" applyNumberFormat="0" applyAlignment="0" applyProtection="0"/>
    <xf numFmtId="0" fontId="44" fillId="34" borderId="9" applyNumberFormat="0" applyAlignment="0" applyProtection="0"/>
    <xf numFmtId="0" fontId="175"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54" fillId="49"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76" fillId="0" borderId="0"/>
    <xf numFmtId="0" fontId="76" fillId="0" borderId="0"/>
    <xf numFmtId="0" fontId="76" fillId="0" borderId="0"/>
    <xf numFmtId="0" fontId="159" fillId="0" borderId="0"/>
    <xf numFmtId="0" fontId="76"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6" fillId="0" borderId="0"/>
    <xf numFmtId="0" fontId="76" fillId="0" borderId="0"/>
    <xf numFmtId="0" fontId="1" fillId="0" borderId="0"/>
    <xf numFmtId="0" fontId="1" fillId="0" borderId="0"/>
    <xf numFmtId="0" fontId="1" fillId="0" borderId="0"/>
    <xf numFmtId="0" fontId="1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1" fillId="41" borderId="14" applyNumberFormat="0" applyAlignment="0" applyProtection="0"/>
    <xf numFmtId="0" fontId="61" fillId="41" borderId="14" applyNumberFormat="0" applyAlignment="0" applyProtection="0"/>
    <xf numFmtId="0" fontId="61" fillId="41" borderId="14" applyNumberFormat="0" applyAlignment="0" applyProtection="0"/>
    <xf numFmtId="0" fontId="61" fillId="41"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63" fillId="13" borderId="14" applyNumberFormat="0" applyAlignment="0" applyProtection="0"/>
    <xf numFmtId="0" fontId="146" fillId="75" borderId="0" applyNumberFormat="0" applyBorder="0" applyAlignment="0" applyProtection="0"/>
    <xf numFmtId="0" fontId="64" fillId="0" borderId="0" applyNumberFormat="0" applyFill="0" applyBorder="0" applyAlignment="0" applyProtection="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173" fillId="0" borderId="106">
      <protection locked="0"/>
    </xf>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6" fillId="0" borderId="0"/>
    <xf numFmtId="195" fontId="1" fillId="0" borderId="0" applyFont="0" applyFill="0" applyBorder="0" applyAlignment="0" applyProtection="0"/>
    <xf numFmtId="0" fontId="37" fillId="0" borderId="0"/>
    <xf numFmtId="0" fontId="37" fillId="0" borderId="0"/>
    <xf numFmtId="0" fontId="37" fillId="0" borderId="0"/>
    <xf numFmtId="0" fontId="78" fillId="0" borderId="24" applyNumberFormat="0" applyFill="0" applyAlignment="0" applyProtection="0"/>
    <xf numFmtId="0" fontId="79" fillId="0" borderId="25" applyNumberFormat="0" applyFill="0" applyAlignment="0" applyProtection="0"/>
    <xf numFmtId="0" fontId="80" fillId="0" borderId="26" applyNumberFormat="0" applyFill="0" applyAlignment="0" applyProtection="0"/>
    <xf numFmtId="0" fontId="80" fillId="0" borderId="0" applyNumberFormat="0" applyFill="0" applyBorder="0" applyAlignment="0" applyProtection="0"/>
    <xf numFmtId="0" fontId="84" fillId="56" borderId="0" applyNumberFormat="0" applyBorder="0" applyAlignment="0" applyProtection="0"/>
    <xf numFmtId="0" fontId="147" fillId="65" borderId="0" applyNumberFormat="0" applyBorder="0" applyAlignment="0" applyProtection="0"/>
    <xf numFmtId="0" fontId="158" fillId="58" borderId="0" applyNumberFormat="0" applyBorder="0" applyAlignment="0" applyProtection="0"/>
    <xf numFmtId="0" fontId="86" fillId="57" borderId="28" applyNumberFormat="0" applyAlignment="0" applyProtection="0"/>
    <xf numFmtId="0" fontId="148" fillId="55" borderId="100" applyNumberFormat="0" applyAlignment="0" applyProtection="0"/>
    <xf numFmtId="0" fontId="149" fillId="55" borderId="28" applyNumberFormat="0" applyAlignment="0" applyProtection="0"/>
    <xf numFmtId="0" fontId="83" fillId="0" borderId="29" applyNumberFormat="0" applyFill="0" applyAlignment="0" applyProtection="0"/>
    <xf numFmtId="0" fontId="150" fillId="66" borderId="101" applyNumberFormat="0" applyAlignment="0" applyProtection="0"/>
    <xf numFmtId="0" fontId="103" fillId="0" borderId="0" applyNumberFormat="0" applyFill="0" applyBorder="0" applyAlignment="0" applyProtection="0"/>
    <xf numFmtId="0" fontId="151" fillId="0" borderId="0" applyNumberFormat="0" applyFill="0" applyBorder="0" applyAlignment="0" applyProtection="0"/>
    <xf numFmtId="0" fontId="152" fillId="0" borderId="102" applyNumberFormat="0" applyFill="0" applyAlignment="0" applyProtection="0"/>
    <xf numFmtId="0" fontId="146" fillId="67" borderId="0" applyNumberFormat="0" applyBorder="0" applyAlignment="0" applyProtection="0"/>
    <xf numFmtId="0" fontId="146" fillId="70" borderId="0" applyNumberFormat="0" applyBorder="0" applyAlignment="0" applyProtection="0"/>
    <xf numFmtId="0" fontId="146" fillId="71"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146" fillId="74" borderId="0" applyNumberFormat="0" applyBorder="0" applyAlignment="0" applyProtection="0"/>
    <xf numFmtId="0" fontId="146" fillId="75"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146" fillId="77" borderId="0" applyNumberFormat="0" applyBorder="0" applyAlignment="0" applyProtection="0"/>
    <xf numFmtId="0" fontId="146" fillId="78"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146" fillId="81" borderId="0" applyNumberFormat="0" applyBorder="0" applyAlignment="0" applyProtection="0"/>
    <xf numFmtId="0" fontId="146" fillId="82"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146" fillId="85" borderId="0" applyNumberFormat="0" applyBorder="0" applyAlignment="0" applyProtection="0"/>
    <xf numFmtId="0" fontId="146" fillId="86"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46" fillId="89" borderId="0" applyNumberFormat="0" applyBorder="0" applyAlignment="0" applyProtection="0"/>
    <xf numFmtId="0" fontId="76" fillId="59" borderId="30" applyNumberFormat="0" applyFont="0" applyAlignment="0" applyProtection="0"/>
    <xf numFmtId="0" fontId="76"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195" fontId="1" fillId="0" borderId="0" applyFont="0" applyFill="0" applyBorder="0" applyAlignment="0" applyProtection="0"/>
    <xf numFmtId="0" fontId="37" fillId="0" borderId="0"/>
    <xf numFmtId="0" fontId="37"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37" fillId="0" borderId="0"/>
    <xf numFmtId="0" fontId="37" fillId="0" borderId="0"/>
    <xf numFmtId="0" fontId="37" fillId="0" borderId="0"/>
    <xf numFmtId="0" fontId="37" fillId="0" borderId="0"/>
    <xf numFmtId="0" fontId="76" fillId="0" borderId="0"/>
    <xf numFmtId="0" fontId="76" fillId="0" borderId="0"/>
    <xf numFmtId="0" fontId="76" fillId="0" borderId="0"/>
    <xf numFmtId="0" fontId="76" fillId="0" borderId="0"/>
    <xf numFmtId="0" fontId="76" fillId="80" borderId="0" applyNumberFormat="0" applyBorder="0" applyAlignment="0" applyProtection="0"/>
    <xf numFmtId="0" fontId="76" fillId="79" borderId="0" applyNumberFormat="0" applyBorder="0" applyAlignment="0" applyProtection="0"/>
    <xf numFmtId="0" fontId="76" fillId="69" borderId="0" applyNumberFormat="0" applyBorder="0" applyAlignment="0" applyProtection="0"/>
    <xf numFmtId="0" fontId="76" fillId="68" borderId="0" applyNumberFormat="0" applyBorder="0" applyAlignment="0" applyProtection="0"/>
    <xf numFmtId="0" fontId="76" fillId="76" borderId="0" applyNumberFormat="0" applyBorder="0" applyAlignment="0" applyProtection="0"/>
    <xf numFmtId="0" fontId="76" fillId="54" borderId="0" applyNumberFormat="0" applyBorder="0" applyAlignment="0" applyProtection="0"/>
    <xf numFmtId="0" fontId="76" fillId="0" borderId="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84" borderId="0" applyNumberFormat="0" applyBorder="0" applyAlignment="0" applyProtection="0"/>
    <xf numFmtId="0" fontId="76" fillId="72"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195" fontId="1" fillId="0" borderId="0" applyFont="0" applyFill="0" applyBorder="0" applyAlignment="0" applyProtection="0"/>
    <xf numFmtId="0" fontId="37" fillId="0" borderId="0"/>
    <xf numFmtId="0" fontId="37" fillId="0" borderId="0"/>
    <xf numFmtId="0" fontId="1" fillId="0" borderId="0"/>
    <xf numFmtId="0" fontId="37" fillId="0" borderId="0"/>
    <xf numFmtId="0" fontId="37" fillId="0" borderId="0"/>
    <xf numFmtId="0" fontId="1" fillId="0" borderId="0"/>
    <xf numFmtId="0" fontId="1" fillId="0" borderId="0"/>
    <xf numFmtId="0" fontId="37"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87" borderId="0" applyNumberFormat="0" applyBorder="0" applyAlignment="0" applyProtection="0"/>
    <xf numFmtId="0" fontId="37"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76"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7" fillId="0" borderId="0"/>
    <xf numFmtId="0" fontId="37" fillId="0" borderId="0"/>
    <xf numFmtId="0" fontId="37" fillId="0" borderId="0"/>
    <xf numFmtId="0" fontId="1"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37"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37" fillId="0" borderId="0"/>
    <xf numFmtId="0" fontId="1" fillId="0" borderId="0"/>
    <xf numFmtId="0" fontId="1" fillId="0" borderId="0"/>
    <xf numFmtId="0" fontId="1" fillId="0" borderId="0"/>
    <xf numFmtId="0" fontId="37" fillId="0" borderId="0"/>
    <xf numFmtId="0" fontId="37" fillId="0" borderId="0"/>
    <xf numFmtId="0" fontId="76" fillId="0" borderId="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37"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54" borderId="0" applyNumberFormat="0" applyBorder="0" applyAlignment="0" applyProtection="0"/>
    <xf numFmtId="0" fontId="76" fillId="84" borderId="0" applyNumberFormat="0" applyBorder="0" applyAlignment="0" applyProtection="0"/>
    <xf numFmtId="0" fontId="76" fillId="83" borderId="0" applyNumberFormat="0" applyBorder="0" applyAlignment="0" applyProtection="0"/>
    <xf numFmtId="0" fontId="76" fillId="80" borderId="0" applyNumberFormat="0" applyBorder="0" applyAlignment="0" applyProtection="0"/>
    <xf numFmtId="0" fontId="76" fillId="79" borderId="0" applyNumberFormat="0" applyBorder="0" applyAlignment="0" applyProtection="0"/>
    <xf numFmtId="0" fontId="76" fillId="0" borderId="0"/>
    <xf numFmtId="0" fontId="76" fillId="59" borderId="30" applyNumberFormat="0" applyFont="0" applyAlignment="0" applyProtection="0"/>
    <xf numFmtId="0" fontId="76" fillId="0" borderId="0"/>
    <xf numFmtId="0" fontId="76" fillId="59" borderId="30" applyNumberFormat="0" applyFont="0" applyAlignment="0" applyProtection="0"/>
    <xf numFmtId="0" fontId="76" fillId="76" borderId="0" applyNumberFormat="0" applyBorder="0" applyAlignment="0" applyProtection="0"/>
    <xf numFmtId="0" fontId="76" fillId="54"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68" borderId="0" applyNumberFormat="0" applyBorder="0" applyAlignment="0" applyProtection="0"/>
    <xf numFmtId="0" fontId="76" fillId="69" borderId="0" applyNumberFormat="0" applyBorder="0" applyAlignment="0" applyProtection="0"/>
    <xf numFmtId="0" fontId="37" fillId="0" borderId="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69"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1" fillId="0" borderId="0"/>
    <xf numFmtId="0" fontId="76" fillId="68"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1" fillId="0" borderId="0"/>
    <xf numFmtId="0" fontId="76" fillId="59" borderId="30" applyNumberFormat="0" applyFont="0" applyAlignment="0" applyProtection="0"/>
    <xf numFmtId="0" fontId="76" fillId="83" borderId="0" applyNumberFormat="0" applyBorder="0" applyAlignment="0" applyProtection="0"/>
    <xf numFmtId="0" fontId="76" fillId="84" borderId="0" applyNumberFormat="0" applyBorder="0" applyAlignment="0" applyProtection="0"/>
    <xf numFmtId="0" fontId="76" fillId="88" borderId="0" applyNumberFormat="0" applyBorder="0" applyAlignment="0" applyProtection="0"/>
    <xf numFmtId="0" fontId="76" fillId="0" borderId="0"/>
    <xf numFmtId="0" fontId="76" fillId="87" borderId="0" applyNumberFormat="0" applyBorder="0" applyAlignment="0" applyProtection="0"/>
    <xf numFmtId="0" fontId="76" fillId="88" borderId="0" applyNumberFormat="0" applyBorder="0" applyAlignment="0" applyProtection="0"/>
    <xf numFmtId="0" fontId="76" fillId="87" borderId="0" applyNumberFormat="0" applyBorder="0" applyAlignment="0" applyProtection="0"/>
    <xf numFmtId="0" fontId="1" fillId="0" borderId="0"/>
    <xf numFmtId="195" fontId="1" fillId="0" borderId="0" applyFont="0" applyFill="0" applyBorder="0" applyAlignment="0" applyProtection="0"/>
    <xf numFmtId="0" fontId="37" fillId="0" borderId="0"/>
    <xf numFmtId="0" fontId="37" fillId="0" borderId="0"/>
    <xf numFmtId="0" fontId="1" fillId="0" borderId="0"/>
    <xf numFmtId="0" fontId="37"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76" fillId="0" borderId="0"/>
    <xf numFmtId="0" fontId="76" fillId="0" borderId="0"/>
    <xf numFmtId="0" fontId="37" fillId="0" borderId="0"/>
    <xf numFmtId="0" fontId="76" fillId="59" borderId="30" applyNumberFormat="0" applyFont="0" applyAlignment="0" applyProtection="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87" borderId="0" applyNumberFormat="0" applyBorder="0" applyAlignment="0" applyProtection="0"/>
    <xf numFmtId="0" fontId="1" fillId="0" borderId="0"/>
    <xf numFmtId="0" fontId="76" fillId="72" borderId="0" applyNumberFormat="0" applyBorder="0" applyAlignment="0" applyProtection="0"/>
    <xf numFmtId="0" fontId="76" fillId="73" borderId="0" applyNumberFormat="0" applyBorder="0" applyAlignment="0" applyProtection="0"/>
    <xf numFmtId="0" fontId="37" fillId="0" borderId="0"/>
    <xf numFmtId="0" fontId="76" fillId="0" borderId="0"/>
    <xf numFmtId="0" fontId="76" fillId="0" borderId="0"/>
    <xf numFmtId="0" fontId="76" fillId="0" borderId="0"/>
    <xf numFmtId="0" fontId="76" fillId="0" borderId="0"/>
    <xf numFmtId="0" fontId="76" fillId="0" borderId="0"/>
    <xf numFmtId="0" fontId="76" fillId="80" borderId="0" applyNumberFormat="0" applyBorder="0" applyAlignment="0" applyProtection="0"/>
    <xf numFmtId="0" fontId="76" fillId="79" borderId="0" applyNumberFormat="0" applyBorder="0" applyAlignment="0" applyProtection="0"/>
    <xf numFmtId="0" fontId="76" fillId="69" borderId="0" applyNumberFormat="0" applyBorder="0" applyAlignment="0" applyProtection="0"/>
    <xf numFmtId="0" fontId="76" fillId="68" borderId="0" applyNumberFormat="0" applyBorder="0" applyAlignment="0" applyProtection="0"/>
    <xf numFmtId="0" fontId="76" fillId="76" borderId="0" applyNumberFormat="0" applyBorder="0" applyAlignment="0" applyProtection="0"/>
    <xf numFmtId="0" fontId="76" fillId="54" borderId="0" applyNumberFormat="0" applyBorder="0" applyAlignment="0" applyProtection="0"/>
    <xf numFmtId="0" fontId="76" fillId="0" borderId="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84" borderId="0" applyNumberFormat="0" applyBorder="0" applyAlignment="0" applyProtection="0"/>
    <xf numFmtId="0" fontId="76" fillId="72"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76" fillId="59" borderId="30" applyNumberFormat="0" applyFont="0" applyAlignment="0" applyProtection="0"/>
    <xf numFmtId="0" fontId="76" fillId="0" borderId="0"/>
    <xf numFmtId="0" fontId="76" fillId="79" borderId="0" applyNumberFormat="0" applyBorder="0" applyAlignment="0" applyProtection="0"/>
    <xf numFmtId="0" fontId="76" fillId="68" borderId="0" applyNumberFormat="0" applyBorder="0" applyAlignment="0" applyProtection="0"/>
    <xf numFmtId="0" fontId="76" fillId="76"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1" fillId="0" borderId="0"/>
    <xf numFmtId="0" fontId="76"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76" fillId="87" borderId="0" applyNumberFormat="0" applyBorder="0" applyAlignment="0" applyProtection="0"/>
    <xf numFmtId="0" fontId="37"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83" borderId="0" applyNumberFormat="0" applyBorder="0" applyAlignment="0" applyProtection="0"/>
    <xf numFmtId="0" fontId="76" fillId="84" borderId="0" applyNumberFormat="0" applyBorder="0" applyAlignment="0" applyProtection="0"/>
    <xf numFmtId="195" fontId="1" fillId="0" borderId="0" applyFont="0" applyFill="0" applyBorder="0" applyAlignment="0" applyProtection="0"/>
    <xf numFmtId="0" fontId="1" fillId="0" borderId="0"/>
    <xf numFmtId="0" fontId="76" fillId="88" borderId="0" applyNumberFormat="0" applyBorder="0" applyAlignment="0" applyProtection="0"/>
    <xf numFmtId="0" fontId="1" fillId="0" borderId="0"/>
    <xf numFmtId="0" fontId="76" fillId="84" borderId="0" applyNumberFormat="0" applyBorder="0" applyAlignment="0" applyProtection="0"/>
    <xf numFmtId="0" fontId="76" fillId="72" borderId="0" applyNumberFormat="0" applyBorder="0" applyAlignment="0" applyProtection="0"/>
    <xf numFmtId="0" fontId="76" fillId="54" borderId="0" applyNumberFormat="0" applyBorder="0" applyAlignment="0" applyProtection="0"/>
    <xf numFmtId="0" fontId="1"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88" borderId="0" applyNumberFormat="0" applyBorder="0" applyAlignment="0" applyProtection="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80" borderId="0" applyNumberFormat="0" applyBorder="0" applyAlignment="0" applyProtection="0"/>
    <xf numFmtId="0" fontId="1" fillId="0" borderId="0"/>
    <xf numFmtId="0" fontId="1" fillId="0" borderId="0"/>
    <xf numFmtId="0" fontId="76" fillId="84" borderId="0" applyNumberFormat="0" applyBorder="0" applyAlignment="0" applyProtection="0"/>
    <xf numFmtId="0" fontId="76" fillId="0" borderId="0"/>
    <xf numFmtId="0" fontId="76" fillId="87" borderId="0" applyNumberFormat="0" applyBorder="0" applyAlignment="0" applyProtection="0"/>
    <xf numFmtId="0" fontId="1" fillId="0" borderId="0"/>
    <xf numFmtId="0" fontId="76" fillId="0" borderId="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76" fillId="83" borderId="0" applyNumberFormat="0" applyBorder="0" applyAlignment="0" applyProtection="0"/>
    <xf numFmtId="0" fontId="76" fillId="68" borderId="0" applyNumberFormat="0" applyBorder="0" applyAlignment="0" applyProtection="0"/>
    <xf numFmtId="0" fontId="1" fillId="0" borderId="0"/>
    <xf numFmtId="0" fontId="1" fillId="0" borderId="0"/>
    <xf numFmtId="0" fontId="37" fillId="0" borderId="0"/>
    <xf numFmtId="0" fontId="1" fillId="0" borderId="0"/>
    <xf numFmtId="0" fontId="1" fillId="0" borderId="0"/>
    <xf numFmtId="0" fontId="76" fillId="0" borderId="0"/>
    <xf numFmtId="0" fontId="1" fillId="0" borderId="0"/>
    <xf numFmtId="0" fontId="76" fillId="79" borderId="0" applyNumberFormat="0" applyBorder="0" applyAlignment="0" applyProtection="0"/>
    <xf numFmtId="0" fontId="76" fillId="0" borderId="0"/>
    <xf numFmtId="0" fontId="1" fillId="0" borderId="0"/>
    <xf numFmtId="0" fontId="37" fillId="0" borderId="0"/>
    <xf numFmtId="0" fontId="37" fillId="0" borderId="0"/>
    <xf numFmtId="0" fontId="1" fillId="0" borderId="0"/>
    <xf numFmtId="0" fontId="1" fillId="0" borderId="0"/>
    <xf numFmtId="0" fontId="76" fillId="80" borderId="0" applyNumberFormat="0" applyBorder="0" applyAlignment="0" applyProtection="0"/>
    <xf numFmtId="0" fontId="76" fillId="69"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37" fillId="0" borderId="0"/>
    <xf numFmtId="0" fontId="1" fillId="0" borderId="0"/>
    <xf numFmtId="0" fontId="37" fillId="0" borderId="0"/>
    <xf numFmtId="0" fontId="1"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79" borderId="0" applyNumberFormat="0" applyBorder="0" applyAlignment="0" applyProtection="0"/>
    <xf numFmtId="0" fontId="76" fillId="59" borderId="30" applyNumberFormat="0" applyFont="0" applyAlignment="0" applyProtection="0"/>
    <xf numFmtId="0" fontId="76" fillId="68" borderId="0" applyNumberFormat="0" applyBorder="0" applyAlignment="0" applyProtection="0"/>
    <xf numFmtId="0" fontId="76" fillId="80"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80" borderId="0" applyNumberFormat="0" applyBorder="0" applyAlignment="0" applyProtection="0"/>
    <xf numFmtId="0" fontId="76" fillId="79" borderId="0" applyNumberFormat="0" applyBorder="0" applyAlignment="0" applyProtection="0"/>
    <xf numFmtId="0" fontId="76" fillId="69" borderId="0" applyNumberFormat="0" applyBorder="0" applyAlignment="0" applyProtection="0"/>
    <xf numFmtId="0" fontId="76" fillId="68" borderId="0" applyNumberFormat="0" applyBorder="0" applyAlignment="0" applyProtection="0"/>
    <xf numFmtId="0" fontId="76" fillId="76" borderId="0" applyNumberFormat="0" applyBorder="0" applyAlignment="0" applyProtection="0"/>
    <xf numFmtId="0" fontId="76" fillId="54" borderId="0" applyNumberFormat="0" applyBorder="0" applyAlignment="0" applyProtection="0"/>
    <xf numFmtId="0" fontId="76" fillId="0" borderId="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84" borderId="0" applyNumberFormat="0" applyBorder="0" applyAlignment="0" applyProtection="0"/>
    <xf numFmtId="0" fontId="76" fillId="72"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1" fillId="0" borderId="0"/>
    <xf numFmtId="0" fontId="76" fillId="83" borderId="0" applyNumberFormat="0" applyBorder="0" applyAlignment="0" applyProtection="0"/>
    <xf numFmtId="0" fontId="76" fillId="54" borderId="0" applyNumberFormat="0" applyBorder="0" applyAlignment="0" applyProtection="0"/>
    <xf numFmtId="0" fontId="76" fillId="0" borderId="0"/>
    <xf numFmtId="0" fontId="76" fillId="59" borderId="30" applyNumberFormat="0" applyFont="0" applyAlignment="0" applyProtection="0"/>
    <xf numFmtId="0" fontId="1" fillId="0" borderId="0"/>
    <xf numFmtId="0" fontId="76" fillId="79" borderId="0" applyNumberFormat="0" applyBorder="0" applyAlignment="0" applyProtection="0"/>
    <xf numFmtId="0" fontId="76"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76" fillId="87" borderId="0" applyNumberFormat="0" applyBorder="0" applyAlignment="0" applyProtection="0"/>
    <xf numFmtId="0" fontId="37"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37" fillId="0" borderId="0"/>
    <xf numFmtId="0" fontId="1" fillId="0" borderId="0"/>
    <xf numFmtId="0" fontId="76" fillId="76" borderId="0" applyNumberFormat="0" applyBorder="0" applyAlignment="0" applyProtection="0"/>
    <xf numFmtId="0" fontId="1" fillId="0" borderId="0"/>
    <xf numFmtId="0" fontId="76" fillId="0" borderId="0"/>
    <xf numFmtId="0" fontId="76" fillId="0" borderId="0"/>
    <xf numFmtId="0" fontId="76" fillId="88" borderId="0" applyNumberFormat="0" applyBorder="0" applyAlignment="0" applyProtection="0"/>
    <xf numFmtId="0" fontId="1" fillId="0" borderId="0"/>
    <xf numFmtId="0" fontId="76" fillId="73" borderId="0" applyNumberFormat="0" applyBorder="0" applyAlignment="0" applyProtection="0"/>
    <xf numFmtId="0" fontId="1"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83" borderId="0" applyNumberFormat="0" applyBorder="0" applyAlignment="0" applyProtection="0"/>
    <xf numFmtId="0" fontId="1" fillId="0" borderId="0"/>
    <xf numFmtId="0" fontId="1" fillId="0" borderId="0"/>
    <xf numFmtId="0" fontId="76" fillId="69" borderId="0" applyNumberFormat="0" applyBorder="0" applyAlignment="0" applyProtection="0"/>
    <xf numFmtId="0" fontId="76" fillId="72" borderId="0" applyNumberFormat="0" applyBorder="0" applyAlignment="0" applyProtection="0"/>
    <xf numFmtId="0" fontId="37" fillId="0" borderId="0"/>
    <xf numFmtId="0" fontId="76" fillId="0" borderId="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76" fillId="88" borderId="0" applyNumberFormat="0" applyBorder="0" applyAlignment="0" applyProtection="0"/>
    <xf numFmtId="0" fontId="76" fillId="0" borderId="0"/>
    <xf numFmtId="0" fontId="1" fillId="0" borderId="0"/>
    <xf numFmtId="0" fontId="1" fillId="0" borderId="0"/>
    <xf numFmtId="0" fontId="37" fillId="0" borderId="0"/>
    <xf numFmtId="0" fontId="1" fillId="0" borderId="0"/>
    <xf numFmtId="0" fontId="1" fillId="0" borderId="0"/>
    <xf numFmtId="0" fontId="76" fillId="87" borderId="0" applyNumberFormat="0" applyBorder="0" applyAlignment="0" applyProtection="0"/>
    <xf numFmtId="0" fontId="1" fillId="0" borderId="0"/>
    <xf numFmtId="0" fontId="76" fillId="80" borderId="0" applyNumberFormat="0" applyBorder="0" applyAlignment="0" applyProtection="0"/>
    <xf numFmtId="0" fontId="1" fillId="0" borderId="0"/>
    <xf numFmtId="0" fontId="76" fillId="0" borderId="0"/>
    <xf numFmtId="0" fontId="1" fillId="0" borderId="0"/>
    <xf numFmtId="0" fontId="1" fillId="0" borderId="0"/>
    <xf numFmtId="0" fontId="76" fillId="84"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37"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1" fillId="0" borderId="0"/>
    <xf numFmtId="0" fontId="37" fillId="0" borderId="0"/>
    <xf numFmtId="0" fontId="1" fillId="0" borderId="0"/>
    <xf numFmtId="0" fontId="37" fillId="0" borderId="0"/>
    <xf numFmtId="0" fontId="76" fillId="73" borderId="0" applyNumberFormat="0" applyBorder="0" applyAlignment="0" applyProtection="0"/>
    <xf numFmtId="0" fontId="76" fillId="87" borderId="0" applyNumberFormat="0" applyBorder="0" applyAlignment="0" applyProtection="0"/>
    <xf numFmtId="0" fontId="76" fillId="83" borderId="0" applyNumberFormat="0" applyBorder="0" applyAlignment="0" applyProtection="0"/>
    <xf numFmtId="0" fontId="1" fillId="0" borderId="0"/>
    <xf numFmtId="0" fontId="76" fillId="80" borderId="0" applyNumberFormat="0" applyBorder="0" applyAlignment="0" applyProtection="0"/>
    <xf numFmtId="0" fontId="76" fillId="59" borderId="30" applyNumberFormat="0" applyFont="0" applyAlignment="0" applyProtection="0"/>
    <xf numFmtId="0" fontId="76" fillId="76" borderId="0" applyNumberFormat="0" applyBorder="0" applyAlignment="0" applyProtection="0"/>
    <xf numFmtId="0" fontId="1" fillId="0" borderId="0"/>
    <xf numFmtId="0" fontId="76" fillId="0" borderId="0"/>
    <xf numFmtId="0" fontId="1" fillId="0" borderId="0"/>
    <xf numFmtId="0" fontId="76" fillId="0" borderId="0"/>
    <xf numFmtId="0" fontId="76" fillId="0" borderId="0"/>
    <xf numFmtId="0" fontId="1" fillId="0" borderId="0"/>
    <xf numFmtId="0" fontId="37" fillId="0" borderId="0"/>
    <xf numFmtId="0" fontId="76" fillId="54"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3" borderId="0" applyNumberFormat="0" applyBorder="0" applyAlignment="0" applyProtection="0"/>
    <xf numFmtId="0" fontId="76" fillId="68" borderId="0" applyNumberFormat="0" applyBorder="0" applyAlignment="0" applyProtection="0"/>
    <xf numFmtId="0" fontId="76" fillId="80" borderId="0" applyNumberFormat="0" applyBorder="0" applyAlignment="0" applyProtection="0"/>
    <xf numFmtId="0" fontId="1" fillId="0" borderId="0"/>
    <xf numFmtId="0" fontId="76" fillId="54" borderId="0" applyNumberFormat="0" applyBorder="0" applyAlignment="0" applyProtection="0"/>
    <xf numFmtId="0" fontId="1" fillId="0" borderId="0"/>
    <xf numFmtId="0" fontId="76" fillId="72" borderId="0" applyNumberFormat="0" applyBorder="0" applyAlignment="0" applyProtection="0"/>
    <xf numFmtId="0" fontId="76" fillId="0" borderId="0"/>
    <xf numFmtId="0" fontId="1" fillId="0" borderId="0"/>
    <xf numFmtId="0" fontId="76" fillId="76" borderId="0" applyNumberFormat="0" applyBorder="0" applyAlignment="0" applyProtection="0"/>
    <xf numFmtId="0" fontId="76" fillId="88" borderId="0" applyNumberFormat="0" applyBorder="0" applyAlignment="0" applyProtection="0"/>
    <xf numFmtId="0" fontId="76" fillId="0" borderId="0"/>
    <xf numFmtId="0" fontId="76" fillId="0" borderId="0"/>
    <xf numFmtId="0" fontId="76" fillId="73" borderId="0" applyNumberFormat="0" applyBorder="0" applyAlignment="0" applyProtection="0"/>
    <xf numFmtId="0" fontId="76" fillId="0" borderId="0"/>
    <xf numFmtId="0" fontId="76" fillId="87" borderId="0" applyNumberFormat="0" applyBorder="0" applyAlignment="0" applyProtection="0"/>
    <xf numFmtId="0" fontId="76" fillId="0" borderId="0"/>
    <xf numFmtId="0" fontId="76" fillId="0" borderId="0"/>
    <xf numFmtId="0" fontId="76" fillId="0" borderId="0"/>
    <xf numFmtId="0" fontId="37" fillId="0" borderId="0"/>
    <xf numFmtId="0" fontId="37" fillId="0" borderId="0"/>
    <xf numFmtId="0" fontId="76" fillId="68" borderId="0" applyNumberFormat="0" applyBorder="0" applyAlignment="0" applyProtection="0"/>
    <xf numFmtId="0" fontId="76" fillId="68" borderId="0" applyNumberFormat="0" applyBorder="0" applyAlignment="0" applyProtection="0"/>
    <xf numFmtId="0" fontId="1" fillId="0" borderId="0"/>
    <xf numFmtId="0" fontId="76" fillId="84" borderId="0" applyNumberFormat="0" applyBorder="0" applyAlignment="0" applyProtection="0"/>
    <xf numFmtId="0" fontId="76" fillId="84" borderId="0" applyNumberFormat="0" applyBorder="0" applyAlignment="0" applyProtection="0"/>
    <xf numFmtId="0" fontId="1" fillId="0" borderId="0"/>
    <xf numFmtId="0" fontId="76" fillId="69" borderId="0" applyNumberFormat="0" applyBorder="0" applyAlignment="0" applyProtection="0"/>
    <xf numFmtId="0" fontId="76" fillId="80" borderId="0" applyNumberFormat="0" applyBorder="0" applyAlignment="0" applyProtection="0"/>
    <xf numFmtId="0" fontId="76" fillId="0" borderId="0"/>
    <xf numFmtId="0" fontId="76" fillId="0" borderId="0"/>
    <xf numFmtId="0" fontId="1" fillId="0" borderId="0"/>
    <xf numFmtId="0" fontId="76" fillId="0" borderId="0"/>
    <xf numFmtId="0" fontId="76" fillId="0" borderId="0"/>
    <xf numFmtId="0" fontId="1" fillId="0" borderId="0"/>
    <xf numFmtId="0" fontId="37" fillId="0" borderId="0"/>
    <xf numFmtId="0" fontId="76" fillId="72" borderId="0" applyNumberFormat="0" applyBorder="0" applyAlignment="0" applyProtection="0"/>
    <xf numFmtId="0" fontId="76" fillId="54" borderId="0" applyNumberFormat="0" applyBorder="0" applyAlignment="0" applyProtection="0"/>
    <xf numFmtId="0" fontId="76" fillId="72" borderId="0" applyNumberFormat="0" applyBorder="0" applyAlignment="0" applyProtection="0"/>
    <xf numFmtId="0" fontId="1" fillId="0" borderId="0"/>
    <xf numFmtId="0" fontId="76" fillId="0" borderId="0"/>
    <xf numFmtId="0" fontId="76" fillId="87" borderId="0" applyNumberFormat="0" applyBorder="0" applyAlignment="0" applyProtection="0"/>
    <xf numFmtId="0" fontId="76" fillId="79" borderId="0" applyNumberFormat="0" applyBorder="0" applyAlignment="0" applyProtection="0"/>
    <xf numFmtId="0" fontId="76" fillId="88"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68" borderId="0" applyNumberFormat="0" applyBorder="0" applyAlignment="0" applyProtection="0"/>
    <xf numFmtId="0" fontId="76" fillId="79" borderId="0" applyNumberFormat="0" applyBorder="0" applyAlignment="0" applyProtection="0"/>
    <xf numFmtId="0" fontId="76" fillId="59" borderId="30" applyNumberFormat="0" applyFont="0" applyAlignment="0" applyProtection="0"/>
    <xf numFmtId="0" fontId="76" fillId="88" borderId="0" applyNumberFormat="0" applyBorder="0" applyAlignment="0" applyProtection="0"/>
    <xf numFmtId="0" fontId="76" fillId="0" borderId="0"/>
    <xf numFmtId="0" fontId="76" fillId="0" borderId="0"/>
    <xf numFmtId="0" fontId="76" fillId="76" borderId="0" applyNumberFormat="0" applyBorder="0" applyAlignment="0" applyProtection="0"/>
    <xf numFmtId="0" fontId="76" fillId="84" borderId="0" applyNumberFormat="0" applyBorder="0" applyAlignment="0" applyProtection="0"/>
    <xf numFmtId="0" fontId="76" fillId="73"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54" borderId="0" applyNumberFormat="0" applyBorder="0" applyAlignment="0" applyProtection="0"/>
    <xf numFmtId="0" fontId="76" fillId="79" borderId="0" applyNumberFormat="0" applyBorder="0" applyAlignment="0" applyProtection="0"/>
    <xf numFmtId="0" fontId="1" fillId="0" borderId="0"/>
    <xf numFmtId="0" fontId="76" fillId="0" borderId="0"/>
    <xf numFmtId="0" fontId="76" fillId="54" borderId="0" applyNumberFormat="0" applyBorder="0" applyAlignment="0" applyProtection="0"/>
    <xf numFmtId="0" fontId="76" fillId="0" borderId="0"/>
    <xf numFmtId="0" fontId="76" fillId="0" borderId="0"/>
    <xf numFmtId="0" fontId="76" fillId="59" borderId="30" applyNumberFormat="0" applyFont="0" applyAlignment="0" applyProtection="0"/>
    <xf numFmtId="0" fontId="76" fillId="59" borderId="30" applyNumberFormat="0" applyFont="0" applyAlignment="0" applyProtection="0"/>
    <xf numFmtId="0" fontId="76" fillId="0" borderId="0"/>
    <xf numFmtId="0" fontId="76" fillId="0" borderId="0"/>
    <xf numFmtId="0" fontId="1" fillId="0" borderId="0"/>
    <xf numFmtId="0" fontId="37" fillId="0" borderId="0"/>
    <xf numFmtId="0" fontId="37" fillId="0" borderId="0"/>
    <xf numFmtId="0" fontId="76" fillId="0" borderId="0"/>
    <xf numFmtId="0" fontId="76" fillId="59" borderId="30" applyNumberFormat="0" applyFont="0" applyAlignment="0" applyProtection="0"/>
    <xf numFmtId="0" fontId="76" fillId="76" borderId="0" applyNumberFormat="0" applyBorder="0" applyAlignment="0" applyProtection="0"/>
    <xf numFmtId="195" fontId="1" fillId="0" borderId="0" applyFont="0" applyFill="0" applyBorder="0" applyAlignment="0" applyProtection="0"/>
    <xf numFmtId="0" fontId="76" fillId="0" borderId="0"/>
    <xf numFmtId="0" fontId="76" fillId="80" borderId="0" applyNumberFormat="0" applyBorder="0" applyAlignment="0" applyProtection="0"/>
    <xf numFmtId="0" fontId="76" fillId="79" borderId="0" applyNumberFormat="0" applyBorder="0" applyAlignment="0" applyProtection="0"/>
    <xf numFmtId="0" fontId="76" fillId="88" borderId="0" applyNumberFormat="0" applyBorder="0" applyAlignment="0" applyProtection="0"/>
    <xf numFmtId="0" fontId="37" fillId="0" borderId="0"/>
    <xf numFmtId="0" fontId="76" fillId="73" borderId="0" applyNumberFormat="0" applyBorder="0" applyAlignment="0" applyProtection="0"/>
    <xf numFmtId="0" fontId="76" fillId="84" borderId="0" applyNumberFormat="0" applyBorder="0" applyAlignment="0" applyProtection="0"/>
    <xf numFmtId="0" fontId="76" fillId="0" borderId="0"/>
    <xf numFmtId="0" fontId="76" fillId="69" borderId="0" applyNumberFormat="0" applyBorder="0" applyAlignment="0" applyProtection="0"/>
    <xf numFmtId="0" fontId="1" fillId="0" borderId="0"/>
    <xf numFmtId="0" fontId="76" fillId="0" borderId="0"/>
    <xf numFmtId="0" fontId="76" fillId="0" borderId="0"/>
    <xf numFmtId="0" fontId="76" fillId="88" borderId="0" applyNumberFormat="0" applyBorder="0" applyAlignment="0" applyProtection="0"/>
    <xf numFmtId="0" fontId="1" fillId="0" borderId="0"/>
    <xf numFmtId="0" fontId="76" fillId="87" borderId="0" applyNumberFormat="0" applyBorder="0" applyAlignment="0" applyProtection="0"/>
    <xf numFmtId="0" fontId="1" fillId="0" borderId="0"/>
    <xf numFmtId="0" fontId="76" fillId="72" borderId="0" applyNumberFormat="0" applyBorder="0" applyAlignment="0" applyProtection="0"/>
    <xf numFmtId="0" fontId="76" fillId="83" borderId="0" applyNumberFormat="0" applyBorder="0" applyAlignment="0" applyProtection="0"/>
    <xf numFmtId="0" fontId="76" fillId="0" borderId="0"/>
    <xf numFmtId="0" fontId="76" fillId="68" borderId="0" applyNumberFormat="0" applyBorder="0" applyAlignment="0" applyProtection="0"/>
    <xf numFmtId="0" fontId="1" fillId="0" borderId="0"/>
    <xf numFmtId="0" fontId="76" fillId="0" borderId="0"/>
    <xf numFmtId="0" fontId="76" fillId="0" borderId="0"/>
    <xf numFmtId="0" fontId="76" fillId="87" borderId="0" applyNumberFormat="0" applyBorder="0" applyAlignment="0" applyProtection="0"/>
    <xf numFmtId="0" fontId="76" fillId="88" borderId="0" applyNumberFormat="0" applyBorder="0" applyAlignment="0" applyProtection="0"/>
    <xf numFmtId="0" fontId="1" fillId="0" borderId="0"/>
    <xf numFmtId="0" fontId="37" fillId="0" borderId="0"/>
    <xf numFmtId="0" fontId="1" fillId="0" borderId="0"/>
    <xf numFmtId="0" fontId="37"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0" borderId="0"/>
    <xf numFmtId="0" fontId="76" fillId="59" borderId="30" applyNumberFormat="0" applyFont="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68" borderId="0" applyNumberFormat="0" applyBorder="0" applyAlignment="0" applyProtection="0"/>
    <xf numFmtId="0" fontId="76" fillId="69"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54"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80" borderId="0" applyNumberFormat="0" applyBorder="0" applyAlignment="0" applyProtection="0"/>
    <xf numFmtId="0" fontId="76" fillId="83" borderId="0" applyNumberFormat="0" applyBorder="0" applyAlignment="0" applyProtection="0"/>
    <xf numFmtId="0" fontId="76" fillId="84" borderId="0" applyNumberFormat="0" applyBorder="0" applyAlignment="0" applyProtection="0"/>
    <xf numFmtId="0" fontId="76" fillId="87" borderId="0" applyNumberFormat="0" applyBorder="0" applyAlignment="0" applyProtection="0"/>
    <xf numFmtId="0" fontId="76" fillId="88" borderId="0" applyNumberFormat="0" applyBorder="0" applyAlignment="0" applyProtection="0"/>
    <xf numFmtId="0" fontId="1" fillId="0" borderId="0"/>
    <xf numFmtId="0" fontId="1" fillId="0" borderId="0"/>
    <xf numFmtId="0" fontId="76" fillId="72" borderId="0" applyNumberFormat="0" applyBorder="0" applyAlignment="0" applyProtection="0"/>
    <xf numFmtId="0" fontId="76" fillId="73" borderId="0" applyNumberFormat="0" applyBorder="0" applyAlignment="0" applyProtection="0"/>
    <xf numFmtId="0" fontId="76" fillId="76" borderId="0" applyNumberFormat="0" applyBorder="0" applyAlignment="0" applyProtection="0"/>
    <xf numFmtId="0" fontId="76" fillId="69" borderId="0" applyNumberFormat="0" applyBorder="0" applyAlignment="0" applyProtection="0"/>
    <xf numFmtId="0" fontId="76" fillId="84" borderId="0" applyNumberFormat="0" applyBorder="0" applyAlignment="0" applyProtection="0"/>
    <xf numFmtId="0" fontId="76" fillId="54" borderId="0" applyNumberFormat="0" applyBorder="0" applyAlignment="0" applyProtection="0"/>
    <xf numFmtId="0" fontId="76" fillId="88" borderId="0" applyNumberFormat="0" applyBorder="0" applyAlignment="0" applyProtection="0"/>
    <xf numFmtId="0" fontId="76" fillId="80" borderId="0" applyNumberFormat="0" applyBorder="0" applyAlignment="0" applyProtection="0"/>
    <xf numFmtId="0" fontId="76" fillId="87" borderId="0" applyNumberFormat="0" applyBorder="0" applyAlignment="0" applyProtection="0"/>
    <xf numFmtId="0" fontId="76" fillId="83" borderId="0" applyNumberFormat="0" applyBorder="0" applyAlignment="0" applyProtection="0"/>
    <xf numFmtId="0" fontId="76" fillId="68" borderId="0" applyNumberFormat="0" applyBorder="0" applyAlignment="0" applyProtection="0"/>
    <xf numFmtId="0" fontId="1" fillId="0" borderId="0"/>
    <xf numFmtId="0" fontId="37" fillId="0" borderId="0"/>
    <xf numFmtId="0" fontId="76" fillId="79" borderId="0" applyNumberFormat="0" applyBorder="0" applyAlignment="0" applyProtection="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76" fillId="0" borderId="0" applyNumberFormat="0" applyFill="0" applyBorder="0" applyAlignment="0" applyProtection="0"/>
    <xf numFmtId="0" fontId="76" fillId="0" borderId="0"/>
    <xf numFmtId="0" fontId="76" fillId="0" borderId="0"/>
    <xf numFmtId="0" fontId="19" fillId="20"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76" fillId="0" borderId="0"/>
    <xf numFmtId="0" fontId="19" fillId="20" borderId="0" applyNumberFormat="0" applyBorder="0" applyAlignment="0" applyProtection="0"/>
    <xf numFmtId="0" fontId="76" fillId="0" borderId="0"/>
    <xf numFmtId="0" fontId="76" fillId="0" borderId="0"/>
    <xf numFmtId="0" fontId="19" fillId="31" borderId="0" applyNumberFormat="0" applyBorder="0" applyAlignment="0" applyProtection="0"/>
    <xf numFmtId="0" fontId="19" fillId="33"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59" borderId="30" applyNumberFormat="0" applyFont="0" applyAlignment="0" applyProtection="0"/>
    <xf numFmtId="0" fontId="76"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83" borderId="0" applyNumberFormat="0" applyBorder="0" applyAlignment="0" applyProtection="0"/>
    <xf numFmtId="0" fontId="19" fillId="33" borderId="0" applyNumberFormat="0" applyBorder="0" applyAlignment="0" applyProtection="0"/>
    <xf numFmtId="0" fontId="37" fillId="0" borderId="0"/>
    <xf numFmtId="0" fontId="19" fillId="31" borderId="0" applyNumberFormat="0" applyBorder="0" applyAlignment="0" applyProtection="0"/>
    <xf numFmtId="0" fontId="19" fillId="20" borderId="0" applyNumberFormat="0" applyBorder="0" applyAlignment="0" applyProtection="0"/>
    <xf numFmtId="0" fontId="19" fillId="26" borderId="0" applyNumberFormat="0" applyBorder="0" applyAlignment="0" applyProtection="0"/>
    <xf numFmtId="0" fontId="19" fillId="23" borderId="0" applyNumberFormat="0" applyBorder="0" applyAlignment="0" applyProtection="0"/>
    <xf numFmtId="0" fontId="19" fillId="20" borderId="0" applyNumberFormat="0" applyBorder="0" applyAlignment="0" applyProtection="0"/>
    <xf numFmtId="0" fontId="76" fillId="0" borderId="0"/>
    <xf numFmtId="0" fontId="76" fillId="79" borderId="0" applyNumberFormat="0" applyBorder="0" applyAlignment="0" applyProtection="0"/>
    <xf numFmtId="0" fontId="76" fillId="0" borderId="0"/>
    <xf numFmtId="0" fontId="1" fillId="0" borderId="0"/>
    <xf numFmtId="195" fontId="1" fillId="0" borderId="0" applyFont="0" applyFill="0" applyBorder="0" applyAlignment="0" applyProtection="0"/>
    <xf numFmtId="0" fontId="76" fillId="0" borderId="0"/>
    <xf numFmtId="0" fontId="76" fillId="0" borderId="0"/>
    <xf numFmtId="0" fontId="76" fillId="0" borderId="0" applyNumberFormat="0" applyFill="0" applyBorder="0" applyAlignment="0" applyProtection="0"/>
    <xf numFmtId="0" fontId="37" fillId="0" borderId="0"/>
    <xf numFmtId="0" fontId="76" fillId="73" borderId="0" applyNumberFormat="0" applyBorder="0" applyAlignment="0" applyProtection="0"/>
    <xf numFmtId="0" fontId="76" fillId="59" borderId="30" applyNumberFormat="0" applyFont="0" applyAlignment="0" applyProtection="0"/>
    <xf numFmtId="0" fontId="76" fillId="88" borderId="0" applyNumberFormat="0" applyBorder="0" applyAlignment="0" applyProtection="0"/>
    <xf numFmtId="0" fontId="76" fillId="0" borderId="0"/>
    <xf numFmtId="0" fontId="76" fillId="0" borderId="0"/>
    <xf numFmtId="0" fontId="76" fillId="59" borderId="30" applyNumberFormat="0" applyFont="0" applyAlignment="0" applyProtection="0"/>
    <xf numFmtId="0" fontId="76" fillId="0" borderId="0" applyNumberFormat="0" applyFill="0" applyBorder="0" applyAlignment="0" applyProtection="0"/>
    <xf numFmtId="0" fontId="37" fillId="0" borderId="0"/>
    <xf numFmtId="0" fontId="76" fillId="0" borderId="0"/>
    <xf numFmtId="0" fontId="76" fillId="0" borderId="0"/>
    <xf numFmtId="0" fontId="76" fillId="87" borderId="0" applyNumberFormat="0" applyBorder="0" applyAlignment="0" applyProtection="0"/>
    <xf numFmtId="0" fontId="76" fillId="0" borderId="0"/>
    <xf numFmtId="0" fontId="76" fillId="0" borderId="0"/>
    <xf numFmtId="0" fontId="58" fillId="0" borderId="0"/>
    <xf numFmtId="0" fontId="76" fillId="0" borderId="0"/>
    <xf numFmtId="0" fontId="76" fillId="0" borderId="0"/>
    <xf numFmtId="0" fontId="76" fillId="72" borderId="0" applyNumberFormat="0" applyBorder="0" applyAlignment="0" applyProtection="0"/>
    <xf numFmtId="0" fontId="76" fillId="0" borderId="0" applyNumberFormat="0" applyFill="0" applyBorder="0" applyAlignment="0" applyProtection="0"/>
    <xf numFmtId="195" fontId="1" fillId="0" borderId="0" applyFont="0" applyFill="0" applyBorder="0" applyAlignment="0" applyProtection="0"/>
    <xf numFmtId="225" fontId="58" fillId="0" borderId="0" applyFont="0" applyFill="0" applyBorder="0" applyAlignment="0" applyProtection="0"/>
    <xf numFmtId="0" fontId="1" fillId="0" borderId="0" applyNumberFormat="0" applyFill="0" applyBorder="0" applyAlignment="0" applyProtection="0"/>
    <xf numFmtId="0" fontId="76" fillId="76" borderId="0" applyNumberFormat="0" applyBorder="0" applyAlignment="0" applyProtection="0"/>
    <xf numFmtId="0" fontId="37" fillId="0" borderId="0"/>
    <xf numFmtId="0" fontId="76" fillId="0" borderId="0"/>
    <xf numFmtId="0" fontId="76" fillId="0" borderId="0"/>
    <xf numFmtId="0" fontId="76" fillId="0" borderId="0" applyNumberFormat="0" applyFill="0" applyBorder="0" applyAlignment="0" applyProtection="0"/>
    <xf numFmtId="0" fontId="164" fillId="0" borderId="0"/>
    <xf numFmtId="0" fontId="37" fillId="0" borderId="0"/>
    <xf numFmtId="0" fontId="76" fillId="0" borderId="0"/>
    <xf numFmtId="0" fontId="76" fillId="0" borderId="0"/>
    <xf numFmtId="0" fontId="76" fillId="59" borderId="30" applyNumberFormat="0" applyFont="0" applyAlignment="0" applyProtection="0"/>
    <xf numFmtId="0" fontId="1" fillId="0" borderId="0"/>
    <xf numFmtId="0" fontId="76" fillId="0" borderId="0"/>
    <xf numFmtId="0" fontId="76" fillId="0" borderId="0"/>
    <xf numFmtId="0" fontId="76" fillId="68" borderId="0" applyNumberFormat="0" applyBorder="0" applyAlignment="0" applyProtection="0"/>
    <xf numFmtId="0" fontId="76" fillId="80" borderId="0" applyNumberFormat="0" applyBorder="0" applyAlignment="0" applyProtection="0"/>
    <xf numFmtId="0" fontId="76" fillId="0" borderId="0"/>
    <xf numFmtId="0" fontId="76" fillId="0" borderId="0"/>
    <xf numFmtId="0" fontId="76" fillId="0" borderId="0"/>
    <xf numFmtId="0" fontId="76" fillId="69" borderId="0" applyNumberFormat="0" applyBorder="0" applyAlignment="0" applyProtection="0"/>
    <xf numFmtId="0" fontId="76" fillId="0" borderId="0"/>
    <xf numFmtId="0" fontId="37" fillId="0" borderId="0"/>
    <xf numFmtId="0" fontId="76" fillId="0" borderId="0"/>
    <xf numFmtId="0" fontId="76" fillId="0" borderId="0" applyNumberFormat="0" applyFill="0" applyBorder="0" applyAlignment="0" applyProtection="0"/>
    <xf numFmtId="0" fontId="76" fillId="0" borderId="0"/>
    <xf numFmtId="0" fontId="76" fillId="59" borderId="30" applyNumberFormat="0" applyFont="0" applyAlignment="0" applyProtection="0"/>
    <xf numFmtId="0" fontId="76" fillId="0" borderId="0"/>
    <xf numFmtId="0" fontId="76" fillId="0" borderId="0"/>
    <xf numFmtId="0" fontId="76" fillId="0" borderId="0"/>
    <xf numFmtId="0" fontId="76" fillId="0" borderId="0"/>
    <xf numFmtId="0" fontId="76" fillId="0" borderId="0"/>
    <xf numFmtId="0" fontId="76" fillId="84" borderId="0" applyNumberFormat="0" applyBorder="0" applyAlignment="0" applyProtection="0"/>
    <xf numFmtId="0" fontId="76" fillId="0" borderId="0"/>
    <xf numFmtId="0" fontId="76" fillId="54"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37" fillId="0" borderId="0"/>
    <xf numFmtId="195" fontId="1" fillId="0" borderId="0" applyFont="0" applyFill="0" applyBorder="0" applyAlignment="0" applyProtection="0"/>
    <xf numFmtId="0" fontId="79" fillId="0" borderId="25" applyNumberFormat="0" applyFill="0" applyAlignment="0" applyProtection="0"/>
    <xf numFmtId="0" fontId="172" fillId="0" borderId="12" applyNumberFormat="0" applyBorder="0" applyProtection="0">
      <alignment horizontal="center"/>
    </xf>
    <xf numFmtId="4" fontId="15" fillId="93" borderId="14" applyNumberFormat="0" applyProtection="0">
      <alignment vertical="center"/>
    </xf>
    <xf numFmtId="4" fontId="154" fillId="40" borderId="14" applyNumberFormat="0" applyProtection="0">
      <alignment vertical="center"/>
    </xf>
    <xf numFmtId="4" fontId="17" fillId="48" borderId="14" applyNumberFormat="0" applyProtection="0">
      <alignment horizontal="left" vertical="center" indent="1"/>
    </xf>
    <xf numFmtId="4" fontId="153" fillId="93" borderId="14" applyNumberFormat="0" applyProtection="0">
      <alignment horizontal="center" vertical="center"/>
    </xf>
    <xf numFmtId="0" fontId="177" fillId="93" borderId="14" applyNumberFormat="0" applyProtection="0">
      <alignment horizontal="right" vertical="center" indent="1"/>
    </xf>
    <xf numFmtId="4" fontId="17" fillId="94" borderId="14" applyNumberFormat="0" applyProtection="0">
      <alignment horizontal="right" vertical="center"/>
    </xf>
    <xf numFmtId="4" fontId="17" fillId="95" borderId="14" applyNumberFormat="0" applyProtection="0">
      <alignment horizontal="right" vertical="center"/>
    </xf>
    <xf numFmtId="4" fontId="17" fillId="96" borderId="14" applyNumberFormat="0" applyProtection="0">
      <alignment horizontal="right" vertical="center"/>
    </xf>
    <xf numFmtId="4" fontId="17" fillId="47" borderId="14" applyNumberFormat="0" applyProtection="0">
      <alignment horizontal="right" vertical="center"/>
    </xf>
    <xf numFmtId="4" fontId="17" fillId="97" borderId="14" applyNumberFormat="0" applyProtection="0">
      <alignment horizontal="right" vertical="center"/>
    </xf>
    <xf numFmtId="4" fontId="17" fillId="98" borderId="14" applyNumberFormat="0" applyProtection="0">
      <alignment horizontal="right" vertical="center"/>
    </xf>
    <xf numFmtId="4" fontId="17" fillId="99" borderId="14" applyNumberFormat="0" applyProtection="0">
      <alignment horizontal="right" vertical="center"/>
    </xf>
    <xf numFmtId="4" fontId="17" fillId="100" borderId="14" applyNumberFormat="0" applyProtection="0">
      <alignment horizontal="right" vertical="center"/>
    </xf>
    <xf numFmtId="4" fontId="17" fillId="101" borderId="14" applyNumberFormat="0" applyProtection="0">
      <alignment horizontal="right" vertical="center"/>
    </xf>
    <xf numFmtId="4" fontId="42" fillId="102" borderId="14" applyNumberFormat="0" applyProtection="0">
      <alignment horizontal="left" vertical="center" indent="1"/>
    </xf>
    <xf numFmtId="4" fontId="17" fillId="52" borderId="107" applyNumberFormat="0" applyProtection="0">
      <alignment horizontal="left" vertical="center" indent="1"/>
    </xf>
    <xf numFmtId="4" fontId="178" fillId="103" borderId="0" applyNumberFormat="0" applyProtection="0">
      <alignment horizontal="left" vertical="center" indent="1"/>
    </xf>
    <xf numFmtId="0" fontId="179" fillId="93" borderId="14" applyNumberFormat="0" applyProtection="0">
      <alignment horizontal="left" vertical="center" indent="1"/>
    </xf>
    <xf numFmtId="4" fontId="180" fillId="52" borderId="14" applyNumberFormat="0" applyProtection="0">
      <alignment horizontal="left" vertical="center" indent="1"/>
    </xf>
    <xf numFmtId="4" fontId="181"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7" fillId="38" borderId="14" applyNumberFormat="0" applyProtection="0">
      <alignment vertical="center"/>
    </xf>
    <xf numFmtId="4" fontId="182" fillId="38" borderId="14" applyNumberFormat="0" applyProtection="0">
      <alignment vertical="center"/>
    </xf>
    <xf numFmtId="4" fontId="17" fillId="38" borderId="14" applyNumberFormat="0" applyProtection="0">
      <alignment horizontal="left" vertical="center" indent="1"/>
    </xf>
    <xf numFmtId="4" fontId="17" fillId="38" borderId="14" applyNumberFormat="0" applyProtection="0">
      <alignment horizontal="left" vertical="center" indent="1"/>
    </xf>
    <xf numFmtId="0" fontId="1" fillId="93" borderId="14" applyNumberFormat="0" applyProtection="0">
      <alignment horizontal="left" vertical="center" indent="1"/>
    </xf>
    <xf numFmtId="0" fontId="177" fillId="93" borderId="14" applyNumberFormat="0" applyProtection="0">
      <alignment horizontal="center" vertical="center"/>
    </xf>
    <xf numFmtId="0" fontId="183" fillId="0" borderId="0">
      <alignment vertical="center"/>
    </xf>
    <xf numFmtId="4" fontId="66" fillId="52" borderId="14" applyNumberFormat="0" applyProtection="0">
      <alignment horizontal="right" vertical="center"/>
    </xf>
    <xf numFmtId="0" fontId="146" fillId="67" borderId="0" applyNumberFormat="0" applyBorder="0" applyAlignment="0" applyProtection="0"/>
    <xf numFmtId="0" fontId="146" fillId="71" borderId="0" applyNumberFormat="0" applyBorder="0" applyAlignment="0" applyProtection="0"/>
    <xf numFmtId="0" fontId="146" fillId="75" borderId="0" applyNumberFormat="0" applyBorder="0" applyAlignment="0" applyProtection="0"/>
    <xf numFmtId="0" fontId="146" fillId="78" borderId="0" applyNumberFormat="0" applyBorder="0" applyAlignment="0" applyProtection="0"/>
    <xf numFmtId="0" fontId="146" fillId="82" borderId="0" applyNumberFormat="0" applyBorder="0" applyAlignment="0" applyProtection="0"/>
    <xf numFmtId="0" fontId="146" fillId="86" borderId="0" applyNumberFormat="0" applyBorder="0" applyAlignment="0" applyProtection="0"/>
    <xf numFmtId="0" fontId="79" fillId="0" borderId="25" applyNumberFormat="0" applyFill="0" applyAlignment="0" applyProtection="0"/>
    <xf numFmtId="0" fontId="146" fillId="82" borderId="0" applyNumberFormat="0" applyBorder="0" applyAlignment="0" applyProtection="0"/>
    <xf numFmtId="0" fontId="146" fillId="75" borderId="0" applyNumberFormat="0" applyBorder="0" applyAlignment="0" applyProtection="0"/>
    <xf numFmtId="0" fontId="172" fillId="0" borderId="12" applyNumberFormat="0" applyBorder="0" applyProtection="0">
      <alignment horizontal="center"/>
    </xf>
    <xf numFmtId="217" fontId="76" fillId="0" borderId="0"/>
    <xf numFmtId="217" fontId="1" fillId="0" borderId="0"/>
    <xf numFmtId="217" fontId="76" fillId="0" borderId="0"/>
    <xf numFmtId="217" fontId="1" fillId="0" borderId="0"/>
    <xf numFmtId="217" fontId="159" fillId="0" borderId="0" applyNumberFormat="0" applyFill="0" applyBorder="0" applyAlignment="0" applyProtection="0"/>
    <xf numFmtId="217" fontId="157" fillId="0" borderId="0" applyNumberFormat="0" applyFill="0" applyBorder="0" applyAlignment="0" applyProtection="0"/>
    <xf numFmtId="217" fontId="78" fillId="0" borderId="24" applyNumberFormat="0" applyFill="0" applyAlignment="0" applyProtection="0"/>
    <xf numFmtId="217" fontId="79" fillId="0" borderId="25" applyNumberFormat="0" applyFill="0" applyAlignment="0" applyProtection="0"/>
    <xf numFmtId="217" fontId="80" fillId="0" borderId="26" applyNumberFormat="0" applyFill="0" applyAlignment="0" applyProtection="0"/>
    <xf numFmtId="217" fontId="80" fillId="0" borderId="0" applyNumberFormat="0" applyFill="0" applyBorder="0" applyAlignment="0" applyProtection="0"/>
    <xf numFmtId="217" fontId="84" fillId="56" borderId="0" applyNumberFormat="0" applyBorder="0" applyAlignment="0" applyProtection="0"/>
    <xf numFmtId="217" fontId="147" fillId="65" borderId="0" applyNumberFormat="0" applyBorder="0" applyAlignment="0" applyProtection="0"/>
    <xf numFmtId="217" fontId="158" fillId="58" borderId="0" applyNumberFormat="0" applyBorder="0" applyAlignment="0" applyProtection="0"/>
    <xf numFmtId="217" fontId="86" fillId="57" borderId="28" applyNumberFormat="0" applyAlignment="0" applyProtection="0"/>
    <xf numFmtId="217" fontId="148" fillId="55" borderId="100" applyNumberFormat="0" applyAlignment="0" applyProtection="0"/>
    <xf numFmtId="217" fontId="149" fillId="55" borderId="28" applyNumberFormat="0" applyAlignment="0" applyProtection="0"/>
    <xf numFmtId="217" fontId="83" fillId="0" borderId="29" applyNumberFormat="0" applyFill="0" applyAlignment="0" applyProtection="0"/>
    <xf numFmtId="217" fontId="150" fillId="66" borderId="101" applyNumberFormat="0" applyAlignment="0" applyProtection="0"/>
    <xf numFmtId="217" fontId="103" fillId="0" borderId="0" applyNumberFormat="0" applyFill="0" applyBorder="0" applyAlignment="0" applyProtection="0"/>
    <xf numFmtId="217" fontId="76" fillId="59" borderId="30" applyNumberFormat="0" applyFont="0" applyAlignment="0" applyProtection="0"/>
    <xf numFmtId="217" fontId="151" fillId="0" borderId="0" applyNumberFormat="0" applyFill="0" applyBorder="0" applyAlignment="0" applyProtection="0"/>
    <xf numFmtId="217" fontId="152" fillId="0" borderId="102" applyNumberFormat="0" applyFill="0" applyAlignment="0" applyProtection="0"/>
    <xf numFmtId="217" fontId="146" fillId="67" borderId="0" applyNumberFormat="0" applyBorder="0" applyAlignment="0" applyProtection="0"/>
    <xf numFmtId="217" fontId="76" fillId="68" borderId="0" applyNumberFormat="0" applyBorder="0" applyAlignment="0" applyProtection="0"/>
    <xf numFmtId="217" fontId="76" fillId="69" borderId="0" applyNumberFormat="0" applyBorder="0" applyAlignment="0" applyProtection="0"/>
    <xf numFmtId="217" fontId="146" fillId="70" borderId="0" applyNumberFormat="0" applyBorder="0" applyAlignment="0" applyProtection="0"/>
    <xf numFmtId="217" fontId="146" fillId="71"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146" fillId="74" borderId="0" applyNumberFormat="0" applyBorder="0" applyAlignment="0" applyProtection="0"/>
    <xf numFmtId="217" fontId="146" fillId="75"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146" fillId="77" borderId="0" applyNumberFormat="0" applyBorder="0" applyAlignment="0" applyProtection="0"/>
    <xf numFmtId="217" fontId="146" fillId="78"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146" fillId="81" borderId="0" applyNumberFormat="0" applyBorder="0" applyAlignment="0" applyProtection="0"/>
    <xf numFmtId="217" fontId="146" fillId="82"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146" fillId="85" borderId="0" applyNumberFormat="0" applyBorder="0" applyAlignment="0" applyProtection="0"/>
    <xf numFmtId="217" fontId="146" fillId="86"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46" fillId="89" borderId="0" applyNumberFormat="0" applyBorder="0" applyAlignment="0" applyProtection="0"/>
    <xf numFmtId="217" fontId="76" fillId="0" borderId="0" applyNumberFormat="0" applyFill="0" applyBorder="0" applyAlignment="0" applyProtection="0"/>
    <xf numFmtId="217" fontId="76" fillId="0" borderId="0" applyNumberFormat="0" applyFill="0" applyBorder="0" applyAlignment="0" applyProtection="0"/>
    <xf numFmtId="217" fontId="1" fillId="0" borderId="0">
      <alignment wrapText="1"/>
    </xf>
    <xf numFmtId="217" fontId="161" fillId="0" borderId="0">
      <alignment wrapText="1"/>
    </xf>
    <xf numFmtId="217" fontId="160" fillId="0" borderId="0"/>
    <xf numFmtId="217" fontId="3" fillId="0" borderId="0" applyNumberFormat="0" applyFill="0" applyBorder="0" applyAlignment="0" applyProtection="0"/>
    <xf numFmtId="217" fontId="1" fillId="0" borderId="0" applyNumberFormat="0" applyFill="0" applyBorder="0" applyAlignment="0" applyProtection="0"/>
    <xf numFmtId="217" fontId="162" fillId="0" borderId="0" applyNumberFormat="0" applyFill="0" applyBorder="0" applyAlignment="0" applyProtection="0"/>
    <xf numFmtId="217" fontId="76" fillId="68"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76" fillId="79" borderId="0" applyNumberFormat="0" applyBorder="0" applyAlignment="0" applyProtection="0"/>
    <xf numFmtId="217" fontId="76" fillId="83" borderId="0" applyNumberFormat="0" applyBorder="0" applyAlignment="0" applyProtection="0"/>
    <xf numFmtId="217" fontId="76" fillId="87" borderId="0" applyNumberFormat="0" applyBorder="0" applyAlignment="0" applyProtection="0"/>
    <xf numFmtId="217" fontId="76" fillId="69"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80"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146" fillId="70" borderId="0" applyNumberFormat="0" applyBorder="0" applyAlignment="0" applyProtection="0"/>
    <xf numFmtId="217" fontId="146" fillId="74" borderId="0" applyNumberFormat="0" applyBorder="0" applyAlignment="0" applyProtection="0"/>
    <xf numFmtId="217" fontId="146" fillId="77" borderId="0" applyNumberFormat="0" applyBorder="0" applyAlignment="0" applyProtection="0"/>
    <xf numFmtId="217" fontId="146" fillId="81" borderId="0" applyNumberFormat="0" applyBorder="0" applyAlignment="0" applyProtection="0"/>
    <xf numFmtId="217" fontId="146" fillId="85" borderId="0" applyNumberFormat="0" applyBorder="0" applyAlignment="0" applyProtection="0"/>
    <xf numFmtId="217" fontId="146" fillId="89" borderId="0" applyNumberFormat="0" applyBorder="0" applyAlignment="0" applyProtection="0"/>
    <xf numFmtId="217" fontId="146" fillId="67" borderId="0" applyNumberFormat="0" applyBorder="0" applyAlignment="0" applyProtection="0"/>
    <xf numFmtId="217" fontId="146" fillId="71" borderId="0" applyNumberFormat="0" applyBorder="0" applyAlignment="0" applyProtection="0"/>
    <xf numFmtId="217" fontId="146" fillId="75" borderId="0" applyNumberFormat="0" applyBorder="0" applyAlignment="0" applyProtection="0"/>
    <xf numFmtId="217" fontId="146" fillId="78" borderId="0" applyNumberFormat="0" applyBorder="0" applyAlignment="0" applyProtection="0"/>
    <xf numFmtId="217" fontId="146" fillId="82" borderId="0" applyNumberFormat="0" applyBorder="0" applyAlignment="0" applyProtection="0"/>
    <xf numFmtId="217" fontId="146" fillId="86" borderId="0" applyNumberFormat="0" applyBorder="0" applyAlignment="0" applyProtection="0"/>
    <xf numFmtId="217" fontId="147" fillId="65" borderId="0" applyNumberFormat="0" applyBorder="0" applyAlignment="0" applyProtection="0"/>
    <xf numFmtId="217" fontId="149" fillId="55" borderId="28" applyNumberFormat="0" applyAlignment="0" applyProtection="0"/>
    <xf numFmtId="217" fontId="150" fillId="66" borderId="101" applyNumberFormat="0" applyAlignment="0" applyProtection="0"/>
    <xf numFmtId="217" fontId="162" fillId="0" borderId="0" applyFont="0" applyFill="0" applyBorder="0" applyAlignment="0" applyProtection="0"/>
    <xf numFmtId="217" fontId="162" fillId="0" borderId="0" applyFont="0" applyFill="0" applyBorder="0" applyAlignment="0" applyProtection="0"/>
    <xf numFmtId="217" fontId="162" fillId="0" borderId="0" applyFont="0" applyFill="0" applyBorder="0" applyAlignment="0" applyProtection="0"/>
    <xf numFmtId="217" fontId="162" fillId="0" borderId="0" applyFont="0" applyFill="0" applyBorder="0" applyAlignment="0" applyProtection="0"/>
    <xf numFmtId="217" fontId="151" fillId="0" borderId="0" applyNumberFormat="0" applyFill="0" applyBorder="0" applyAlignment="0" applyProtection="0"/>
    <xf numFmtId="217" fontId="84" fillId="56" borderId="0" applyNumberFormat="0" applyBorder="0" applyAlignment="0" applyProtection="0"/>
    <xf numFmtId="217" fontId="78" fillId="0" borderId="24" applyNumberFormat="0" applyFill="0" applyAlignment="0" applyProtection="0"/>
    <xf numFmtId="217" fontId="79" fillId="0" borderId="25" applyNumberFormat="0" applyFill="0" applyAlignment="0" applyProtection="0"/>
    <xf numFmtId="217" fontId="80" fillId="0" borderId="26" applyNumberFormat="0" applyFill="0" applyAlignment="0" applyProtection="0"/>
    <xf numFmtId="217" fontId="80" fillId="0" borderId="0" applyNumberFormat="0" applyFill="0" applyBorder="0" applyAlignment="0" applyProtection="0"/>
    <xf numFmtId="217" fontId="86" fillId="57" borderId="28" applyNumberFormat="0" applyAlignment="0" applyProtection="0"/>
    <xf numFmtId="217" fontId="83" fillId="0" borderId="29" applyNumberFormat="0" applyFill="0" applyAlignment="0" applyProtection="0"/>
    <xf numFmtId="217" fontId="158" fillId="58" borderId="0" applyNumberFormat="0" applyBorder="0" applyAlignment="0" applyProtection="0"/>
    <xf numFmtId="217" fontId="1" fillId="0" borderId="0"/>
    <xf numFmtId="217" fontId="162" fillId="0" borderId="0"/>
    <xf numFmtId="217" fontId="1"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62" fillId="0" borderId="0"/>
    <xf numFmtId="217" fontId="159" fillId="0" borderId="0"/>
    <xf numFmtId="217" fontId="76" fillId="0" borderId="0"/>
    <xf numFmtId="217" fontId="162" fillId="0" borderId="0"/>
    <xf numFmtId="217" fontId="1" fillId="0" borderId="0"/>
    <xf numFmtId="217" fontId="162" fillId="0" borderId="0"/>
    <xf numFmtId="217" fontId="76" fillId="0" borderId="0"/>
    <xf numFmtId="217" fontId="159" fillId="0" borderId="0"/>
    <xf numFmtId="217" fontId="1" fillId="0" borderId="0"/>
    <xf numFmtId="217" fontId="1" fillId="0" borderId="0"/>
    <xf numFmtId="217" fontId="159" fillId="0" borderId="0"/>
    <xf numFmtId="217" fontId="159" fillId="0" borderId="0"/>
    <xf numFmtId="217" fontId="159" fillId="0" borderId="0"/>
    <xf numFmtId="217" fontId="1" fillId="0" borderId="0"/>
    <xf numFmtId="217" fontId="1" fillId="0" borderId="0"/>
    <xf numFmtId="217" fontId="1" fillId="0" borderId="0"/>
    <xf numFmtId="217" fontId="1" fillId="0" borderId="0"/>
    <xf numFmtId="217" fontId="76" fillId="59" borderId="30" applyNumberFormat="0" applyFont="0" applyAlignment="0" applyProtection="0"/>
    <xf numFmtId="217" fontId="148" fillId="55" borderId="100" applyNumberFormat="0" applyAlignment="0" applyProtection="0"/>
    <xf numFmtId="217" fontId="157" fillId="0" borderId="0" applyNumberFormat="0" applyFill="0" applyBorder="0" applyAlignment="0" applyProtection="0"/>
    <xf numFmtId="217" fontId="103" fillId="0" borderId="0" applyNumberFormat="0" applyFill="0" applyBorder="0" applyAlignment="0" applyProtection="0"/>
    <xf numFmtId="217" fontId="76" fillId="0" borderId="0"/>
    <xf numFmtId="217" fontId="76" fillId="0" borderId="0"/>
    <xf numFmtId="217" fontId="1" fillId="0" borderId="0"/>
    <xf numFmtId="217" fontId="164" fillId="0" borderId="0"/>
    <xf numFmtId="9" fontId="164" fillId="0" borderId="0" applyFont="0" applyFill="0" applyBorder="0" applyAlignment="0" applyProtection="0"/>
    <xf numFmtId="217" fontId="160" fillId="0" borderId="0"/>
    <xf numFmtId="217" fontId="1" fillId="0" borderId="0"/>
    <xf numFmtId="217" fontId="3" fillId="0" borderId="0" applyNumberFormat="0" applyFill="0" applyBorder="0" applyAlignment="0" applyProtection="0"/>
    <xf numFmtId="217" fontId="1" fillId="0" borderId="0"/>
    <xf numFmtId="217" fontId="76"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7" fillId="52" borderId="14" applyNumberFormat="0" applyProtection="0">
      <alignment horizontal="right" vertical="center"/>
    </xf>
    <xf numFmtId="217" fontId="76" fillId="0" borderId="0" applyNumberFormat="0" applyFill="0" applyBorder="0" applyAlignment="0" applyProtection="0"/>
    <xf numFmtId="44" fontId="58" fillId="0" borderId="0" applyFont="0" applyFill="0" applyBorder="0" applyAlignment="0" applyProtection="0"/>
    <xf numFmtId="217" fontId="58" fillId="0" borderId="0"/>
    <xf numFmtId="217" fontId="58" fillId="0" borderId="0" applyFont="0" applyFill="0" applyBorder="0" applyAlignment="0" applyProtection="0"/>
    <xf numFmtId="217" fontId="1" fillId="0" borderId="0"/>
    <xf numFmtId="217" fontId="1" fillId="0" borderId="0" applyFont="0" applyFill="0" applyBorder="0" applyAlignment="0" applyProtection="0"/>
    <xf numFmtId="217" fontId="37" fillId="0" borderId="0"/>
    <xf numFmtId="217" fontId="37" fillId="0" borderId="0"/>
    <xf numFmtId="217" fontId="37" fillId="0" borderId="0"/>
    <xf numFmtId="217" fontId="152" fillId="0" borderId="102" applyNumberFormat="0" applyFill="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applyFont="0" applyFill="0" applyBorder="0" applyAlignment="0" applyProtection="0"/>
    <xf numFmtId="217" fontId="37"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37" fillId="0" borderId="0"/>
    <xf numFmtId="217" fontId="1" fillId="0" borderId="0"/>
    <xf numFmtId="217" fontId="37" fillId="0" borderId="0"/>
    <xf numFmtId="217" fontId="37" fillId="0" borderId="0"/>
    <xf numFmtId="217" fontId="1" fillId="0" borderId="0"/>
    <xf numFmtId="217" fontId="37" fillId="0" borderId="0"/>
    <xf numFmtId="217" fontId="76" fillId="0" borderId="0"/>
    <xf numFmtId="217" fontId="76" fillId="0" borderId="0"/>
    <xf numFmtId="217" fontId="76" fillId="0" borderId="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6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84" borderId="0" applyNumberFormat="0" applyBorder="0" applyAlignment="0" applyProtection="0"/>
    <xf numFmtId="217" fontId="76" fillId="72"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7" fillId="0" borderId="0"/>
    <xf numFmtId="217" fontId="37" fillId="0" borderId="0"/>
    <xf numFmtId="217" fontId="1" fillId="0" borderId="0"/>
    <xf numFmtId="217" fontId="37" fillId="0" borderId="0"/>
    <xf numFmtId="217" fontId="37" fillId="0" borderId="0"/>
    <xf numFmtId="217" fontId="1" fillId="0" borderId="0"/>
    <xf numFmtId="217" fontId="1"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87" borderId="0" applyNumberFormat="0" applyBorder="0" applyAlignment="0" applyProtection="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37" fillId="0" borderId="0"/>
    <xf numFmtId="217" fontId="37" fillId="0" borderId="0"/>
    <xf numFmtId="217" fontId="1" fillId="0" borderId="0"/>
    <xf numFmtId="217" fontId="1" fillId="0" borderId="0"/>
    <xf numFmtId="217" fontId="1" fillId="0" borderId="0"/>
    <xf numFmtId="217" fontId="37" fillId="0" borderId="0"/>
    <xf numFmtId="217" fontId="37" fillId="0" borderId="0"/>
    <xf numFmtId="217" fontId="37" fillId="0" borderId="0"/>
    <xf numFmtId="217" fontId="76"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7" fillId="0" borderId="0"/>
    <xf numFmtId="217" fontId="37" fillId="0" borderId="0"/>
    <xf numFmtId="217" fontId="37" fillId="0" borderId="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37" fillId="0" borderId="0"/>
    <xf numFmtId="217" fontId="37" fillId="0" borderId="0"/>
    <xf numFmtId="217" fontId="1" fillId="0" borderId="0"/>
    <xf numFmtId="217" fontId="1" fillId="0" borderId="0"/>
    <xf numFmtId="217" fontId="1" fillId="0" borderId="0"/>
    <xf numFmtId="217" fontId="1" fillId="0" borderId="0"/>
    <xf numFmtId="217" fontId="1" fillId="0" borderId="0"/>
    <xf numFmtId="217" fontId="37" fillId="0" borderId="0"/>
    <xf numFmtId="217" fontId="37" fillId="0" borderId="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37" fillId="0" borderId="0"/>
    <xf numFmtId="217" fontId="1" fillId="0" borderId="0"/>
    <xf numFmtId="217" fontId="1" fillId="0" borderId="0"/>
    <xf numFmtId="217" fontId="37" fillId="0" borderId="0"/>
    <xf numFmtId="217" fontId="1" fillId="0" borderId="0"/>
    <xf numFmtId="217" fontId="1" fillId="0" borderId="0"/>
    <xf numFmtId="217" fontId="1" fillId="0" borderId="0"/>
    <xf numFmtId="217" fontId="1" fillId="0" borderId="0"/>
    <xf numFmtId="217" fontId="37" fillId="0" borderId="0"/>
    <xf numFmtId="217" fontId="37" fillId="0" borderId="0"/>
    <xf numFmtId="217" fontId="1" fillId="0" borderId="0"/>
    <xf numFmtId="217" fontId="1" fillId="0" borderId="0"/>
    <xf numFmtId="217" fontId="37" fillId="0" borderId="0"/>
    <xf numFmtId="217" fontId="1" fillId="0" borderId="0"/>
    <xf numFmtId="217" fontId="1" fillId="0" borderId="0"/>
    <xf numFmtId="217" fontId="1" fillId="0" borderId="0"/>
    <xf numFmtId="4" fontId="15" fillId="52" borderId="14" applyProtection="0">
      <alignment horizontal="right" vertical="center"/>
    </xf>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54" borderId="0" applyNumberFormat="0" applyBorder="0" applyAlignment="0" applyProtection="0"/>
    <xf numFmtId="217" fontId="76" fillId="84" borderId="0" applyNumberFormat="0" applyBorder="0" applyAlignment="0" applyProtection="0"/>
    <xf numFmtId="217" fontId="76" fillId="83" borderId="0" applyNumberFormat="0" applyBorder="0" applyAlignment="0" applyProtection="0"/>
    <xf numFmtId="217" fontId="76" fillId="80" borderId="0" applyNumberFormat="0" applyBorder="0" applyAlignment="0" applyProtection="0"/>
    <xf numFmtId="217" fontId="76" fillId="79"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0" borderId="0"/>
    <xf numFmtId="217" fontId="76" fillId="59" borderId="30" applyNumberFormat="0" applyFont="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68" borderId="0" applyNumberFormat="0" applyBorder="0" applyAlignment="0" applyProtection="0"/>
    <xf numFmtId="217" fontId="76" fillId="69" borderId="0" applyNumberFormat="0" applyBorder="0" applyAlignment="0" applyProtection="0"/>
    <xf numFmtId="217" fontId="37" fillId="0" borderId="0"/>
    <xf numFmtId="217" fontId="76" fillId="72"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69"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1" fillId="0" borderId="0"/>
    <xf numFmtId="217" fontId="76" fillId="68"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1" fillId="0" borderId="0"/>
    <xf numFmtId="217" fontId="76" fillId="59" borderId="30" applyNumberFormat="0" applyFont="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76" fillId="0" borderId="0"/>
    <xf numFmtId="217" fontId="76" fillId="87" borderId="0" applyNumberFormat="0" applyBorder="0" applyAlignment="0" applyProtection="0"/>
    <xf numFmtId="217" fontId="76" fillId="88" borderId="0" applyNumberFormat="0" applyBorder="0" applyAlignment="0" applyProtection="0"/>
    <xf numFmtId="217" fontId="76"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7" fillId="0" borderId="0"/>
    <xf numFmtId="217" fontId="37" fillId="0" borderId="0"/>
    <xf numFmtId="217" fontId="1" fillId="0" borderId="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0" borderId="0"/>
    <xf numFmtId="217" fontId="76" fillId="0" borderId="0"/>
    <xf numFmtId="217" fontId="37"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87" borderId="0" applyNumberFormat="0" applyBorder="0" applyAlignment="0" applyProtection="0"/>
    <xf numFmtId="217" fontId="1" fillId="0" borderId="0"/>
    <xf numFmtId="217" fontId="76" fillId="72" borderId="0" applyNumberFormat="0" applyBorder="0" applyAlignment="0" applyProtection="0"/>
    <xf numFmtId="217" fontId="76" fillId="73" borderId="0" applyNumberFormat="0" applyBorder="0" applyAlignment="0" applyProtection="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6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84" borderId="0" applyNumberFormat="0" applyBorder="0" applyAlignment="0" applyProtection="0"/>
    <xf numFmtId="217" fontId="76" fillId="72"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59" borderId="30" applyNumberFormat="0" applyFont="0" applyAlignment="0" applyProtection="0"/>
    <xf numFmtId="217" fontId="76" fillId="0" borderId="0"/>
    <xf numFmtId="217" fontId="76" fillId="7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69" borderId="0" applyNumberFormat="0" applyBorder="0" applyAlignment="0" applyProtection="0"/>
    <xf numFmtId="217" fontId="76" fillId="76" borderId="0" applyNumberFormat="0" applyBorder="0" applyAlignment="0" applyProtection="0"/>
    <xf numFmtId="217" fontId="1" fillId="0" borderId="0"/>
    <xf numFmtId="217" fontId="76" fillId="0" borderId="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7" borderId="0" applyNumberFormat="0" applyBorder="0" applyAlignment="0" applyProtection="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1" fillId="0" borderId="0"/>
    <xf numFmtId="217" fontId="76" fillId="83" borderId="0" applyNumberFormat="0" applyBorder="0" applyAlignment="0" applyProtection="0"/>
    <xf numFmtId="217" fontId="76" fillId="84" borderId="0" applyNumberFormat="0" applyBorder="0" applyAlignment="0" applyProtection="0"/>
    <xf numFmtId="217" fontId="1" fillId="0" borderId="0" applyFont="0" applyFill="0" applyBorder="0" applyAlignment="0" applyProtection="0"/>
    <xf numFmtId="217" fontId="1" fillId="0" borderId="0"/>
    <xf numFmtId="217" fontId="76" fillId="88" borderId="0" applyNumberFormat="0" applyBorder="0" applyAlignment="0" applyProtection="0"/>
    <xf numFmtId="217" fontId="1" fillId="0" borderId="0"/>
    <xf numFmtId="217" fontId="76" fillId="84"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88" borderId="0" applyNumberFormat="0" applyBorder="0" applyAlignment="0" applyProtection="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37" fillId="0" borderId="0"/>
    <xf numFmtId="217" fontId="76" fillId="80" borderId="0" applyNumberFormat="0" applyBorder="0" applyAlignment="0" applyProtection="0"/>
    <xf numFmtId="217" fontId="1" fillId="0" borderId="0"/>
    <xf numFmtId="217" fontId="1" fillId="0" borderId="0"/>
    <xf numFmtId="217" fontId="76" fillId="84" borderId="0" applyNumberFormat="0" applyBorder="0" applyAlignment="0" applyProtection="0"/>
    <xf numFmtId="217" fontId="76" fillId="0" borderId="0"/>
    <xf numFmtId="217" fontId="76" fillId="87" borderId="0" applyNumberFormat="0" applyBorder="0" applyAlignment="0" applyProtection="0"/>
    <xf numFmtId="217" fontId="1" fillId="0" borderId="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3" borderId="0" applyNumberFormat="0" applyBorder="0" applyAlignment="0" applyProtection="0"/>
    <xf numFmtId="217" fontId="76" fillId="68" borderId="0" applyNumberFormat="0" applyBorder="0" applyAlignment="0" applyProtection="0"/>
    <xf numFmtId="217" fontId="1" fillId="0" borderId="0"/>
    <xf numFmtId="217" fontId="1" fillId="0" borderId="0"/>
    <xf numFmtId="217" fontId="37" fillId="0" borderId="0"/>
    <xf numFmtId="217" fontId="1" fillId="0" borderId="0"/>
    <xf numFmtId="217" fontId="1" fillId="0" borderId="0"/>
    <xf numFmtId="217" fontId="76" fillId="0" borderId="0"/>
    <xf numFmtId="217" fontId="1" fillId="0" borderId="0"/>
    <xf numFmtId="217" fontId="76" fillId="79" borderId="0" applyNumberFormat="0" applyBorder="0" applyAlignment="0" applyProtection="0"/>
    <xf numFmtId="217" fontId="76" fillId="0" borderId="0"/>
    <xf numFmtId="217" fontId="1" fillId="0" borderId="0"/>
    <xf numFmtId="217" fontId="37" fillId="0" borderId="0"/>
    <xf numFmtId="217" fontId="37" fillId="0" borderId="0"/>
    <xf numFmtId="217" fontId="1" fillId="0" borderId="0"/>
    <xf numFmtId="217" fontId="1" fillId="0" borderId="0"/>
    <xf numFmtId="217" fontId="76" fillId="80" borderId="0" applyNumberFormat="0" applyBorder="0" applyAlignment="0" applyProtection="0"/>
    <xf numFmtId="217" fontId="76" fillId="69" borderId="0" applyNumberFormat="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1" fillId="0" borderId="0"/>
    <xf numFmtId="217" fontId="37" fillId="0" borderId="0"/>
    <xf numFmtId="217" fontId="1" fillId="0" borderId="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79" borderId="0" applyNumberFormat="0" applyBorder="0" applyAlignment="0" applyProtection="0"/>
    <xf numFmtId="217" fontId="76" fillId="59" borderId="30" applyNumberFormat="0" applyFont="0" applyAlignment="0" applyProtection="0"/>
    <xf numFmtId="217" fontId="76" fillId="68" borderId="0" applyNumberFormat="0" applyBorder="0" applyAlignment="0" applyProtection="0"/>
    <xf numFmtId="217" fontId="76" fillId="80" borderId="0" applyNumberFormat="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69" borderId="0" applyNumberFormat="0" applyBorder="0" applyAlignment="0" applyProtection="0"/>
    <xf numFmtId="217" fontId="76" fillId="68" borderId="0" applyNumberFormat="0" applyBorder="0" applyAlignment="0" applyProtection="0"/>
    <xf numFmtId="217" fontId="76" fillId="76" borderId="0" applyNumberFormat="0" applyBorder="0" applyAlignment="0" applyProtection="0"/>
    <xf numFmtId="217" fontId="76" fillId="54" borderId="0" applyNumberFormat="0" applyBorder="0" applyAlignment="0" applyProtection="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84" borderId="0" applyNumberFormat="0" applyBorder="0" applyAlignment="0" applyProtection="0"/>
    <xf numFmtId="217" fontId="76" fillId="72"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76" fillId="83" borderId="0" applyNumberFormat="0" applyBorder="0" applyAlignment="0" applyProtection="0"/>
    <xf numFmtId="217" fontId="76" fillId="54" borderId="0" applyNumberFormat="0" applyBorder="0" applyAlignment="0" applyProtection="0"/>
    <xf numFmtId="217" fontId="76" fillId="0" borderId="0"/>
    <xf numFmtId="217" fontId="76" fillId="59" borderId="30" applyNumberFormat="0" applyFont="0" applyAlignment="0" applyProtection="0"/>
    <xf numFmtId="217" fontId="1" fillId="0" borderId="0"/>
    <xf numFmtId="217" fontId="76" fillId="79" borderId="0" applyNumberFormat="0" applyBorder="0" applyAlignment="0" applyProtection="0"/>
    <xf numFmtId="217" fontId="76"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7" borderId="0" applyNumberFormat="0" applyBorder="0" applyAlignment="0" applyProtection="0"/>
    <xf numFmtId="217" fontId="37"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37" fillId="0" borderId="0"/>
    <xf numFmtId="217" fontId="1" fillId="0" borderId="0"/>
    <xf numFmtId="217" fontId="76" fillId="76" borderId="0" applyNumberFormat="0" applyBorder="0" applyAlignment="0" applyProtection="0"/>
    <xf numFmtId="217" fontId="1" fillId="0" borderId="0"/>
    <xf numFmtId="217" fontId="76" fillId="0" borderId="0"/>
    <xf numFmtId="217" fontId="76" fillId="0" borderId="0"/>
    <xf numFmtId="217" fontId="76" fillId="88" borderId="0" applyNumberFormat="0" applyBorder="0" applyAlignment="0" applyProtection="0"/>
    <xf numFmtId="217" fontId="1" fillId="0" borderId="0"/>
    <xf numFmtId="217" fontId="76" fillId="73" borderId="0" applyNumberFormat="0" applyBorder="0" applyAlignment="0" applyProtection="0"/>
    <xf numFmtId="217" fontId="76" fillId="0" borderId="0"/>
    <xf numFmtId="217" fontId="1"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83" borderId="0" applyNumberFormat="0" applyBorder="0" applyAlignment="0" applyProtection="0"/>
    <xf numFmtId="217" fontId="1" fillId="0" borderId="0"/>
    <xf numFmtId="217" fontId="1" fillId="0" borderId="0"/>
    <xf numFmtId="217" fontId="76" fillId="69" borderId="0" applyNumberFormat="0" applyBorder="0" applyAlignment="0" applyProtection="0"/>
    <xf numFmtId="217" fontId="76" fillId="72" borderId="0" applyNumberFormat="0" applyBorder="0" applyAlignment="0" applyProtection="0"/>
    <xf numFmtId="217" fontId="37" fillId="0" borderId="0"/>
    <xf numFmtId="217" fontId="76"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76" fillId="88" borderId="0" applyNumberFormat="0" applyBorder="0" applyAlignment="0" applyProtection="0"/>
    <xf numFmtId="217" fontId="76" fillId="0" borderId="0"/>
    <xf numFmtId="217" fontId="1" fillId="0" borderId="0"/>
    <xf numFmtId="217" fontId="1" fillId="0" borderId="0"/>
    <xf numFmtId="217" fontId="37" fillId="0" borderId="0"/>
    <xf numFmtId="217" fontId="1" fillId="0" borderId="0"/>
    <xf numFmtId="217" fontId="1" fillId="0" borderId="0"/>
    <xf numFmtId="217" fontId="76" fillId="87" borderId="0" applyNumberFormat="0" applyBorder="0" applyAlignment="0" applyProtection="0"/>
    <xf numFmtId="217" fontId="1" fillId="0" borderId="0"/>
    <xf numFmtId="217" fontId="76" fillId="80" borderId="0" applyNumberFormat="0" applyBorder="0" applyAlignment="0" applyProtection="0"/>
    <xf numFmtId="217" fontId="1" fillId="0" borderId="0"/>
    <xf numFmtId="217" fontId="76" fillId="0" borderId="0"/>
    <xf numFmtId="217" fontId="1" fillId="0" borderId="0"/>
    <xf numFmtId="217" fontId="1" fillId="0" borderId="0"/>
    <xf numFmtId="217" fontId="76" fillId="84" borderId="0" applyNumberFormat="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37" fillId="0" borderId="0"/>
    <xf numFmtId="217" fontId="1" fillId="0" borderId="0"/>
    <xf numFmtId="217" fontId="1" fillId="0" borderId="0"/>
    <xf numFmtId="217" fontId="37" fillId="0" borderId="0"/>
    <xf numFmtId="9" fontId="1" fillId="0" borderId="0" applyFont="0" applyFill="0" applyBorder="0" applyAlignment="0" applyProtection="0"/>
    <xf numFmtId="217" fontId="1" fillId="0" borderId="0"/>
    <xf numFmtId="217" fontId="37" fillId="0" borderId="0"/>
    <xf numFmtId="217" fontId="1" fillId="0" borderId="0"/>
    <xf numFmtId="217" fontId="37" fillId="0" borderId="0"/>
    <xf numFmtId="217" fontId="1" fillId="0" borderId="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37" fillId="0" borderId="0"/>
    <xf numFmtId="217" fontId="1" fillId="0" borderId="0"/>
    <xf numFmtId="217" fontId="37" fillId="0" borderId="0"/>
    <xf numFmtId="217" fontId="76" fillId="73" borderId="0" applyNumberFormat="0" applyBorder="0" applyAlignment="0" applyProtection="0"/>
    <xf numFmtId="217" fontId="76" fillId="87" borderId="0" applyNumberFormat="0" applyBorder="0" applyAlignment="0" applyProtection="0"/>
    <xf numFmtId="217" fontId="76" fillId="83" borderId="0" applyNumberFormat="0" applyBorder="0" applyAlignment="0" applyProtection="0"/>
    <xf numFmtId="217" fontId="1" fillId="0" borderId="0"/>
    <xf numFmtId="217" fontId="76" fillId="80" borderId="0" applyNumberFormat="0" applyBorder="0" applyAlignment="0" applyProtection="0"/>
    <xf numFmtId="217" fontId="76" fillId="59" borderId="30" applyNumberFormat="0" applyFont="0" applyAlignment="0" applyProtection="0"/>
    <xf numFmtId="217" fontId="76" fillId="76" borderId="0" applyNumberFormat="0" applyBorder="0" applyAlignment="0" applyProtection="0"/>
    <xf numFmtId="217" fontId="1" fillId="0" borderId="0"/>
    <xf numFmtId="217" fontId="76" fillId="0" borderId="0"/>
    <xf numFmtId="217" fontId="1" fillId="0" borderId="0"/>
    <xf numFmtId="217" fontId="76" fillId="0" borderId="0"/>
    <xf numFmtId="217" fontId="76" fillId="0" borderId="0"/>
    <xf numFmtId="217" fontId="1" fillId="0" borderId="0"/>
    <xf numFmtId="217" fontId="37" fillId="0" borderId="0"/>
    <xf numFmtId="217" fontId="76" fillId="54" borderId="0" applyNumberFormat="0" applyBorder="0" applyAlignment="0" applyProtection="0"/>
    <xf numFmtId="217" fontId="76" fillId="69" borderId="0" applyNumberFormat="0" applyBorder="0" applyAlignment="0" applyProtection="0"/>
    <xf numFmtId="217" fontId="76" fillId="76" borderId="0" applyNumberFormat="0" applyBorder="0" applyAlignment="0" applyProtection="0"/>
    <xf numFmtId="217" fontId="76" fillId="73" borderId="0" applyNumberFormat="0" applyBorder="0" applyAlignment="0" applyProtection="0"/>
    <xf numFmtId="217" fontId="76" fillId="68" borderId="0" applyNumberFormat="0" applyBorder="0" applyAlignment="0" applyProtection="0"/>
    <xf numFmtId="217" fontId="76" fillId="80" borderId="0" applyNumberFormat="0" applyBorder="0" applyAlignment="0" applyProtection="0"/>
    <xf numFmtId="217" fontId="1" fillId="0" borderId="0"/>
    <xf numFmtId="217" fontId="76" fillId="54" borderId="0" applyNumberFormat="0" applyBorder="0" applyAlignment="0" applyProtection="0"/>
    <xf numFmtId="217" fontId="1" fillId="0" borderId="0"/>
    <xf numFmtId="217" fontId="76" fillId="72" borderId="0" applyNumberFormat="0" applyBorder="0" applyAlignment="0" applyProtection="0"/>
    <xf numFmtId="217" fontId="76" fillId="0" borderId="0"/>
    <xf numFmtId="217" fontId="1" fillId="0" borderId="0"/>
    <xf numFmtId="217" fontId="76" fillId="76" borderId="0" applyNumberFormat="0" applyBorder="0" applyAlignment="0" applyProtection="0"/>
    <xf numFmtId="217" fontId="76" fillId="88" borderId="0" applyNumberFormat="0" applyBorder="0" applyAlignment="0" applyProtection="0"/>
    <xf numFmtId="217" fontId="76" fillId="0" borderId="0"/>
    <xf numFmtId="217" fontId="76" fillId="0" borderId="0"/>
    <xf numFmtId="217" fontId="76" fillId="73" borderId="0" applyNumberFormat="0" applyBorder="0" applyAlignment="0" applyProtection="0"/>
    <xf numFmtId="217" fontId="76" fillId="0" borderId="0"/>
    <xf numFmtId="217" fontId="76" fillId="87" borderId="0" applyNumberFormat="0" applyBorder="0" applyAlignment="0" applyProtection="0"/>
    <xf numFmtId="217" fontId="76" fillId="0" borderId="0"/>
    <xf numFmtId="217" fontId="76" fillId="0" borderId="0"/>
    <xf numFmtId="217" fontId="76" fillId="0" borderId="0"/>
    <xf numFmtId="217" fontId="37" fillId="0" borderId="0"/>
    <xf numFmtId="217" fontId="37" fillId="0" borderId="0"/>
    <xf numFmtId="217" fontId="76" fillId="68" borderId="0" applyNumberFormat="0" applyBorder="0" applyAlignment="0" applyProtection="0"/>
    <xf numFmtId="217" fontId="76" fillId="68" borderId="0" applyNumberFormat="0" applyBorder="0" applyAlignment="0" applyProtection="0"/>
    <xf numFmtId="217" fontId="1" fillId="0" borderId="0"/>
    <xf numFmtId="217" fontId="76" fillId="84" borderId="0" applyNumberFormat="0" applyBorder="0" applyAlignment="0" applyProtection="0"/>
    <xf numFmtId="217" fontId="76" fillId="84" borderId="0" applyNumberFormat="0" applyBorder="0" applyAlignment="0" applyProtection="0"/>
    <xf numFmtId="217" fontId="1" fillId="0" borderId="0"/>
    <xf numFmtId="217" fontId="76" fillId="69" borderId="0" applyNumberFormat="0" applyBorder="0" applyAlignment="0" applyProtection="0"/>
    <xf numFmtId="217" fontId="76" fillId="80" borderId="0" applyNumberFormat="0" applyBorder="0" applyAlignment="0" applyProtection="0"/>
    <xf numFmtId="217" fontId="76" fillId="0" borderId="0"/>
    <xf numFmtId="217" fontId="76" fillId="0" borderId="0"/>
    <xf numFmtId="217" fontId="1" fillId="0" borderId="0"/>
    <xf numFmtId="217" fontId="76" fillId="0" borderId="0"/>
    <xf numFmtId="217" fontId="76" fillId="0" borderId="0"/>
    <xf numFmtId="217" fontId="1" fillId="0" borderId="0"/>
    <xf numFmtId="217" fontId="37" fillId="0" borderId="0"/>
    <xf numFmtId="217" fontId="76" fillId="72" borderId="0" applyNumberFormat="0" applyBorder="0" applyAlignment="0" applyProtection="0"/>
    <xf numFmtId="217" fontId="76" fillId="54" borderId="0" applyNumberFormat="0" applyBorder="0" applyAlignment="0" applyProtection="0"/>
    <xf numFmtId="217" fontId="76" fillId="72" borderId="0" applyNumberFormat="0" applyBorder="0" applyAlignment="0" applyProtection="0"/>
    <xf numFmtId="217" fontId="1" fillId="0" borderId="0"/>
    <xf numFmtId="217" fontId="76" fillId="0" borderId="0"/>
    <xf numFmtId="217" fontId="76" fillId="87" borderId="0" applyNumberFormat="0" applyBorder="0" applyAlignment="0" applyProtection="0"/>
    <xf numFmtId="217" fontId="76" fillId="79" borderId="0" applyNumberFormat="0" applyBorder="0" applyAlignment="0" applyProtection="0"/>
    <xf numFmtId="217" fontId="76" fillId="88"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68" borderId="0" applyNumberFormat="0" applyBorder="0" applyAlignment="0" applyProtection="0"/>
    <xf numFmtId="217" fontId="76" fillId="79" borderId="0" applyNumberFormat="0" applyBorder="0" applyAlignment="0" applyProtection="0"/>
    <xf numFmtId="217" fontId="76" fillId="59" borderId="30" applyNumberFormat="0" applyFont="0" applyAlignment="0" applyProtection="0"/>
    <xf numFmtId="217" fontId="76" fillId="88" borderId="0" applyNumberFormat="0" applyBorder="0" applyAlignment="0" applyProtection="0"/>
    <xf numFmtId="217" fontId="76" fillId="0" borderId="0"/>
    <xf numFmtId="217" fontId="76" fillId="0" borderId="0"/>
    <xf numFmtId="217" fontId="76" fillId="76" borderId="0" applyNumberFormat="0" applyBorder="0" applyAlignment="0" applyProtection="0"/>
    <xf numFmtId="217" fontId="76" fillId="84" borderId="0" applyNumberFormat="0" applyBorder="0" applyAlignment="0" applyProtection="0"/>
    <xf numFmtId="217" fontId="76" fillId="73"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1" fillId="0" borderId="0"/>
    <xf numFmtId="217" fontId="76" fillId="54" borderId="0" applyNumberFormat="0" applyBorder="0" applyAlignment="0" applyProtection="0"/>
    <xf numFmtId="217" fontId="76" fillId="79" borderId="0" applyNumberFormat="0" applyBorder="0" applyAlignment="0" applyProtection="0"/>
    <xf numFmtId="217" fontId="1" fillId="0" borderId="0"/>
    <xf numFmtId="217" fontId="76" fillId="0" borderId="0"/>
    <xf numFmtId="217" fontId="76" fillId="54"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217" fontId="76" fillId="0" borderId="0"/>
    <xf numFmtId="217" fontId="1" fillId="0" borderId="0"/>
    <xf numFmtId="217" fontId="37" fillId="0" borderId="0"/>
    <xf numFmtId="217" fontId="37" fillId="0" borderId="0"/>
    <xf numFmtId="217" fontId="76" fillId="0" borderId="0"/>
    <xf numFmtId="217" fontId="76" fillId="59" borderId="30" applyNumberFormat="0" applyFont="0" applyAlignment="0" applyProtection="0"/>
    <xf numFmtId="217" fontId="76" fillId="76" borderId="0" applyNumberFormat="0" applyBorder="0" applyAlignment="0" applyProtection="0"/>
    <xf numFmtId="217" fontId="1" fillId="0" borderId="0" applyFont="0" applyFill="0" applyBorder="0" applyAlignment="0" applyProtection="0"/>
    <xf numFmtId="217" fontId="76" fillId="0" borderId="0"/>
    <xf numFmtId="217" fontId="76" fillId="80" borderId="0" applyNumberFormat="0" applyBorder="0" applyAlignment="0" applyProtection="0"/>
    <xf numFmtId="217" fontId="76" fillId="79" borderId="0" applyNumberFormat="0" applyBorder="0" applyAlignment="0" applyProtection="0"/>
    <xf numFmtId="217" fontId="76" fillId="88" borderId="0" applyNumberFormat="0" applyBorder="0" applyAlignment="0" applyProtection="0"/>
    <xf numFmtId="217" fontId="37" fillId="0" borderId="0"/>
    <xf numFmtId="217" fontId="76" fillId="73" borderId="0" applyNumberFormat="0" applyBorder="0" applyAlignment="0" applyProtection="0"/>
    <xf numFmtId="217" fontId="76" fillId="84" borderId="0" applyNumberFormat="0" applyBorder="0" applyAlignment="0" applyProtection="0"/>
    <xf numFmtId="217" fontId="76" fillId="0" borderId="0"/>
    <xf numFmtId="217" fontId="76" fillId="69" borderId="0" applyNumberFormat="0" applyBorder="0" applyAlignment="0" applyProtection="0"/>
    <xf numFmtId="217" fontId="1" fillId="0" borderId="0"/>
    <xf numFmtId="217" fontId="76" fillId="0" borderId="0"/>
    <xf numFmtId="217" fontId="76" fillId="0" borderId="0"/>
    <xf numFmtId="217" fontId="76" fillId="88" borderId="0" applyNumberFormat="0" applyBorder="0" applyAlignment="0" applyProtection="0"/>
    <xf numFmtId="217" fontId="1" fillId="0" borderId="0"/>
    <xf numFmtId="217" fontId="76" fillId="87" borderId="0" applyNumberFormat="0" applyBorder="0" applyAlignment="0" applyProtection="0"/>
    <xf numFmtId="217" fontId="1" fillId="0" borderId="0"/>
    <xf numFmtId="217" fontId="76" fillId="72" borderId="0" applyNumberFormat="0" applyBorder="0" applyAlignment="0" applyProtection="0"/>
    <xf numFmtId="217" fontId="76" fillId="83" borderId="0" applyNumberFormat="0" applyBorder="0" applyAlignment="0" applyProtection="0"/>
    <xf numFmtId="217" fontId="76" fillId="0" borderId="0"/>
    <xf numFmtId="217" fontId="76" fillId="68" borderId="0" applyNumberFormat="0" applyBorder="0" applyAlignment="0" applyProtection="0"/>
    <xf numFmtId="217" fontId="1" fillId="0" borderId="0"/>
    <xf numFmtId="217" fontId="76" fillId="0" borderId="0"/>
    <xf numFmtId="217" fontId="76" fillId="0" borderId="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37" fillId="0" borderId="0"/>
    <xf numFmtId="217" fontId="1" fillId="0" borderId="0"/>
    <xf numFmtId="217" fontId="37" fillId="0" borderId="0"/>
    <xf numFmtId="217" fontId="1" fillId="0" borderId="0"/>
    <xf numFmtId="217" fontId="1" fillId="0" borderId="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76" fillId="68" borderId="0" applyNumberFormat="0" applyBorder="0" applyAlignment="0" applyProtection="0"/>
    <xf numFmtId="217" fontId="76" fillId="69"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 fillId="0" borderId="0"/>
    <xf numFmtId="217" fontId="1" fillId="0" borderId="0"/>
    <xf numFmtId="217" fontId="76" fillId="72"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69" borderId="0" applyNumberFormat="0" applyBorder="0" applyAlignment="0" applyProtection="0"/>
    <xf numFmtId="217" fontId="76" fillId="84" borderId="0" applyNumberFormat="0" applyBorder="0" applyAlignment="0" applyProtection="0"/>
    <xf numFmtId="217" fontId="76" fillId="54" borderId="0" applyNumberFormat="0" applyBorder="0" applyAlignment="0" applyProtection="0"/>
    <xf numFmtId="217" fontId="76" fillId="88" borderId="0" applyNumberFormat="0" applyBorder="0" applyAlignment="0" applyProtection="0"/>
    <xf numFmtId="217" fontId="76" fillId="80" borderId="0" applyNumberFormat="0" applyBorder="0" applyAlignment="0" applyProtection="0"/>
    <xf numFmtId="217" fontId="76" fillId="87" borderId="0" applyNumberFormat="0" applyBorder="0" applyAlignment="0" applyProtection="0"/>
    <xf numFmtId="217" fontId="76" fillId="83" borderId="0" applyNumberFormat="0" applyBorder="0" applyAlignment="0" applyProtection="0"/>
    <xf numFmtId="217" fontId="76" fillId="68" borderId="0" applyNumberFormat="0" applyBorder="0" applyAlignment="0" applyProtection="0"/>
    <xf numFmtId="217" fontId="1" fillId="0" borderId="0"/>
    <xf numFmtId="217" fontId="37" fillId="0" borderId="0"/>
    <xf numFmtId="217" fontId="76" fillId="79" borderId="0" applyNumberFormat="0" applyBorder="0" applyAlignment="0" applyProtection="0"/>
    <xf numFmtId="217" fontId="1" fillId="0" borderId="0"/>
    <xf numFmtId="217" fontId="1" fillId="0" borderId="0"/>
    <xf numFmtId="217" fontId="37" fillId="0" borderId="0"/>
    <xf numFmtId="217" fontId="1" fillId="0" borderId="0"/>
    <xf numFmtId="217" fontId="37" fillId="0" borderId="0"/>
    <xf numFmtId="217" fontId="1" fillId="0" borderId="0"/>
    <xf numFmtId="217" fontId="37" fillId="0" borderId="0"/>
    <xf numFmtId="217" fontId="1" fillId="0" borderId="0"/>
    <xf numFmtId="217" fontId="37" fillId="0" borderId="0"/>
    <xf numFmtId="217" fontId="1" fillId="0" borderId="0"/>
    <xf numFmtId="217" fontId="37" fillId="0" borderId="0"/>
    <xf numFmtId="217" fontId="1" fillId="0" borderId="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68" fillId="0" borderId="0" applyNumberFormat="0" applyFill="0" applyBorder="0" applyAlignment="0" applyProtection="0"/>
    <xf numFmtId="164" fontId="76" fillId="0" borderId="0" applyFont="0" applyFill="0" applyBorder="0" applyAlignment="0" applyProtection="0"/>
    <xf numFmtId="217" fontId="76" fillId="0" borderId="0"/>
    <xf numFmtId="217" fontId="155"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159" fillId="0" borderId="0" applyNumberFormat="0" applyFill="0" applyBorder="0" applyAlignment="0" applyProtection="0"/>
    <xf numFmtId="217" fontId="159" fillId="0" borderId="0" applyNumberFormat="0" applyFill="0" applyBorder="0" applyAlignment="0" applyProtection="0"/>
    <xf numFmtId="217" fontId="16" fillId="8" borderId="18" applyNumberFormat="0" applyFont="0" applyAlignment="0" applyProtection="0"/>
    <xf numFmtId="217" fontId="3" fillId="0" borderId="0" applyNumberFormat="0" applyFill="0" applyBorder="0" applyAlignment="0" applyProtection="0"/>
    <xf numFmtId="217" fontId="23" fillId="0" borderId="2" applyNumberFormat="0" applyFill="0" applyAlignment="0" applyProtection="0"/>
    <xf numFmtId="217" fontId="26" fillId="0" borderId="4" applyNumberFormat="0" applyFill="0" applyAlignment="0" applyProtection="0"/>
    <xf numFmtId="217" fontId="29" fillId="0" borderId="6" applyNumberFormat="0" applyFill="0" applyAlignment="0" applyProtection="0"/>
    <xf numFmtId="217" fontId="29" fillId="0" borderId="0" applyNumberFormat="0" applyFill="0" applyBorder="0" applyAlignment="0" applyProtection="0"/>
    <xf numFmtId="217" fontId="34" fillId="0" borderId="10" applyNumberFormat="0" applyFill="0" applyAlignment="0" applyProtection="0"/>
    <xf numFmtId="217" fontId="63" fillId="13" borderId="14" applyNumberFormat="0" applyAlignment="0" applyProtection="0"/>
    <xf numFmtId="217" fontId="38" fillId="4" borderId="0" applyNumberFormat="0" applyBorder="0" applyAlignment="0" applyProtection="0"/>
    <xf numFmtId="217" fontId="43"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5" fillId="0" borderId="0"/>
    <xf numFmtId="217" fontId="1" fillId="0" borderId="0"/>
    <xf numFmtId="217" fontId="1" fillId="0" borderId="0"/>
    <xf numFmtId="217" fontId="76" fillId="0" borderId="0" applyNumberFormat="0" applyFill="0" applyBorder="0" applyAlignment="0" applyProtection="0"/>
    <xf numFmtId="217" fontId="76" fillId="0" borderId="0" applyNumberFormat="0" applyFill="0" applyBorder="0" applyAlignment="0" applyProtection="0"/>
    <xf numFmtId="217" fontId="1" fillId="0" borderId="0"/>
    <xf numFmtId="217" fontId="76" fillId="0" borderId="0"/>
    <xf numFmtId="9" fontId="159" fillId="0" borderId="0" applyFont="0" applyFill="0" applyBorder="0" applyAlignment="0" applyProtection="0"/>
    <xf numFmtId="164" fontId="76" fillId="0" borderId="0" applyFont="0" applyFill="0" applyBorder="0" applyAlignment="0" applyProtection="0"/>
    <xf numFmtId="217" fontId="1" fillId="0" borderId="0"/>
    <xf numFmtId="217" fontId="1" fillId="0" borderId="0"/>
    <xf numFmtId="217" fontId="1" fillId="0" borderId="0"/>
    <xf numFmtId="217" fontId="1" fillId="0" borderId="0"/>
    <xf numFmtId="217" fontId="159" fillId="0" borderId="0"/>
    <xf numFmtId="217" fontId="159" fillId="0" borderId="0"/>
    <xf numFmtId="217" fontId="159" fillId="0" borderId="0"/>
    <xf numFmtId="217" fontId="159" fillId="0" borderId="0"/>
    <xf numFmtId="217" fontId="159" fillId="0" borderId="0" applyNumberFormat="0" applyFill="0" applyBorder="0" applyAlignment="0" applyProtection="0"/>
    <xf numFmtId="217" fontId="1" fillId="0" borderId="0"/>
    <xf numFmtId="217" fontId="76"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9"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9"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9"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159"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9"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6" fillId="0" borderId="0" applyFont="0" applyFill="0" applyBorder="0" applyAlignment="0" applyProtection="0"/>
    <xf numFmtId="217" fontId="162" fillId="0" borderId="0" applyFont="0" applyFill="0" applyBorder="0" applyAlignment="0" applyProtection="0"/>
    <xf numFmtId="217" fontId="65" fillId="0" borderId="0" applyNumberFormat="0" applyFill="0" applyBorder="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73" fillId="0" borderId="22" applyNumberFormat="0" applyFill="0" applyAlignment="0" applyProtection="0"/>
    <xf numFmtId="217" fontId="46" fillId="0" borderId="0" applyNumberFormat="0" applyFill="0" applyBorder="0" applyAlignment="0" applyProtection="0"/>
    <xf numFmtId="217" fontId="74" fillId="43" borderId="11" applyNumberFormat="0" applyAlignment="0" applyProtection="0"/>
    <xf numFmtId="217" fontId="168" fillId="13" borderId="9" applyNumberFormat="0" applyAlignment="0" applyProtection="0"/>
    <xf numFmtId="217" fontId="50" fillId="3" borderId="0" applyNumberFormat="0" applyBorder="0" applyAlignment="0" applyProtection="0"/>
    <xf numFmtId="217" fontId="18" fillId="35" borderId="0" applyNumberFormat="0" applyBorder="0" applyAlignment="0" applyProtection="0"/>
    <xf numFmtId="217" fontId="18" fillId="17" borderId="0" applyNumberFormat="0" applyBorder="0" applyAlignment="0" applyProtection="0"/>
    <xf numFmtId="217" fontId="18" fillId="16" borderId="0" applyNumberFormat="0" applyBorder="0" applyAlignment="0" applyProtection="0"/>
    <xf numFmtId="217" fontId="18" fillId="19" borderId="0" applyNumberFormat="0" applyBorder="0" applyAlignment="0" applyProtection="0"/>
    <xf numFmtId="217" fontId="18" fillId="27" borderId="0" applyNumberFormat="0" applyBorder="0" applyAlignment="0" applyProtection="0"/>
    <xf numFmtId="217" fontId="18" fillId="42" borderId="0" applyNumberFormat="0" applyBorder="0" applyAlignment="0" applyProtection="0"/>
    <xf numFmtId="217" fontId="18" fillId="18" borderId="0" applyNumberFormat="0" applyBorder="0" applyAlignment="0" applyProtection="0"/>
    <xf numFmtId="217" fontId="18" fillId="17" borderId="0" applyNumberFormat="0" applyBorder="0" applyAlignment="0" applyProtection="0"/>
    <xf numFmtId="217" fontId="18" fillId="16" borderId="0" applyNumberFormat="0" applyBorder="0" applyAlignment="0" applyProtection="0"/>
    <xf numFmtId="217" fontId="18" fillId="11" borderId="0" applyNumberFormat="0" applyBorder="0" applyAlignment="0" applyProtection="0"/>
    <xf numFmtId="217" fontId="18" fillId="10" borderId="0" applyNumberFormat="0" applyBorder="0" applyAlignment="0" applyProtection="0"/>
    <xf numFmtId="217" fontId="18" fillId="15" borderId="0" applyNumberFormat="0" applyBorder="0" applyAlignment="0" applyProtection="0"/>
    <xf numFmtId="217" fontId="16" fillId="12" borderId="0" applyNumberFormat="0" applyBorder="0" applyAlignment="0" applyProtection="0"/>
    <xf numFmtId="217" fontId="16" fillId="9" borderId="0" applyNumberFormat="0" applyBorder="0" applyAlignment="0" applyProtection="0"/>
    <xf numFmtId="217" fontId="16" fillId="5" borderId="0" applyNumberFormat="0" applyBorder="0" applyAlignment="0" applyProtection="0"/>
    <xf numFmtId="217" fontId="16" fillId="11" borderId="0" applyNumberFormat="0" applyBorder="0" applyAlignment="0" applyProtection="0"/>
    <xf numFmtId="217" fontId="16" fillId="10" borderId="0" applyNumberFormat="0" applyBorder="0" applyAlignment="0" applyProtection="0"/>
    <xf numFmtId="217" fontId="16" fillId="9" borderId="0" applyNumberFormat="0" applyBorder="0" applyAlignment="0" applyProtection="0"/>
    <xf numFmtId="217" fontId="16" fillId="7" borderId="0" applyNumberFormat="0" applyBorder="0" applyAlignment="0" applyProtection="0"/>
    <xf numFmtId="217" fontId="16" fillId="6" borderId="0" applyNumberFormat="0" applyBorder="0" applyAlignment="0" applyProtection="0"/>
    <xf numFmtId="217" fontId="16" fillId="5" borderId="0" applyNumberFormat="0" applyBorder="0" applyAlignment="0" applyProtection="0"/>
    <xf numFmtId="217" fontId="16" fillId="4" borderId="0" applyNumberFormat="0" applyBorder="0" applyAlignment="0" applyProtection="0"/>
    <xf numFmtId="217" fontId="16" fillId="3" borderId="0" applyNumberFormat="0" applyBorder="0" applyAlignment="0" applyProtection="0"/>
    <xf numFmtId="217" fontId="16" fillId="2" borderId="0" applyNumberFormat="0" applyBorder="0" applyAlignment="0" applyProtection="0"/>
    <xf numFmtId="217" fontId="1" fillId="0" borderId="0" applyNumberForma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applyNumberFormat="0" applyFill="0" applyBorder="0" applyAlignment="0" applyProtection="0"/>
    <xf numFmtId="217" fontId="76" fillId="0" borderId="0" applyNumberFormat="0" applyFill="0" applyBorder="0" applyAlignment="0" applyProtection="0"/>
    <xf numFmtId="217" fontId="3" fillId="0" borderId="0" applyNumberFormat="0" applyFill="0" applyBorder="0" applyAlignment="0" applyProtection="0"/>
    <xf numFmtId="217" fontId="76" fillId="0" borderId="0" applyNumberFormat="0" applyFill="0" applyBorder="0" applyAlignment="0" applyProtection="0"/>
    <xf numFmtId="217" fontId="76"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9" fillId="0" borderId="0" applyFont="0" applyFill="0" applyBorder="0" applyAlignment="0" applyProtection="0"/>
    <xf numFmtId="217" fontId="1" fillId="0" borderId="0" applyFont="0" applyFill="0" applyBorder="0" applyAlignment="0" applyProtection="0"/>
    <xf numFmtId="9" fontId="169"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70" fillId="0" borderId="0"/>
    <xf numFmtId="217" fontId="1" fillId="0" borderId="0"/>
    <xf numFmtId="217" fontId="1" fillId="0" borderId="0" applyFont="0" applyFill="0" applyBorder="0" applyAlignment="0" applyProtection="0"/>
    <xf numFmtId="217" fontId="171" fillId="0" borderId="0" applyNumberFormat="0" applyFill="0" applyBorder="0" applyAlignment="0" applyProtection="0">
      <alignment vertical="top"/>
      <protection locked="0"/>
    </xf>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217" fontId="1" fillId="0" borderId="0"/>
    <xf numFmtId="217" fontId="58" fillId="0" borderId="0"/>
    <xf numFmtId="217" fontId="76" fillId="0" borderId="0"/>
    <xf numFmtId="217" fontId="76" fillId="0" borderId="0"/>
    <xf numFmtId="217" fontId="76" fillId="0" borderId="0"/>
    <xf numFmtId="217" fontId="1" fillId="0" borderId="0"/>
    <xf numFmtId="217" fontId="1" fillId="0" borderId="0"/>
    <xf numFmtId="217" fontId="76" fillId="0" borderId="0" applyNumberFormat="0" applyFill="0" applyBorder="0" applyAlignment="0" applyProtection="0"/>
    <xf numFmtId="217" fontId="162" fillId="0" borderId="0" applyFont="0" applyFill="0" applyBorder="0" applyAlignment="0" applyProtection="0"/>
    <xf numFmtId="217" fontId="76" fillId="0" borderId="0"/>
    <xf numFmtId="217" fontId="76" fillId="0" borderId="0"/>
    <xf numFmtId="9" fontId="131" fillId="0" borderId="0" applyFont="0" applyFill="0" applyBorder="0" applyAlignment="0" applyProtection="0"/>
    <xf numFmtId="217" fontId="131" fillId="0" borderId="0"/>
    <xf numFmtId="217" fontId="1" fillId="0" borderId="0">
      <alignment wrapText="1"/>
    </xf>
    <xf numFmtId="217" fontId="76" fillId="0" borderId="0"/>
    <xf numFmtId="217" fontId="1" fillId="0" borderId="0"/>
    <xf numFmtId="217" fontId="159" fillId="0" borderId="0"/>
    <xf numFmtId="217" fontId="159" fillId="0" borderId="0" applyNumberFormat="0" applyFill="0" applyBorder="0" applyAlignment="0" applyProtection="0"/>
    <xf numFmtId="217" fontId="1" fillId="0" borderId="0"/>
    <xf numFmtId="217" fontId="1" fillId="0" borderId="0"/>
    <xf numFmtId="217" fontId="76" fillId="0" borderId="0"/>
    <xf numFmtId="217" fontId="162" fillId="0" borderId="0"/>
    <xf numFmtId="217" fontId="76" fillId="0" borderId="0"/>
    <xf numFmtId="217" fontId="162" fillId="0" borderId="0"/>
    <xf numFmtId="217" fontId="76" fillId="0" borderId="0"/>
    <xf numFmtId="217" fontId="162" fillId="0" borderId="0"/>
    <xf numFmtId="217" fontId="162"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1" fillId="0" borderId="0"/>
    <xf numFmtId="217" fontId="76" fillId="0" borderId="0"/>
    <xf numFmtId="217" fontId="76" fillId="0" borderId="0"/>
    <xf numFmtId="217" fontId="1" fillId="0" borderId="0"/>
    <xf numFmtId="217" fontId="76" fillId="0" borderId="0"/>
    <xf numFmtId="217" fontId="162" fillId="0" borderId="0"/>
    <xf numFmtId="217" fontId="76" fillId="0" borderId="0"/>
    <xf numFmtId="217" fontId="1" fillId="0" borderId="0">
      <alignment wrapText="1"/>
    </xf>
    <xf numFmtId="217" fontId="76" fillId="0" borderId="0"/>
    <xf numFmtId="217" fontId="76" fillId="0" borderId="0"/>
    <xf numFmtId="217" fontId="1" fillId="0" borderId="0"/>
    <xf numFmtId="217" fontId="1" fillId="0" borderId="0"/>
    <xf numFmtId="217" fontId="159" fillId="0" borderId="0"/>
    <xf numFmtId="217" fontId="76" fillId="0" borderId="0"/>
    <xf numFmtId="217" fontId="76" fillId="0" borderId="0"/>
    <xf numFmtId="217" fontId="1" fillId="0" borderId="0"/>
    <xf numFmtId="217" fontId="1" fillId="0" borderId="0"/>
    <xf numFmtId="217" fontId="1" fillId="0" borderId="0"/>
    <xf numFmtId="217" fontId="1" fillId="0" borderId="0"/>
    <xf numFmtId="217" fontId="58" fillId="0" borderId="0"/>
    <xf numFmtId="217" fontId="164" fillId="0" borderId="0"/>
    <xf numFmtId="217" fontId="1" fillId="0" borderId="0"/>
    <xf numFmtId="217" fontId="164"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4" fontId="17" fillId="52" borderId="14" applyNumberFormat="0" applyProtection="0">
      <alignment horizontal="right" vertical="center"/>
    </xf>
    <xf numFmtId="217" fontId="1" fillId="0" borderId="0"/>
    <xf numFmtId="217" fontId="76" fillId="0" borderId="0"/>
    <xf numFmtId="217" fontId="76" fillId="0" borderId="0"/>
    <xf numFmtId="9" fontId="76" fillId="0" borderId="0" applyFont="0" applyFill="0" applyBorder="0" applyAlignment="0" applyProtection="0"/>
    <xf numFmtId="164" fontId="76" fillId="0" borderId="0" applyFont="0" applyFill="0" applyBorder="0" applyAlignment="0" applyProtection="0"/>
    <xf numFmtId="217" fontId="76" fillId="68" borderId="0" applyNumberFormat="0" applyBorder="0" applyAlignment="0" applyProtection="0"/>
    <xf numFmtId="217" fontId="76" fillId="68" borderId="0" applyNumberFormat="0" applyBorder="0" applyAlignment="0" applyProtection="0"/>
    <xf numFmtId="217" fontId="76" fillId="72"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76" fillId="54" borderId="0" applyNumberFormat="0" applyBorder="0" applyAlignment="0" applyProtection="0"/>
    <xf numFmtId="217" fontId="76" fillId="79" borderId="0" applyNumberFormat="0" applyBorder="0" applyAlignment="0" applyProtection="0"/>
    <xf numFmtId="217" fontId="76" fillId="79"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7" borderId="0" applyNumberFormat="0" applyBorder="0" applyAlignment="0" applyProtection="0"/>
    <xf numFmtId="217" fontId="76" fillId="87"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76" borderId="0" applyNumberFormat="0" applyBorder="0" applyAlignment="0" applyProtection="0"/>
    <xf numFmtId="217" fontId="76" fillId="80" borderId="0" applyNumberFormat="0" applyBorder="0" applyAlignment="0" applyProtection="0"/>
    <xf numFmtId="217" fontId="76" fillId="80" borderId="0" applyNumberFormat="0" applyBorder="0" applyAlignment="0" applyProtection="0"/>
    <xf numFmtId="217" fontId="76" fillId="84"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76" fillId="88" borderId="0" applyNumberFormat="0" applyBorder="0" applyAlignment="0" applyProtection="0"/>
    <xf numFmtId="217" fontId="76"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4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217" fontId="76" fillId="0" borderId="0"/>
    <xf numFmtId="217" fontId="76" fillId="0" borderId="0" applyNumberFormat="0" applyFill="0" applyBorder="0" applyAlignment="0" applyProtection="0"/>
    <xf numFmtId="217" fontId="76" fillId="0" borderId="0"/>
    <xf numFmtId="217"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217" fontId="76" fillId="0" borderId="0"/>
    <xf numFmtId="217" fontId="76" fillId="0" borderId="0"/>
    <xf numFmtId="217" fontId="76" fillId="68" borderId="0" applyNumberFormat="0" applyBorder="0" applyAlignment="0" applyProtection="0"/>
    <xf numFmtId="217" fontId="76" fillId="68" borderId="0" applyNumberFormat="0" applyBorder="0" applyAlignment="0" applyProtection="0"/>
    <xf numFmtId="217" fontId="76" fillId="72" borderId="0" applyNumberFormat="0" applyBorder="0" applyAlignment="0" applyProtection="0"/>
    <xf numFmtId="217" fontId="76" fillId="72" borderId="0" applyNumberFormat="0" applyBorder="0" applyAlignment="0" applyProtection="0"/>
    <xf numFmtId="217" fontId="76" fillId="54" borderId="0" applyNumberFormat="0" applyBorder="0" applyAlignment="0" applyProtection="0"/>
    <xf numFmtId="217" fontId="76" fillId="54" borderId="0" applyNumberFormat="0" applyBorder="0" applyAlignment="0" applyProtection="0"/>
    <xf numFmtId="217" fontId="76" fillId="79" borderId="0" applyNumberFormat="0" applyBorder="0" applyAlignment="0" applyProtection="0"/>
    <xf numFmtId="217" fontId="76" fillId="79" borderId="0" applyNumberFormat="0" applyBorder="0" applyAlignment="0" applyProtection="0"/>
    <xf numFmtId="217" fontId="76" fillId="83" borderId="0" applyNumberFormat="0" applyBorder="0" applyAlignment="0" applyProtection="0"/>
    <xf numFmtId="217" fontId="76" fillId="83" borderId="0" applyNumberFormat="0" applyBorder="0" applyAlignment="0" applyProtection="0"/>
    <xf numFmtId="217" fontId="76" fillId="87" borderId="0" applyNumberFormat="0" applyBorder="0" applyAlignment="0" applyProtection="0"/>
    <xf numFmtId="217" fontId="76" fillId="87"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76" fillId="73" borderId="0" applyNumberFormat="0" applyBorder="0" applyAlignment="0" applyProtection="0"/>
    <xf numFmtId="217" fontId="76" fillId="73" borderId="0" applyNumberFormat="0" applyBorder="0" applyAlignment="0" applyProtection="0"/>
    <xf numFmtId="217" fontId="76" fillId="76" borderId="0" applyNumberFormat="0" applyBorder="0" applyAlignment="0" applyProtection="0"/>
    <xf numFmtId="217" fontId="76" fillId="76" borderId="0" applyNumberFormat="0" applyBorder="0" applyAlignment="0" applyProtection="0"/>
    <xf numFmtId="217" fontId="76" fillId="80" borderId="0" applyNumberFormat="0" applyBorder="0" applyAlignment="0" applyProtection="0"/>
    <xf numFmtId="217" fontId="76" fillId="80" borderId="0" applyNumberFormat="0" applyBorder="0" applyAlignment="0" applyProtection="0"/>
    <xf numFmtId="217" fontId="76" fillId="84" borderId="0" applyNumberFormat="0" applyBorder="0" applyAlignment="0" applyProtection="0"/>
    <xf numFmtId="217" fontId="76" fillId="84" borderId="0" applyNumberFormat="0" applyBorder="0" applyAlignment="0" applyProtection="0"/>
    <xf numFmtId="217" fontId="76" fillId="88" borderId="0" applyNumberFormat="0" applyBorder="0" applyAlignment="0" applyProtection="0"/>
    <xf numFmtId="217" fontId="76" fillId="88"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59" borderId="30" applyNumberFormat="0" applyFont="0" applyAlignment="0" applyProtection="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16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9" fontId="76" fillId="0" borderId="0" applyFont="0" applyFill="0" applyBorder="0" applyAlignment="0" applyProtection="0"/>
    <xf numFmtId="217" fontId="76" fillId="0" borderId="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44" fontId="76" fillId="0" borderId="0" applyFont="0" applyFill="0" applyBorder="0" applyAlignment="0" applyProtection="0"/>
    <xf numFmtId="217" fontId="76" fillId="0" borderId="0"/>
    <xf numFmtId="164"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9" fontId="76" fillId="0" borderId="0" applyFont="0" applyFill="0" applyBorder="0" applyAlignment="0" applyProtection="0"/>
    <xf numFmtId="217" fontId="17" fillId="0" borderId="0">
      <alignment vertical="top"/>
    </xf>
    <xf numFmtId="217" fontId="1" fillId="0" borderId="0" applyNumberFormat="0" applyFill="0" applyBorder="0" applyAlignment="0" applyProtection="0"/>
    <xf numFmtId="217" fontId="76" fillId="68" borderId="0" applyNumberFormat="0" applyBorder="0" applyAlignment="0" applyProtection="0"/>
    <xf numFmtId="217" fontId="76" fillId="68" borderId="0" applyNumberFormat="0" applyBorder="0" applyAlignment="0" applyProtection="0"/>
    <xf numFmtId="217" fontId="16" fillId="2" borderId="0" applyNumberFormat="0" applyBorder="0" applyAlignment="0" applyProtection="0"/>
    <xf numFmtId="217" fontId="16" fillId="2" borderId="0" applyNumberFormat="0" applyBorder="0" applyAlignment="0" applyProtection="0"/>
    <xf numFmtId="217" fontId="16" fillId="2"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3"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4"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6"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16" fillId="7" borderId="0" applyNumberFormat="0" applyBorder="0" applyAlignment="0" applyProtection="0"/>
    <xf numFmtId="217" fontId="76" fillId="69" borderId="0" applyNumberFormat="0" applyBorder="0" applyAlignment="0" applyProtection="0"/>
    <xf numFmtId="217" fontId="76" fillId="6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0"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11"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5"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9"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6" fillId="12"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5"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0"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1"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8" fillId="18" borderId="0" applyNumberFormat="0" applyBorder="0" applyAlignment="0" applyProtection="0"/>
    <xf numFmtId="217" fontId="19" fillId="20" borderId="0" applyNumberFormat="0" applyBorder="0" applyAlignment="0" applyProtection="0"/>
    <xf numFmtId="217" fontId="17" fillId="21" borderId="0" applyNumberFormat="0" applyBorder="0" applyAlignment="0" applyProtection="0"/>
    <xf numFmtId="217" fontId="17" fillId="21" borderId="0" applyNumberFormat="0" applyBorder="0" applyAlignment="0" applyProtection="0"/>
    <xf numFmtId="217" fontId="19" fillId="2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8" fillId="42" borderId="0" applyNumberFormat="0" applyBorder="0" applyAlignment="0" applyProtection="0"/>
    <xf numFmtId="217" fontId="19" fillId="23" borderId="0" applyNumberFormat="0" applyBorder="0" applyAlignment="0" applyProtection="0"/>
    <xf numFmtId="217" fontId="17" fillId="24" borderId="0" applyNumberFormat="0" applyBorder="0" applyAlignment="0" applyProtection="0"/>
    <xf numFmtId="217" fontId="17" fillId="25" borderId="0" applyNumberFormat="0" applyBorder="0" applyAlignment="0" applyProtection="0"/>
    <xf numFmtId="217" fontId="19" fillId="26"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8" fillId="27" borderId="0" applyNumberFormat="0" applyBorder="0" applyAlignment="0" applyProtection="0"/>
    <xf numFmtId="217" fontId="19" fillId="26" borderId="0" applyNumberFormat="0" applyBorder="0" applyAlignment="0" applyProtection="0"/>
    <xf numFmtId="217" fontId="17" fillId="24" borderId="0" applyNumberFormat="0" applyBorder="0" applyAlignment="0" applyProtection="0"/>
    <xf numFmtId="217" fontId="17" fillId="28" borderId="0" applyNumberFormat="0" applyBorder="0" applyAlignment="0" applyProtection="0"/>
    <xf numFmtId="217" fontId="19" fillId="25"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8" fillId="19" borderId="0" applyNumberFormat="0" applyBorder="0" applyAlignment="0" applyProtection="0"/>
    <xf numFmtId="217" fontId="19" fillId="20" borderId="0" applyNumberFormat="0" applyBorder="0" applyAlignment="0" applyProtection="0"/>
    <xf numFmtId="217" fontId="17" fillId="21" borderId="0" applyNumberFormat="0" applyBorder="0" applyAlignment="0" applyProtection="0"/>
    <xf numFmtId="217" fontId="17" fillId="25" borderId="0" applyNumberFormat="0" applyBorder="0" applyAlignment="0" applyProtection="0"/>
    <xf numFmtId="217" fontId="19" fillId="25"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8" fillId="16" borderId="0" applyNumberFormat="0" applyBorder="0" applyAlignment="0" applyProtection="0"/>
    <xf numFmtId="217" fontId="19" fillId="31" borderId="0" applyNumberFormat="0" applyBorder="0" applyAlignment="0" applyProtection="0"/>
    <xf numFmtId="217" fontId="17" fillId="32" borderId="0" applyNumberFormat="0" applyBorder="0" applyAlignment="0" applyProtection="0"/>
    <xf numFmtId="217" fontId="17" fillId="21" borderId="0" applyNumberFormat="0" applyBorder="0" applyAlignment="0" applyProtection="0"/>
    <xf numFmtId="217" fontId="19" fillId="22"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8" fillId="17" borderId="0" applyNumberFormat="0" applyBorder="0" applyAlignment="0" applyProtection="0"/>
    <xf numFmtId="217" fontId="19" fillId="33" borderId="0" applyNumberFormat="0" applyBorder="0" applyAlignment="0" applyProtection="0"/>
    <xf numFmtId="217" fontId="17" fillId="24" borderId="0" applyNumberFormat="0" applyBorder="0" applyAlignment="0" applyProtection="0"/>
    <xf numFmtId="217" fontId="17" fillId="34" borderId="0" applyNumberFormat="0" applyBorder="0" applyAlignment="0" applyProtection="0"/>
    <xf numFmtId="217" fontId="19" fillId="34"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18" fillId="35" borderId="0" applyNumberFormat="0" applyBorder="0" applyAlignment="0" applyProtection="0"/>
    <xf numFmtId="217" fontId="21" fillId="36"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50" fillId="3" borderId="0" applyNumberFormat="0" applyBorder="0" applyAlignment="0" applyProtection="0"/>
    <xf numFmtId="217" fontId="172" fillId="0" borderId="12" applyNumberFormat="0" applyBorder="0" applyProtection="0">
      <alignment horizontal="center"/>
    </xf>
    <xf numFmtId="217" fontId="172" fillId="0" borderId="12" applyNumberFormat="0" applyBorder="0" applyProtection="0">
      <alignment horizontal="center"/>
    </xf>
    <xf numFmtId="217" fontId="32" fillId="41"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168" fillId="13" borderId="9" applyNumberFormat="0" applyAlignment="0" applyProtection="0"/>
    <xf numFmtId="217" fontId="32" fillId="41" borderId="9" applyNumberFormat="0" applyAlignment="0" applyProtection="0"/>
    <xf numFmtId="217" fontId="32" fillId="41" borderId="9" applyNumberFormat="0" applyAlignment="0" applyProtection="0"/>
    <xf numFmtId="217" fontId="32" fillId="41" borderId="9" applyNumberFormat="0" applyAlignment="0" applyProtection="0"/>
    <xf numFmtId="217" fontId="36" fillId="26" borderId="11" applyNumberFormat="0" applyAlignment="0" applyProtection="0"/>
    <xf numFmtId="217" fontId="74" fillId="43" borderId="11" applyNumberFormat="0" applyAlignment="0" applyProtection="0"/>
    <xf numFmtId="217" fontId="74" fillId="43" borderId="11" applyNumberFormat="0" applyAlignment="0" applyProtection="0"/>
    <xf numFmtId="217" fontId="74" fillId="43" borderId="11" applyNumberFormat="0" applyAlignment="0" applyProtection="0"/>
    <xf numFmtId="217" fontId="74" fillId="43" borderId="11" applyNumberFormat="0" applyAlignment="0" applyProtection="0"/>
    <xf numFmtId="217" fontId="74" fillId="43" borderId="11" applyNumberFormat="0" applyAlignment="0" applyProtection="0"/>
    <xf numFmtId="217" fontId="173" fillId="0" borderId="0">
      <protection locked="0"/>
    </xf>
    <xf numFmtId="217" fontId="173" fillId="0" borderId="0">
      <protection locked="0"/>
    </xf>
    <xf numFmtId="217" fontId="173" fillId="0" borderId="0">
      <protection locked="0"/>
    </xf>
    <xf numFmtId="217" fontId="173" fillId="0" borderId="0">
      <protection locked="0"/>
    </xf>
    <xf numFmtId="217" fontId="42" fillId="44" borderId="0" applyNumberFormat="0" applyBorder="0" applyAlignment="0" applyProtection="0"/>
    <xf numFmtId="217" fontId="42" fillId="45" borderId="0" applyNumberFormat="0" applyBorder="0" applyAlignment="0" applyProtection="0"/>
    <xf numFmtId="217" fontId="42" fillId="46" borderId="0" applyNumberFormat="0" applyBorder="0" applyAlignment="0" applyProtection="0"/>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46" fillId="0" borderId="0" applyNumberFormat="0" applyFill="0" applyBorder="0" applyAlignment="0" applyProtection="0"/>
    <xf numFmtId="217" fontId="46" fillId="0" borderId="0" applyNumberFormat="0" applyFill="0" applyBorder="0" applyAlignment="0" applyProtection="0"/>
    <xf numFmtId="217" fontId="46" fillId="0" borderId="0" applyNumberFormat="0" applyFill="0" applyBorder="0" applyAlignment="0" applyProtection="0"/>
    <xf numFmtId="217" fontId="46" fillId="0" borderId="0" applyNumberFormat="0" applyFill="0" applyBorder="0" applyAlignment="0" applyProtection="0"/>
    <xf numFmtId="217" fontId="46" fillId="0" borderId="0" applyNumberFormat="0" applyFill="0" applyBorder="0" applyAlignment="0" applyProtection="0"/>
    <xf numFmtId="217" fontId="39" fillId="28"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38" fillId="4" borderId="0" applyNumberFormat="0" applyBorder="0" applyAlignment="0" applyProtection="0"/>
    <xf numFmtId="217" fontId="173" fillId="0" borderId="0">
      <protection locked="0"/>
    </xf>
    <xf numFmtId="217" fontId="173" fillId="0" borderId="0">
      <protection locked="0"/>
    </xf>
    <xf numFmtId="217" fontId="173" fillId="0" borderId="0">
      <protection locked="0"/>
    </xf>
    <xf numFmtId="217" fontId="173" fillId="0" borderId="0">
      <protection locked="0"/>
    </xf>
    <xf numFmtId="217" fontId="23" fillId="0" borderId="2" applyNumberFormat="0" applyFill="0" applyAlignment="0" applyProtection="0"/>
    <xf numFmtId="217" fontId="173" fillId="0" borderId="0">
      <protection locked="0"/>
    </xf>
    <xf numFmtId="217" fontId="173" fillId="0" borderId="0">
      <protection locked="0"/>
    </xf>
    <xf numFmtId="217" fontId="173" fillId="0" borderId="0">
      <protection locked="0"/>
    </xf>
    <xf numFmtId="217" fontId="173" fillId="0" borderId="0">
      <protection locked="0"/>
    </xf>
    <xf numFmtId="217" fontId="26" fillId="0" borderId="4" applyNumberFormat="0" applyFill="0" applyAlignment="0" applyProtection="0"/>
    <xf numFmtId="217" fontId="174" fillId="0" borderId="105" applyNumberFormat="0" applyFill="0" applyAlignment="0" applyProtection="0"/>
    <xf numFmtId="217" fontId="29" fillId="0" borderId="6" applyNumberFormat="0" applyFill="0" applyAlignment="0" applyProtection="0"/>
    <xf numFmtId="217" fontId="29" fillId="0" borderId="6" applyNumberFormat="0" applyFill="0" applyAlignment="0" applyProtection="0"/>
    <xf numFmtId="217" fontId="29" fillId="0" borderId="6" applyNumberFormat="0" applyFill="0" applyAlignment="0" applyProtection="0"/>
    <xf numFmtId="217" fontId="29" fillId="0" borderId="6" applyNumberFormat="0" applyFill="0" applyAlignment="0" applyProtection="0"/>
    <xf numFmtId="217" fontId="174" fillId="0" borderId="0" applyNumberFormat="0" applyFill="0" applyBorder="0" applyAlignment="0" applyProtection="0"/>
    <xf numFmtId="217" fontId="29" fillId="0" borderId="0" applyNumberFormat="0" applyFill="0" applyBorder="0" applyAlignment="0" applyProtection="0"/>
    <xf numFmtId="217" fontId="29" fillId="0" borderId="0" applyNumberFormat="0" applyFill="0" applyBorder="0" applyAlignment="0" applyProtection="0"/>
    <xf numFmtId="217" fontId="29" fillId="0" borderId="0" applyNumberFormat="0" applyFill="0" applyBorder="0" applyAlignment="0" applyProtection="0"/>
    <xf numFmtId="217" fontId="29" fillId="0" borderId="0" applyNumberFormat="0" applyFill="0" applyBorder="0" applyAlignment="0" applyProtection="0"/>
    <xf numFmtId="217" fontId="44" fillId="34"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3" fillId="7" borderId="9" applyNumberFormat="0" applyAlignment="0" applyProtection="0"/>
    <xf numFmtId="217" fontId="44" fillId="34" borderId="9" applyNumberFormat="0" applyAlignment="0" applyProtection="0"/>
    <xf numFmtId="217" fontId="44" fillId="34" borderId="9" applyNumberFormat="0" applyAlignment="0" applyProtection="0"/>
    <xf numFmtId="217" fontId="44" fillId="34" borderId="9" applyNumberFormat="0" applyAlignment="0" applyProtection="0"/>
    <xf numFmtId="217" fontId="175" fillId="0" borderId="10" applyNumberFormat="0" applyFill="0" applyAlignment="0" applyProtection="0"/>
    <xf numFmtId="217" fontId="34" fillId="0" borderId="10" applyNumberFormat="0" applyFill="0" applyAlignment="0" applyProtection="0"/>
    <xf numFmtId="217" fontId="34" fillId="0" borderId="10" applyNumberFormat="0" applyFill="0" applyAlignment="0" applyProtection="0"/>
    <xf numFmtId="217" fontId="34" fillId="0" borderId="10" applyNumberFormat="0" applyFill="0" applyAlignment="0" applyProtection="0"/>
    <xf numFmtId="217" fontId="34" fillId="0" borderId="10" applyNumberFormat="0" applyFill="0" applyAlignment="0" applyProtection="0"/>
    <xf numFmtId="217" fontId="54" fillId="49"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55"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6" fillId="0" borderId="0"/>
    <xf numFmtId="217" fontId="76" fillId="0" borderId="0"/>
    <xf numFmtId="217" fontId="1" fillId="0" borderId="0">
      <alignment wrapText="1"/>
    </xf>
    <xf numFmtId="217" fontId="1" fillId="0" borderId="0"/>
    <xf numFmtId="217" fontId="76" fillId="0" borderId="0"/>
    <xf numFmtId="217" fontId="159" fillId="0" borderId="0"/>
    <xf numFmtId="217" fontId="76" fillId="0" borderId="0"/>
    <xf numFmtId="217" fontId="1" fillId="0" borderId="0"/>
    <xf numFmtId="217" fontId="1" fillId="0" borderId="0"/>
    <xf numFmtId="217" fontId="1" fillId="0" borderId="0"/>
    <xf numFmtId="217" fontId="1" fillId="0" borderId="0"/>
    <xf numFmtId="217" fontId="1" fillId="0" borderId="0"/>
    <xf numFmtId="217" fontId="16"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6" fillId="8" borderId="18" applyNumberFormat="0" applyFont="0" applyAlignment="0" applyProtection="0"/>
    <xf numFmtId="217" fontId="16" fillId="8" borderId="18" applyNumberFormat="0" applyFont="0" applyAlignment="0" applyProtection="0"/>
    <xf numFmtId="217" fontId="16" fillId="8" borderId="18" applyNumberFormat="0" applyFont="0" applyAlignment="0" applyProtection="0"/>
    <xf numFmtId="217" fontId="16"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1" fillId="41" borderId="14" applyNumberFormat="0" applyAlignment="0" applyProtection="0"/>
    <xf numFmtId="217" fontId="61" fillId="41" borderId="14" applyNumberFormat="0" applyAlignment="0" applyProtection="0"/>
    <xf numFmtId="217" fontId="61" fillId="41" borderId="14" applyNumberFormat="0" applyAlignment="0" applyProtection="0"/>
    <xf numFmtId="217" fontId="61" fillId="41"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3" fillId="13" borderId="14" applyNumberFormat="0" applyAlignment="0" applyProtection="0"/>
    <xf numFmtId="217" fontId="64" fillId="0" borderId="0" applyNumberFormat="0" applyFill="0" applyBorder="0" applyAlignment="0" applyProtection="0"/>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17" fillId="0" borderId="0">
      <alignment vertical="top"/>
    </xf>
    <xf numFmtId="217" fontId="68" fillId="0" borderId="0" applyNumberFormat="0" applyFill="0" applyBorder="0" applyAlignment="0" applyProtection="0"/>
    <xf numFmtId="217" fontId="68" fillId="0" borderId="0" applyNumberFormat="0" applyFill="0" applyBorder="0" applyAlignment="0" applyProtection="0"/>
    <xf numFmtId="217" fontId="68" fillId="0" borderId="0" applyNumberFormat="0" applyFill="0" applyBorder="0" applyAlignment="0" applyProtection="0"/>
    <xf numFmtId="217" fontId="68" fillId="0" borderId="0" applyNumberFormat="0" applyFill="0" applyBorder="0" applyAlignment="0" applyProtection="0"/>
    <xf numFmtId="217" fontId="68" fillId="0" borderId="0" applyNumberFormat="0" applyFill="0" applyBorder="0" applyAlignment="0" applyProtection="0"/>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0" fontId="79" fillId="0" borderId="25" applyNumberFormat="0" applyFill="0" applyAlignment="0" applyProtection="0"/>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173" fillId="0" borderId="106">
      <protection locked="0"/>
    </xf>
    <xf numFmtId="217" fontId="66" fillId="0" borderId="0" applyNumberFormat="0" applyFill="0" applyBorder="0" applyAlignment="0" applyProtection="0"/>
    <xf numFmtId="217" fontId="65" fillId="0" borderId="0" applyNumberFormat="0" applyFill="0" applyBorder="0" applyAlignment="0" applyProtection="0"/>
    <xf numFmtId="217" fontId="65" fillId="0" borderId="0" applyNumberFormat="0" applyFill="0" applyBorder="0" applyAlignment="0" applyProtection="0"/>
    <xf numFmtId="217" fontId="65" fillId="0" borderId="0" applyNumberFormat="0" applyFill="0" applyBorder="0" applyAlignment="0" applyProtection="0"/>
    <xf numFmtId="217" fontId="65" fillId="0" borderId="0" applyNumberFormat="0" applyFill="0" applyBorder="0" applyAlignment="0" applyProtection="0"/>
    <xf numFmtId="217" fontId="76" fillId="0" borderId="0"/>
    <xf numFmtId="4" fontId="17" fillId="52" borderId="14" applyNumberFormat="0" applyProtection="0">
      <alignment horizontal="right" vertical="center"/>
    </xf>
    <xf numFmtId="9" fontId="76" fillId="0" borderId="0" applyFont="0" applyFill="0" applyBorder="0" applyAlignment="0" applyProtection="0"/>
    <xf numFmtId="217" fontId="37" fillId="0" borderId="0"/>
    <xf numFmtId="217" fontId="78" fillId="0" borderId="24" applyNumberFormat="0" applyFill="0" applyAlignment="0" applyProtection="0"/>
    <xf numFmtId="217" fontId="79" fillId="0" borderId="25" applyNumberFormat="0" applyFill="0" applyAlignment="0" applyProtection="0"/>
    <xf numFmtId="217" fontId="80" fillId="0" borderId="26" applyNumberFormat="0" applyFill="0" applyAlignment="0" applyProtection="0"/>
    <xf numFmtId="217" fontId="80" fillId="0" borderId="0" applyNumberFormat="0" applyFill="0" applyBorder="0" applyAlignment="0" applyProtection="0"/>
    <xf numFmtId="217" fontId="84" fillId="56" borderId="0" applyNumberFormat="0" applyBorder="0" applyAlignment="0" applyProtection="0"/>
    <xf numFmtId="217" fontId="147" fillId="65" borderId="0" applyNumberFormat="0" applyBorder="0" applyAlignment="0" applyProtection="0"/>
    <xf numFmtId="217" fontId="158" fillId="58" borderId="0" applyNumberFormat="0" applyBorder="0" applyAlignment="0" applyProtection="0"/>
    <xf numFmtId="217" fontId="86" fillId="57" borderId="28" applyNumberFormat="0" applyAlignment="0" applyProtection="0"/>
    <xf numFmtId="217" fontId="148" fillId="55" borderId="100" applyNumberFormat="0" applyAlignment="0" applyProtection="0"/>
    <xf numFmtId="217" fontId="149" fillId="55" borderId="28" applyNumberFormat="0" applyAlignment="0" applyProtection="0"/>
    <xf numFmtId="217" fontId="83" fillId="0" borderId="29" applyNumberFormat="0" applyFill="0" applyAlignment="0" applyProtection="0"/>
    <xf numFmtId="217" fontId="150" fillId="66" borderId="101" applyNumberFormat="0" applyAlignment="0" applyProtection="0"/>
    <xf numFmtId="217" fontId="103" fillId="0" borderId="0" applyNumberFormat="0" applyFill="0" applyBorder="0" applyAlignment="0" applyProtection="0"/>
    <xf numFmtId="217" fontId="151" fillId="0" borderId="0" applyNumberFormat="0" applyFill="0" applyBorder="0" applyAlignment="0" applyProtection="0"/>
    <xf numFmtId="217" fontId="152" fillId="0" borderId="102" applyNumberFormat="0" applyFill="0" applyAlignment="0" applyProtection="0"/>
    <xf numFmtId="217" fontId="146" fillId="67" borderId="0" applyNumberFormat="0" applyBorder="0" applyAlignment="0" applyProtection="0"/>
    <xf numFmtId="217" fontId="146" fillId="70" borderId="0" applyNumberFormat="0" applyBorder="0" applyAlignment="0" applyProtection="0"/>
    <xf numFmtId="217" fontId="146" fillId="71" borderId="0" applyNumberFormat="0" applyBorder="0" applyAlignment="0" applyProtection="0"/>
    <xf numFmtId="217" fontId="76" fillId="72" borderId="0" applyNumberFormat="0" applyBorder="0" applyAlignment="0" applyProtection="0"/>
    <xf numFmtId="217" fontId="76" fillId="73" borderId="0" applyNumberFormat="0" applyBorder="0" applyAlignment="0" applyProtection="0"/>
    <xf numFmtId="217" fontId="146" fillId="74" borderId="0" applyNumberFormat="0" applyBorder="0" applyAlignment="0" applyProtection="0"/>
    <xf numFmtId="217" fontId="146" fillId="75" borderId="0" applyNumberFormat="0" applyBorder="0" applyAlignment="0" applyProtection="0"/>
    <xf numFmtId="217" fontId="76" fillId="54" borderId="0" applyNumberFormat="0" applyBorder="0" applyAlignment="0" applyProtection="0"/>
    <xf numFmtId="217" fontId="76" fillId="76" borderId="0" applyNumberFormat="0" applyBorder="0" applyAlignment="0" applyProtection="0"/>
    <xf numFmtId="217" fontId="146" fillId="77" borderId="0" applyNumberFormat="0" applyBorder="0" applyAlignment="0" applyProtection="0"/>
    <xf numFmtId="217" fontId="146" fillId="78" borderId="0" applyNumberFormat="0" applyBorder="0" applyAlignment="0" applyProtection="0"/>
    <xf numFmtId="217" fontId="76" fillId="79" borderId="0" applyNumberFormat="0" applyBorder="0" applyAlignment="0" applyProtection="0"/>
    <xf numFmtId="217" fontId="76" fillId="80" borderId="0" applyNumberFormat="0" applyBorder="0" applyAlignment="0" applyProtection="0"/>
    <xf numFmtId="217" fontId="146" fillId="81" borderId="0" applyNumberFormat="0" applyBorder="0" applyAlignment="0" applyProtection="0"/>
    <xf numFmtId="217" fontId="146" fillId="82" borderId="0" applyNumberFormat="0" applyBorder="0" applyAlignment="0" applyProtection="0"/>
    <xf numFmtId="217" fontId="76" fillId="83" borderId="0" applyNumberFormat="0" applyBorder="0" applyAlignment="0" applyProtection="0"/>
    <xf numFmtId="217" fontId="76" fillId="84" borderId="0" applyNumberFormat="0" applyBorder="0" applyAlignment="0" applyProtection="0"/>
    <xf numFmtId="217" fontId="146" fillId="85" borderId="0" applyNumberFormat="0" applyBorder="0" applyAlignment="0" applyProtection="0"/>
    <xf numFmtId="217" fontId="146" fillId="86" borderId="0" applyNumberFormat="0" applyBorder="0" applyAlignment="0" applyProtection="0"/>
    <xf numFmtId="217" fontId="76" fillId="87" borderId="0" applyNumberFormat="0" applyBorder="0" applyAlignment="0" applyProtection="0"/>
    <xf numFmtId="217" fontId="76" fillId="88" borderId="0" applyNumberFormat="0" applyBorder="0" applyAlignment="0" applyProtection="0"/>
    <xf numFmtId="217" fontId="146" fillId="89" borderId="0" applyNumberFormat="0" applyBorder="0" applyAlignment="0" applyProtection="0"/>
    <xf numFmtId="217" fontId="1" fillId="0" borderId="0"/>
    <xf numFmtId="217" fontId="76" fillId="0" borderId="0"/>
    <xf numFmtId="217" fontId="37" fillId="0" borderId="0"/>
    <xf numFmtId="217" fontId="76" fillId="0" borderId="0"/>
    <xf numFmtId="217" fontId="1" fillId="0" borderId="0" applyFont="0" applyFill="0" applyBorder="0" applyAlignment="0" applyProtection="0"/>
    <xf numFmtId="217" fontId="37" fillId="0" borderId="0"/>
    <xf numFmtId="217" fontId="37" fillId="0" borderId="0"/>
    <xf numFmtId="217" fontId="76" fillId="0" borderId="0"/>
    <xf numFmtId="217" fontId="76" fillId="0" borderId="0"/>
    <xf numFmtId="217" fontId="76" fillId="0" borderId="0"/>
    <xf numFmtId="217" fontId="1" fillId="0" borderId="0"/>
    <xf numFmtId="217" fontId="37" fillId="0" borderId="0"/>
    <xf numFmtId="217" fontId="1"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37"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76" fillId="0" borderId="0"/>
    <xf numFmtId="217" fontId="1" fillId="0" borderId="0"/>
    <xf numFmtId="217" fontId="1" fillId="0" borderId="0"/>
    <xf numFmtId="217" fontId="1" fillId="0" borderId="0"/>
    <xf numFmtId="9" fontId="76" fillId="0" borderId="0" applyFont="0" applyFill="0" applyBorder="0" applyAlignment="0" applyProtection="0"/>
    <xf numFmtId="217" fontId="76" fillId="0" borderId="0" applyNumberFormat="0" applyFill="0" applyBorder="0" applyAlignment="0" applyProtection="0"/>
    <xf numFmtId="217" fontId="76" fillId="0" borderId="0"/>
    <xf numFmtId="217" fontId="76" fillId="0" borderId="0"/>
    <xf numFmtId="44" fontId="76" fillId="0" borderId="0" applyFont="0" applyFill="0" applyBorder="0" applyAlignment="0" applyProtection="0"/>
    <xf numFmtId="9" fontId="76" fillId="0" borderId="0" applyFont="0" applyFill="0" applyBorder="0" applyAlignment="0" applyProtection="0"/>
    <xf numFmtId="217" fontId="19" fillId="20" borderId="0" applyNumberFormat="0" applyBorder="0" applyAlignment="0" applyProtection="0"/>
    <xf numFmtId="217" fontId="19" fillId="23" borderId="0" applyNumberFormat="0" applyBorder="0" applyAlignment="0" applyProtection="0"/>
    <xf numFmtId="217" fontId="19" fillId="26" borderId="0" applyNumberFormat="0" applyBorder="0" applyAlignment="0" applyProtection="0"/>
    <xf numFmtId="217" fontId="76" fillId="0" borderId="0"/>
    <xf numFmtId="44" fontId="76" fillId="0" borderId="0" applyFont="0" applyFill="0" applyBorder="0" applyAlignment="0" applyProtection="0"/>
    <xf numFmtId="217" fontId="19" fillId="20" borderId="0" applyNumberFormat="0" applyBorder="0" applyAlignment="0" applyProtection="0"/>
    <xf numFmtId="217" fontId="76" fillId="0" borderId="0"/>
    <xf numFmtId="217" fontId="76" fillId="0" borderId="0"/>
    <xf numFmtId="217" fontId="19" fillId="31" borderId="0" applyNumberFormat="0" applyBorder="0" applyAlignment="0" applyProtection="0"/>
    <xf numFmtId="217" fontId="19" fillId="33" borderId="0" applyNumberFormat="0" applyBorder="0" applyAlignment="0" applyProtection="0"/>
    <xf numFmtId="217" fontId="76" fillId="0" borderId="0"/>
    <xf numFmtId="217" fontId="76" fillId="0" borderId="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0" borderId="0"/>
    <xf numFmtId="217" fontId="76" fillId="0" borderId="0"/>
    <xf numFmtId="217" fontId="76" fillId="0" borderId="0"/>
    <xf numFmtId="217" fontId="76" fillId="0" borderId="0"/>
    <xf numFmtId="217" fontId="76" fillId="59" borderId="30" applyNumberFormat="0" applyFont="0" applyAlignment="0" applyProtection="0"/>
    <xf numFmtId="217" fontId="76" fillId="0" borderId="0"/>
    <xf numFmtId="217" fontId="76" fillId="0" borderId="0" applyNumberFormat="0" applyFill="0" applyBorder="0" applyAlignment="0" applyProtection="0"/>
    <xf numFmtId="217" fontId="76" fillId="0" borderId="0"/>
    <xf numFmtId="217" fontId="76" fillId="0" borderId="0" applyNumberFormat="0" applyFill="0" applyBorder="0" applyAlignment="0" applyProtection="0"/>
    <xf numFmtId="217" fontId="76" fillId="0" borderId="0" applyNumberFormat="0" applyFill="0" applyBorder="0" applyAlignment="0" applyProtection="0"/>
    <xf numFmtId="217" fontId="3" fillId="0" borderId="0" applyNumberFormat="0" applyFill="0" applyBorder="0" applyAlignment="0" applyProtection="0"/>
    <xf numFmtId="217" fontId="76" fillId="83" borderId="0" applyNumberFormat="0" applyBorder="0" applyAlignment="0" applyProtection="0"/>
    <xf numFmtId="217" fontId="19" fillId="33" borderId="0" applyNumberFormat="0" applyBorder="0" applyAlignment="0" applyProtection="0"/>
    <xf numFmtId="217" fontId="37" fillId="0" borderId="0"/>
    <xf numFmtId="217" fontId="19" fillId="31" borderId="0" applyNumberFormat="0" applyBorder="0" applyAlignment="0" applyProtection="0"/>
    <xf numFmtId="217" fontId="19" fillId="20" borderId="0" applyNumberFormat="0" applyBorder="0" applyAlignment="0" applyProtection="0"/>
    <xf numFmtId="217" fontId="19" fillId="26" borderId="0" applyNumberFormat="0" applyBorder="0" applyAlignment="0" applyProtection="0"/>
    <xf numFmtId="217" fontId="19" fillId="23" borderId="0" applyNumberFormat="0" applyBorder="0" applyAlignment="0" applyProtection="0"/>
    <xf numFmtId="217" fontId="19" fillId="20" borderId="0" applyNumberFormat="0" applyBorder="0" applyAlignment="0" applyProtection="0"/>
    <xf numFmtId="217" fontId="76" fillId="0" borderId="0"/>
    <xf numFmtId="9" fontId="76" fillId="0" borderId="0" applyFont="0" applyFill="0" applyBorder="0" applyAlignment="0" applyProtection="0"/>
    <xf numFmtId="217" fontId="76" fillId="79" borderId="0" applyNumberFormat="0" applyBorder="0" applyAlignment="0" applyProtection="0"/>
    <xf numFmtId="217" fontId="76" fillId="0" borderId="0"/>
    <xf numFmtId="217" fontId="1" fillId="0" borderId="0" applyFont="0" applyFill="0" applyBorder="0" applyAlignment="0" applyProtection="0"/>
    <xf numFmtId="217" fontId="76" fillId="0" borderId="0"/>
    <xf numFmtId="217" fontId="76" fillId="0" borderId="0"/>
    <xf numFmtId="217" fontId="37" fillId="0" borderId="0"/>
    <xf numFmtId="9" fontId="76" fillId="0" borderId="0" applyFont="0" applyFill="0" applyBorder="0" applyAlignment="0" applyProtection="0"/>
    <xf numFmtId="217" fontId="76" fillId="73" borderId="0" applyNumberFormat="0" applyBorder="0" applyAlignment="0" applyProtection="0"/>
    <xf numFmtId="217" fontId="76" fillId="59" borderId="30" applyNumberFormat="0" applyFont="0" applyAlignment="0" applyProtection="0"/>
    <xf numFmtId="44" fontId="76" fillId="0" borderId="0" applyFont="0" applyFill="0" applyBorder="0" applyAlignment="0" applyProtection="0"/>
    <xf numFmtId="217" fontId="76" fillId="88" borderId="0" applyNumberFormat="0" applyBorder="0" applyAlignment="0" applyProtection="0"/>
    <xf numFmtId="217" fontId="76" fillId="0" borderId="0"/>
    <xf numFmtId="217" fontId="76" fillId="0" borderId="0"/>
    <xf numFmtId="217" fontId="76" fillId="59" borderId="30" applyNumberFormat="0" applyFont="0" applyAlignment="0" applyProtection="0"/>
    <xf numFmtId="217" fontId="76" fillId="0" borderId="0" applyNumberFormat="0" applyFill="0" applyBorder="0" applyAlignment="0" applyProtection="0"/>
    <xf numFmtId="164" fontId="76" fillId="0" borderId="0" applyFont="0" applyFill="0" applyBorder="0" applyAlignment="0" applyProtection="0"/>
    <xf numFmtId="9" fontId="76" fillId="0" borderId="0" applyFont="0" applyFill="0" applyBorder="0" applyAlignment="0" applyProtection="0"/>
    <xf numFmtId="217" fontId="37" fillId="0" borderId="0"/>
    <xf numFmtId="217" fontId="76" fillId="0" borderId="0"/>
    <xf numFmtId="9" fontId="76" fillId="0" borderId="0" applyFont="0" applyFill="0" applyBorder="0" applyAlignment="0" applyProtection="0"/>
    <xf numFmtId="217" fontId="76" fillId="0" borderId="0"/>
    <xf numFmtId="217" fontId="76" fillId="87" borderId="0" applyNumberFormat="0" applyBorder="0" applyAlignment="0" applyProtection="0"/>
    <xf numFmtId="217" fontId="76" fillId="0" borderId="0"/>
    <xf numFmtId="217" fontId="76" fillId="0" borderId="0"/>
    <xf numFmtId="217" fontId="58" fillId="0" borderId="0"/>
    <xf numFmtId="217" fontId="76" fillId="0" borderId="0"/>
    <xf numFmtId="217" fontId="76" fillId="0" borderId="0"/>
    <xf numFmtId="217" fontId="76" fillId="72" borderId="0" applyNumberFormat="0" applyBorder="0" applyAlignment="0" applyProtection="0"/>
    <xf numFmtId="217" fontId="76" fillId="0" borderId="0" applyNumberFormat="0" applyFill="0" applyBorder="0" applyAlignment="0" applyProtection="0"/>
    <xf numFmtId="217" fontId="1" fillId="0" borderId="0" applyFont="0" applyFill="0" applyBorder="0" applyAlignment="0" applyProtection="0"/>
    <xf numFmtId="217" fontId="58" fillId="0" borderId="0" applyFont="0" applyFill="0" applyBorder="0" applyAlignment="0" applyProtection="0"/>
    <xf numFmtId="217" fontId="1" fillId="0" borderId="0" applyNumberFormat="0" applyFill="0" applyBorder="0" applyAlignment="0" applyProtection="0"/>
    <xf numFmtId="217" fontId="76" fillId="76" borderId="0" applyNumberFormat="0" applyBorder="0" applyAlignment="0" applyProtection="0"/>
    <xf numFmtId="217" fontId="37" fillId="0" borderId="0"/>
    <xf numFmtId="217" fontId="76" fillId="0" borderId="0"/>
    <xf numFmtId="217" fontId="76" fillId="0" borderId="0"/>
    <xf numFmtId="9" fontId="76" fillId="0" borderId="0" applyFont="0" applyFill="0" applyBorder="0" applyAlignment="0" applyProtection="0"/>
    <xf numFmtId="217" fontId="76" fillId="0" borderId="0" applyNumberFormat="0" applyFill="0" applyBorder="0" applyAlignment="0" applyProtection="0"/>
    <xf numFmtId="217" fontId="164" fillId="0" borderId="0"/>
    <xf numFmtId="9" fontId="76" fillId="0" borderId="0" applyFont="0" applyFill="0" applyBorder="0" applyAlignment="0" applyProtection="0"/>
    <xf numFmtId="44" fontId="76" fillId="0" borderId="0" applyFont="0" applyFill="0" applyBorder="0" applyAlignment="0" applyProtection="0"/>
    <xf numFmtId="217" fontId="37" fillId="0" borderId="0"/>
    <xf numFmtId="217" fontId="76" fillId="0" borderId="0"/>
    <xf numFmtId="217" fontId="76" fillId="0" borderId="0"/>
    <xf numFmtId="217" fontId="76" fillId="59" borderId="30" applyNumberFormat="0" applyFont="0" applyAlignment="0" applyProtection="0"/>
    <xf numFmtId="217" fontId="1" fillId="0" borderId="0"/>
    <xf numFmtId="217" fontId="76" fillId="0" borderId="0"/>
    <xf numFmtId="217" fontId="76" fillId="0" borderId="0"/>
    <xf numFmtId="9" fontId="76" fillId="0" borderId="0" applyFont="0" applyFill="0" applyBorder="0" applyAlignment="0" applyProtection="0"/>
    <xf numFmtId="44" fontId="76" fillId="0" borderId="0" applyFont="0" applyFill="0" applyBorder="0" applyAlignment="0" applyProtection="0"/>
    <xf numFmtId="217" fontId="76" fillId="68" borderId="0" applyNumberFormat="0" applyBorder="0" applyAlignment="0" applyProtection="0"/>
    <xf numFmtId="217" fontId="76" fillId="80" borderId="0" applyNumberFormat="0" applyBorder="0" applyAlignment="0" applyProtection="0"/>
    <xf numFmtId="217" fontId="76" fillId="0" borderId="0"/>
    <xf numFmtId="217" fontId="76" fillId="0" borderId="0"/>
    <xf numFmtId="44" fontId="76" fillId="0" borderId="0" applyFont="0" applyFill="0" applyBorder="0" applyAlignment="0" applyProtection="0"/>
    <xf numFmtId="217" fontId="76" fillId="0" borderId="0"/>
    <xf numFmtId="164" fontId="76" fillId="0" borderId="0" applyFont="0" applyFill="0" applyBorder="0" applyAlignment="0" applyProtection="0"/>
    <xf numFmtId="217" fontId="76" fillId="69" borderId="0" applyNumberFormat="0" applyBorder="0" applyAlignment="0" applyProtection="0"/>
    <xf numFmtId="217" fontId="76" fillId="0" borderId="0"/>
    <xf numFmtId="217" fontId="37" fillId="0" borderId="0"/>
    <xf numFmtId="217" fontId="76" fillId="0" borderId="0"/>
    <xf numFmtId="217" fontId="76" fillId="0" borderId="0" applyNumberForma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217" fontId="76" fillId="0" borderId="0"/>
    <xf numFmtId="217" fontId="76" fillId="59" borderId="30" applyNumberFormat="0" applyFont="0" applyAlignment="0" applyProtection="0"/>
    <xf numFmtId="217" fontId="76" fillId="0" borderId="0"/>
    <xf numFmtId="217" fontId="76" fillId="0" borderId="0"/>
    <xf numFmtId="217" fontId="76" fillId="0" borderId="0"/>
    <xf numFmtId="217" fontId="76" fillId="0" borderId="0"/>
    <xf numFmtId="217" fontId="76" fillId="0" borderId="0"/>
    <xf numFmtId="217" fontId="76" fillId="84" borderId="0" applyNumberFormat="0" applyBorder="0" applyAlignment="0" applyProtection="0"/>
    <xf numFmtId="9" fontId="76" fillId="0" borderId="0" applyFont="0" applyFill="0" applyBorder="0" applyAlignment="0" applyProtection="0"/>
    <xf numFmtId="217" fontId="76" fillId="0" borderId="0"/>
    <xf numFmtId="217" fontId="76" fillId="54" borderId="0" applyNumberFormat="0" applyBorder="0" applyAlignment="0" applyProtection="0"/>
    <xf numFmtId="9" fontId="76" fillId="0" borderId="0" applyFont="0" applyFill="0" applyBorder="0" applyAlignment="0" applyProtection="0"/>
    <xf numFmtId="164" fontId="76" fillId="0" borderId="0" applyFont="0" applyFill="0" applyBorder="0" applyAlignment="0" applyProtection="0"/>
    <xf numFmtId="217" fontId="76" fillId="0" borderId="0"/>
    <xf numFmtId="217" fontId="76" fillId="0" borderId="0"/>
    <xf numFmtId="44" fontId="76" fillId="0" borderId="0" applyFont="0" applyFill="0" applyBorder="0" applyAlignment="0" applyProtection="0"/>
    <xf numFmtId="217" fontId="76" fillId="0" borderId="0"/>
    <xf numFmtId="217" fontId="76" fillId="0" borderId="0"/>
    <xf numFmtId="9" fontId="76" fillId="0" borderId="0" applyFont="0" applyFill="0" applyBorder="0" applyAlignment="0" applyProtection="0"/>
    <xf numFmtId="217" fontId="76" fillId="0" borderId="0"/>
    <xf numFmtId="0" fontId="172" fillId="0" borderId="12" applyNumberFormat="0" applyBorder="0" applyProtection="0">
      <alignment horizontal="center"/>
    </xf>
    <xf numFmtId="0" fontId="146" fillId="86" borderId="0" applyNumberFormat="0" applyBorder="0" applyAlignment="0" applyProtection="0"/>
    <xf numFmtId="0" fontId="146" fillId="78" borderId="0" applyNumberFormat="0" applyBorder="0" applyAlignment="0" applyProtection="0"/>
    <xf numFmtId="0" fontId="146" fillId="71" borderId="0" applyNumberFormat="0" applyBorder="0" applyAlignment="0" applyProtection="0"/>
    <xf numFmtId="0" fontId="1" fillId="0" borderId="0"/>
    <xf numFmtId="0" fontId="146" fillId="67" borderId="0" applyNumberFormat="0" applyBorder="0" applyAlignment="0" applyProtection="0"/>
    <xf numFmtId="217" fontId="76"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230" fontId="184" fillId="105" borderId="108">
      <alignment vertical="center"/>
    </xf>
    <xf numFmtId="4" fontId="15" fillId="93" borderId="14" applyNumberFormat="0" applyProtection="0">
      <alignment vertical="center"/>
    </xf>
    <xf numFmtId="230" fontId="185" fillId="106" borderId="108">
      <alignment vertical="center"/>
    </xf>
    <xf numFmtId="4" fontId="154" fillId="40" borderId="14" applyNumberFormat="0" applyProtection="0">
      <alignment vertical="center"/>
    </xf>
    <xf numFmtId="230" fontId="186" fillId="107" borderId="108">
      <alignment horizontal="left" vertical="center" indent="1"/>
    </xf>
    <xf numFmtId="4" fontId="17" fillId="48" borderId="14" applyNumberFormat="0" applyProtection="0">
      <alignment horizontal="left" vertical="center" indent="1"/>
    </xf>
    <xf numFmtId="230" fontId="187" fillId="105" borderId="108">
      <alignment horizontal="center" vertical="center"/>
    </xf>
    <xf numFmtId="4" fontId="153" fillId="93" borderId="14" applyNumberFormat="0" applyProtection="0">
      <alignment horizontal="center" vertical="center"/>
    </xf>
    <xf numFmtId="230" fontId="188" fillId="105" borderId="108">
      <alignment horizontal="right" vertical="center"/>
    </xf>
    <xf numFmtId="0" fontId="177" fillId="93" borderId="14" applyNumberFormat="0" applyProtection="0">
      <alignment horizontal="right" vertical="center" indent="1"/>
    </xf>
    <xf numFmtId="230" fontId="186" fillId="108" borderId="108">
      <alignment horizontal="right" vertical="center"/>
    </xf>
    <xf numFmtId="4" fontId="17" fillId="94" borderId="14" applyNumberFormat="0" applyProtection="0">
      <alignment horizontal="right" vertical="center"/>
    </xf>
    <xf numFmtId="230" fontId="186" fillId="109" borderId="108">
      <alignment horizontal="right" vertical="center"/>
    </xf>
    <xf numFmtId="4" fontId="17" fillId="95" borderId="14" applyNumberFormat="0" applyProtection="0">
      <alignment horizontal="right" vertical="center"/>
    </xf>
    <xf numFmtId="230" fontId="186" fillId="110" borderId="108">
      <alignment horizontal="right" vertical="center"/>
    </xf>
    <xf numFmtId="4" fontId="17" fillId="96" borderId="14" applyNumberFormat="0" applyProtection="0">
      <alignment horizontal="right" vertical="center"/>
    </xf>
    <xf numFmtId="230" fontId="186" fillId="111" borderId="108">
      <alignment horizontal="right" vertical="center"/>
    </xf>
    <xf numFmtId="4" fontId="17" fillId="47" borderId="14" applyNumberFormat="0" applyProtection="0">
      <alignment horizontal="right" vertical="center"/>
    </xf>
    <xf numFmtId="230" fontId="186" fillId="112" borderId="108">
      <alignment horizontal="right" vertical="center"/>
    </xf>
    <xf numFmtId="4" fontId="17" fillId="97" borderId="14" applyNumberFormat="0" applyProtection="0">
      <alignment horizontal="right" vertical="center"/>
    </xf>
    <xf numFmtId="230" fontId="186" fillId="113" borderId="108">
      <alignment horizontal="right" vertical="center"/>
    </xf>
    <xf numFmtId="4" fontId="17" fillId="98" borderId="14" applyNumberFormat="0" applyProtection="0">
      <alignment horizontal="right" vertical="center"/>
    </xf>
    <xf numFmtId="230" fontId="186" fillId="114" borderId="108">
      <alignment horizontal="right" vertical="center"/>
    </xf>
    <xf numFmtId="4" fontId="17" fillId="99" borderId="14" applyNumberFormat="0" applyProtection="0">
      <alignment horizontal="right" vertical="center"/>
    </xf>
    <xf numFmtId="230" fontId="186" fillId="115" borderId="108">
      <alignment horizontal="right" vertical="center"/>
    </xf>
    <xf numFmtId="4" fontId="17" fillId="100" borderId="14" applyNumberFormat="0" applyProtection="0">
      <alignment horizontal="right" vertical="center"/>
    </xf>
    <xf numFmtId="230" fontId="186" fillId="116" borderId="108">
      <alignment horizontal="right" vertical="center"/>
    </xf>
    <xf numFmtId="4" fontId="17" fillId="101" borderId="14" applyNumberFormat="0" applyProtection="0">
      <alignment horizontal="right" vertical="center"/>
    </xf>
    <xf numFmtId="230" fontId="189" fillId="117" borderId="108">
      <alignment horizontal="left" vertical="center" indent="1"/>
    </xf>
    <xf numFmtId="4" fontId="42" fillId="102" borderId="14" applyNumberFormat="0" applyProtection="0">
      <alignment horizontal="left" vertical="center" indent="1"/>
    </xf>
    <xf numFmtId="230" fontId="186" fillId="118" borderId="109">
      <alignment horizontal="left" vertical="center" indent="1"/>
    </xf>
    <xf numFmtId="230" fontId="190" fillId="119" borderId="0">
      <alignment horizontal="left" vertical="center" indent="1"/>
    </xf>
    <xf numFmtId="230" fontId="191" fillId="105" borderId="108">
      <alignment horizontal="left" vertical="center" indent="1"/>
    </xf>
    <xf numFmtId="0" fontId="179" fillId="93" borderId="14" applyNumberFormat="0" applyProtection="0">
      <alignment horizontal="left" vertical="center" indent="1"/>
    </xf>
    <xf numFmtId="230" fontId="192" fillId="118" borderId="108">
      <alignment horizontal="left" vertical="center" indent="1"/>
    </xf>
    <xf numFmtId="4" fontId="180" fillId="52" borderId="14" applyNumberFormat="0" applyProtection="0">
      <alignment horizontal="left" vertical="center" indent="1"/>
    </xf>
    <xf numFmtId="230" fontId="193" fillId="120" borderId="108">
      <alignment horizontal="left" vertical="center" indent="1"/>
    </xf>
    <xf numFmtId="4" fontId="181" fillId="90" borderId="14" applyNumberFormat="0" applyProtection="0">
      <alignment horizontal="left" vertical="center" indent="1"/>
    </xf>
    <xf numFmtId="230" fontId="187" fillId="120" borderId="108">
      <alignment horizontal="left" vertical="center" indent="1"/>
    </xf>
    <xf numFmtId="0" fontId="153" fillId="90" borderId="14" applyNumberFormat="0" applyProtection="0">
      <alignment horizontal="left" vertical="center" indent="1"/>
    </xf>
    <xf numFmtId="0" fontId="153" fillId="90" borderId="14" applyNumberFormat="0" applyProtection="0">
      <alignment horizontal="left" vertical="center" indent="1"/>
    </xf>
    <xf numFmtId="230" fontId="194" fillId="120" borderId="108">
      <alignment horizontal="left" vertical="center" indent="1"/>
    </xf>
    <xf numFmtId="0" fontId="1" fillId="90" borderId="14" applyNumberFormat="0" applyProtection="0">
      <alignment horizontal="left" vertical="center" indent="1"/>
    </xf>
    <xf numFmtId="230" fontId="195" fillId="121" borderId="108">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4" fillId="106" borderId="108">
      <alignment horizontal="left" vertical="center" indent="1"/>
    </xf>
    <xf numFmtId="0" fontId="1" fillId="40" borderId="14" applyNumberFormat="0" applyProtection="0">
      <alignment horizontal="left" vertical="center" indent="1"/>
    </xf>
    <xf numFmtId="230" fontId="194" fillId="105" borderId="108">
      <alignment horizontal="left" vertical="center" indent="1"/>
    </xf>
    <xf numFmtId="0" fontId="1" fillId="93" borderId="14" applyNumberFormat="0" applyProtection="0">
      <alignment horizontal="left" vertical="center" indent="1"/>
    </xf>
    <xf numFmtId="230" fontId="194" fillId="105" borderId="108">
      <alignment horizontal="left" vertical="center" indent="1"/>
    </xf>
    <xf numFmtId="0" fontId="1" fillId="93" borderId="14" applyNumberFormat="0" applyProtection="0">
      <alignment horizontal="left" vertical="center" indent="1"/>
    </xf>
    <xf numFmtId="230" fontId="186" fillId="122" borderId="108">
      <alignment vertical="center"/>
    </xf>
    <xf numFmtId="4" fontId="17" fillId="38" borderId="14" applyNumberFormat="0" applyProtection="0">
      <alignment vertical="center"/>
    </xf>
    <xf numFmtId="230" fontId="196" fillId="122" borderId="108">
      <alignment vertical="center"/>
    </xf>
    <xf numFmtId="4" fontId="182" fillId="38" borderId="14" applyNumberFormat="0" applyProtection="0">
      <alignment vertical="center"/>
    </xf>
    <xf numFmtId="230" fontId="186" fillId="122" borderId="108">
      <alignment horizontal="left" vertical="center" indent="1"/>
    </xf>
    <xf numFmtId="4" fontId="17" fillId="38" borderId="14" applyNumberFormat="0" applyProtection="0">
      <alignment horizontal="left" vertical="center" indent="1"/>
    </xf>
    <xf numFmtId="230" fontId="186" fillId="122" borderId="108">
      <alignment horizontal="left" vertical="center" indent="1"/>
    </xf>
    <xf numFmtId="4" fontId="17" fillId="38" borderId="14" applyNumberFormat="0" applyProtection="0">
      <alignment horizontal="left" vertical="center" indent="1"/>
    </xf>
    <xf numFmtId="230" fontId="185" fillId="106" borderId="108">
      <alignment horizontal="right" vertical="center"/>
    </xf>
    <xf numFmtId="4" fontId="154" fillId="40" borderId="14" applyNumberFormat="0" applyProtection="0">
      <alignment horizontal="right" vertical="center"/>
    </xf>
    <xf numFmtId="230" fontId="194" fillId="105" borderId="108">
      <alignment horizontal="left" vertical="center" indent="1"/>
    </xf>
    <xf numFmtId="0" fontId="1" fillId="93" borderId="14" applyNumberFormat="0" applyProtection="0">
      <alignment horizontal="left" vertical="center" indent="1"/>
    </xf>
    <xf numFmtId="230" fontId="188" fillId="105" borderId="108">
      <alignment horizontal="center" vertical="center"/>
    </xf>
    <xf numFmtId="0" fontId="177" fillId="93" borderId="14" applyNumberFormat="0" applyProtection="0">
      <alignment horizontal="center" vertical="center"/>
    </xf>
    <xf numFmtId="230" fontId="197" fillId="0" borderId="0">
      <alignment vertical="center"/>
    </xf>
    <xf numFmtId="230" fontId="198" fillId="118" borderId="108">
      <alignment horizontal="right" vertical="center"/>
    </xf>
    <xf numFmtId="4" fontId="66" fillId="52" borderId="14" applyNumberFormat="0" applyProtection="0">
      <alignment horizontal="right" vertical="center"/>
    </xf>
    <xf numFmtId="43" fontId="76" fillId="0" borderId="0" applyFont="0" applyFill="0" applyBorder="0" applyAlignment="0" applyProtection="0"/>
    <xf numFmtId="164" fontId="76" fillId="0" borderId="0" applyFont="0" applyFill="0" applyBorder="0" applyAlignment="0" applyProtection="0"/>
    <xf numFmtId="217" fontId="79" fillId="0" borderId="25" applyNumberFormat="0" applyFill="0" applyAlignment="0" applyProtection="0"/>
    <xf numFmtId="232" fontId="184" fillId="118" borderId="108">
      <alignment horizontal="right" vertical="center"/>
    </xf>
    <xf numFmtId="230" fontId="199" fillId="0" borderId="0">
      <alignment horizontal="center" textRotation="90"/>
    </xf>
    <xf numFmtId="230" fontId="194" fillId="0" borderId="0"/>
    <xf numFmtId="230" fontId="199" fillId="0" borderId="0">
      <alignment horizontal="center"/>
    </xf>
    <xf numFmtId="231" fontId="200" fillId="0" borderId="0"/>
    <xf numFmtId="0" fontId="131" fillId="0" borderId="0"/>
    <xf numFmtId="230" fontId="200" fillId="0" borderId="0"/>
    <xf numFmtId="164" fontId="76" fillId="0" borderId="0" applyFont="0" applyFill="0" applyBorder="0" applyAlignment="0" applyProtection="0"/>
    <xf numFmtId="0" fontId="1" fillId="0" borderId="0"/>
    <xf numFmtId="43" fontId="76"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0" fontId="1" fillId="0" borderId="0"/>
    <xf numFmtId="43" fontId="76"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201"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4" fontId="163"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63">
    <xf numFmtId="0" fontId="0" fillId="0" borderId="0" xfId="0"/>
    <xf numFmtId="0" fontId="104" fillId="62" borderId="0" xfId="763" applyFont="1">
      <alignment vertical="center"/>
    </xf>
    <xf numFmtId="0" fontId="101" fillId="62" borderId="0" xfId="763">
      <alignment vertical="center"/>
    </xf>
    <xf numFmtId="0" fontId="100" fillId="62" borderId="0" xfId="765"/>
    <xf numFmtId="0" fontId="105" fillId="63" borderId="31" xfId="755" quotePrefix="1" applyFont="1" applyFill="1">
      <alignment horizontal="center" vertical="center" wrapText="1" readingOrder="1"/>
    </xf>
    <xf numFmtId="165" fontId="100" fillId="0" borderId="35" xfId="761" applyNumberFormat="1" applyFont="1">
      <alignment horizontal="right" vertical="center" indent="1"/>
    </xf>
    <xf numFmtId="165" fontId="0" fillId="0" borderId="0" xfId="0" applyNumberFormat="1"/>
    <xf numFmtId="0" fontId="106" fillId="61" borderId="37" xfId="756" applyFont="1" applyBorder="1">
      <alignment horizontal="left" vertical="center" wrapText="1" indent="1" readingOrder="1"/>
    </xf>
    <xf numFmtId="165" fontId="107" fillId="61" borderId="38" xfId="757" applyNumberFormat="1" applyFont="1" applyBorder="1">
      <alignment horizontal="right" vertical="center" indent="1"/>
    </xf>
    <xf numFmtId="165" fontId="107" fillId="61" borderId="38" xfId="758" applyFont="1" applyBorder="1">
      <alignment horizontal="right" vertical="center" indent="1"/>
    </xf>
    <xf numFmtId="0" fontId="100" fillId="0" borderId="0" xfId="762" applyBorder="1"/>
    <xf numFmtId="0" fontId="99" fillId="62" borderId="0" xfId="495" applyFont="1" applyFill="1"/>
    <xf numFmtId="166" fontId="81" fillId="0" borderId="0" xfId="559" applyNumberFormat="1" applyFont="1" applyAlignment="1">
      <alignment horizontal="right"/>
    </xf>
    <xf numFmtId="0" fontId="98" fillId="0" borderId="0" xfId="469" applyFont="1"/>
    <xf numFmtId="166" fontId="81" fillId="0" borderId="0" xfId="469" quotePrefix="1" applyNumberFormat="1" applyFont="1" applyAlignment="1">
      <alignment horizontal="right"/>
    </xf>
    <xf numFmtId="0" fontId="108" fillId="62" borderId="0" xfId="495" applyFont="1" applyFill="1"/>
    <xf numFmtId="0" fontId="109" fillId="62" borderId="0" xfId="495" applyFont="1" applyFill="1"/>
    <xf numFmtId="166" fontId="109" fillId="0" borderId="0" xfId="559" applyNumberFormat="1" applyFont="1" applyAlignment="1">
      <alignment horizontal="right"/>
    </xf>
    <xf numFmtId="0" fontId="110" fillId="61" borderId="32" xfId="756" applyFont="1">
      <alignment horizontal="left" vertical="center" wrapText="1" indent="1" readingOrder="1"/>
    </xf>
    <xf numFmtId="165" fontId="107" fillId="61" borderId="33" xfId="757" applyNumberFormat="1" applyFont="1">
      <alignment horizontal="right" vertical="center" indent="1"/>
    </xf>
    <xf numFmtId="165" fontId="100" fillId="0" borderId="39" xfId="761" applyNumberFormat="1" applyFont="1" applyBorder="1">
      <alignment horizontal="right" vertical="center" indent="1"/>
    </xf>
    <xf numFmtId="0" fontId="1" fillId="62" borderId="0" xfId="495" applyFill="1"/>
    <xf numFmtId="165" fontId="111" fillId="0" borderId="0" xfId="488" applyNumberFormat="1" applyFont="1" applyAlignment="1">
      <alignment vertical="center"/>
    </xf>
    <xf numFmtId="165" fontId="112" fillId="0" borderId="0" xfId="488" applyNumberFormat="1" applyFont="1" applyAlignment="1">
      <alignment vertical="center"/>
    </xf>
    <xf numFmtId="0" fontId="105" fillId="63" borderId="40" xfId="755" applyFont="1" applyFill="1" applyBorder="1">
      <alignment horizontal="center" vertical="center" wrapText="1" readingOrder="1"/>
    </xf>
    <xf numFmtId="168" fontId="2" fillId="62" borderId="0" xfId="495" applyNumberFormat="1" applyFont="1" applyFill="1"/>
    <xf numFmtId="165" fontId="107" fillId="61" borderId="41" xfId="757" applyNumberFormat="1" applyFont="1" applyBorder="1">
      <alignment horizontal="right" vertical="center" indent="1"/>
    </xf>
    <xf numFmtId="165" fontId="107" fillId="61" borderId="42" xfId="757" applyNumberFormat="1" applyFont="1" applyBorder="1">
      <alignment horizontal="right" vertical="center" indent="1"/>
    </xf>
    <xf numFmtId="0" fontId="110" fillId="61" borderId="43" xfId="756" applyFont="1" applyBorder="1">
      <alignment horizontal="left" vertical="center" wrapText="1" indent="1" readingOrder="1"/>
    </xf>
    <xf numFmtId="165" fontId="107" fillId="61" borderId="44" xfId="757" applyNumberFormat="1" applyFont="1" applyBorder="1">
      <alignment horizontal="right" vertical="center" indent="1"/>
    </xf>
    <xf numFmtId="165" fontId="109" fillId="0" borderId="0" xfId="515" applyNumberFormat="1" applyFont="1" applyAlignment="1" applyProtection="1">
      <alignment vertical="center"/>
      <protection locked="0"/>
    </xf>
    <xf numFmtId="164" fontId="109" fillId="0" borderId="0" xfId="940" applyFont="1" applyFill="1" applyAlignment="1" applyProtection="1">
      <alignment vertical="center"/>
      <protection locked="0"/>
    </xf>
    <xf numFmtId="0" fontId="106" fillId="61" borderId="32" xfId="756" applyFont="1">
      <alignment horizontal="left" vertical="center" wrapText="1" indent="1" readingOrder="1"/>
    </xf>
    <xf numFmtId="165" fontId="4" fillId="0" borderId="0" xfId="515" applyNumberFormat="1" applyFont="1" applyAlignment="1">
      <alignment vertical="center"/>
    </xf>
    <xf numFmtId="164" fontId="109" fillId="0" borderId="0" xfId="940" applyFont="1" applyFill="1" applyProtection="1">
      <protection locked="0"/>
    </xf>
    <xf numFmtId="0" fontId="100" fillId="0" borderId="36" xfId="762"/>
    <xf numFmtId="0" fontId="76" fillId="0" borderId="0" xfId="709"/>
    <xf numFmtId="0" fontId="1" fillId="50" borderId="0" xfId="495" applyFill="1" applyAlignment="1">
      <alignment vertical="center"/>
    </xf>
    <xf numFmtId="0" fontId="114" fillId="0" borderId="0" xfId="423" applyFont="1" applyFill="1"/>
    <xf numFmtId="0" fontId="1" fillId="0" borderId="0" xfId="495" applyAlignment="1">
      <alignment vertical="center"/>
    </xf>
    <xf numFmtId="0" fontId="84" fillId="0" borderId="0" xfId="349" applyFill="1" applyAlignment="1">
      <alignment vertical="center"/>
    </xf>
    <xf numFmtId="165" fontId="115" fillId="62" borderId="48" xfId="141" applyNumberFormat="1" applyFont="1" applyFill="1" applyBorder="1" applyAlignment="1">
      <alignment horizontal="center" vertical="center" wrapText="1"/>
    </xf>
    <xf numFmtId="165" fontId="116"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3" applyNumberFormat="1" applyFont="1" applyFill="1" applyAlignment="1">
      <alignment vertical="center"/>
    </xf>
    <xf numFmtId="177" fontId="5" fillId="50" borderId="0" xfId="823" applyNumberFormat="1" applyFont="1" applyFill="1" applyAlignment="1">
      <alignment horizontal="right" vertical="center" wrapText="1"/>
    </xf>
    <xf numFmtId="165" fontId="5" fillId="62" borderId="0" xfId="660" applyNumberFormat="1" applyFont="1" applyFill="1" applyAlignment="1">
      <alignment vertical="center"/>
    </xf>
    <xf numFmtId="0" fontId="117" fillId="0" borderId="0" xfId="764" applyFont="1">
      <alignment horizontal="center" vertical="top" wrapText="1"/>
    </xf>
    <xf numFmtId="0" fontId="77" fillId="0" borderId="0" xfId="0" applyFont="1"/>
    <xf numFmtId="3" fontId="5" fillId="50" borderId="0" xfId="660" applyNumberFormat="1" applyFont="1" applyFill="1" applyAlignment="1">
      <alignment vertical="center"/>
    </xf>
    <xf numFmtId="165" fontId="109" fillId="0" borderId="0" xfId="488" applyNumberFormat="1" applyFont="1" applyAlignment="1" applyProtection="1">
      <alignment vertical="center"/>
      <protection locked="0"/>
    </xf>
    <xf numFmtId="0" fontId="118" fillId="0" borderId="0" xfId="488" applyFont="1" applyProtection="1">
      <protection locked="0"/>
    </xf>
    <xf numFmtId="0" fontId="109" fillId="0" borderId="0" xfId="488" applyFont="1" applyProtection="1">
      <protection locked="0"/>
    </xf>
    <xf numFmtId="0" fontId="6" fillId="0" borderId="0" xfId="580" applyFont="1"/>
    <xf numFmtId="178" fontId="6" fillId="0" borderId="0" xfId="580" applyNumberFormat="1" applyFont="1"/>
    <xf numFmtId="165" fontId="6" fillId="0" borderId="0" xfId="580" applyNumberFormat="1" applyFont="1"/>
    <xf numFmtId="0" fontId="119" fillId="0" borderId="0" xfId="580" applyFont="1"/>
    <xf numFmtId="165" fontId="121" fillId="0" borderId="0" xfId="515" applyNumberFormat="1" applyFont="1" applyAlignment="1">
      <alignment vertical="center"/>
    </xf>
    <xf numFmtId="0" fontId="121" fillId="0" borderId="0" xfId="580" applyFont="1"/>
    <xf numFmtId="0" fontId="4" fillId="0" borderId="0" xfId="537" applyFont="1"/>
    <xf numFmtId="0" fontId="4" fillId="0" borderId="0" xfId="537" applyFont="1" applyAlignment="1">
      <alignment vertical="center"/>
    </xf>
    <xf numFmtId="0" fontId="1" fillId="0" borderId="0" xfId="471"/>
    <xf numFmtId="164" fontId="108" fillId="0" borderId="0" xfId="940" applyFont="1" applyFill="1"/>
    <xf numFmtId="173" fontId="108" fillId="0" borderId="0" xfId="940" applyNumberFormat="1" applyFont="1" applyFill="1"/>
    <xf numFmtId="2" fontId="6" fillId="0" borderId="0" xfId="580" applyNumberFormat="1" applyFont="1" applyAlignment="1">
      <alignment vertical="justify" wrapText="1"/>
    </xf>
    <xf numFmtId="165" fontId="119" fillId="0" borderId="0" xfId="580" applyNumberFormat="1" applyFont="1" applyAlignment="1">
      <alignment vertical="center" wrapText="1"/>
    </xf>
    <xf numFmtId="0" fontId="122" fillId="0" borderId="0" xfId="580" applyFont="1" applyAlignment="1">
      <alignment horizontal="left" vertical="center" wrapText="1"/>
    </xf>
    <xf numFmtId="0" fontId="120" fillId="0" borderId="0" xfId="580" applyFont="1" applyAlignment="1">
      <alignment vertical="top" wrapText="1"/>
    </xf>
    <xf numFmtId="0" fontId="122"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100" fillId="0" borderId="0" xfId="580" applyFont="1" applyAlignment="1">
      <alignment vertical="top" wrapText="1"/>
    </xf>
    <xf numFmtId="0" fontId="119" fillId="0" borderId="0" xfId="593" applyFont="1"/>
    <xf numFmtId="169" fontId="121"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1"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1" fillId="0" borderId="0" xfId="559" applyNumberFormat="1" applyFont="1" applyAlignment="1">
      <alignment horizontal="right"/>
    </xf>
    <xf numFmtId="0" fontId="2" fillId="0" borderId="0" xfId="471" applyFont="1"/>
    <xf numFmtId="166" fontId="76" fillId="0" borderId="0" xfId="486" applyNumberFormat="1"/>
    <xf numFmtId="166" fontId="76" fillId="62" borderId="0" xfId="486" applyNumberFormat="1" applyFill="1"/>
    <xf numFmtId="174" fontId="76" fillId="62" borderId="0" xfId="964" applyNumberFormat="1" applyFont="1" applyFill="1"/>
    <xf numFmtId="174" fontId="1" fillId="62" borderId="0" xfId="964" applyNumberFormat="1" applyFont="1" applyFill="1"/>
    <xf numFmtId="0" fontId="1" fillId="62" borderId="0" xfId="471" applyFill="1"/>
    <xf numFmtId="0" fontId="10" fillId="0" borderId="0" xfId="471" applyFont="1"/>
    <xf numFmtId="0" fontId="10" fillId="62" borderId="0" xfId="471" applyFont="1" applyFill="1"/>
    <xf numFmtId="165" fontId="124" fillId="0" borderId="0" xfId="495" applyNumberFormat="1" applyFont="1" applyAlignment="1">
      <alignment horizontal="right" vertical="center"/>
    </xf>
    <xf numFmtId="0" fontId="100" fillId="0" borderId="0" xfId="0" applyFont="1"/>
    <xf numFmtId="165" fontId="4" fillId="0" borderId="0" xfId="495" applyNumberFormat="1" applyFont="1" applyAlignment="1">
      <alignment horizontal="left" vertical="center"/>
    </xf>
    <xf numFmtId="0" fontId="109"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5" fillId="62" borderId="0" xfId="679" applyFill="1"/>
    <xf numFmtId="0" fontId="100" fillId="62" borderId="0" xfId="679" applyFont="1" applyFill="1"/>
    <xf numFmtId="0" fontId="106"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7" fillId="0" borderId="0" xfId="471" applyFont="1"/>
    <xf numFmtId="165" fontId="1" fillId="0" borderId="0" xfId="471" applyNumberFormat="1"/>
    <xf numFmtId="165" fontId="128" fillId="62" borderId="0" xfId="538" quotePrefix="1" applyNumberFormat="1" applyFont="1" applyFill="1" applyAlignment="1">
      <alignment vertical="top"/>
    </xf>
    <xf numFmtId="165" fontId="1" fillId="62" borderId="0" xfId="471" applyNumberFormat="1" applyFill="1"/>
    <xf numFmtId="0" fontId="129" fillId="62" borderId="0" xfId="763"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09" fillId="0" borderId="0" xfId="471" applyNumberFormat="1" applyFont="1" applyAlignment="1">
      <alignment vertical="center"/>
    </xf>
    <xf numFmtId="165" fontId="128" fillId="0" borderId="0" xfId="471" applyNumberFormat="1" applyFont="1" applyAlignment="1">
      <alignment vertical="center"/>
    </xf>
    <xf numFmtId="165" fontId="128" fillId="0" borderId="0" xfId="471" quotePrefix="1" applyNumberFormat="1" applyFont="1" applyAlignment="1">
      <alignment vertical="center"/>
    </xf>
    <xf numFmtId="165" fontId="4" fillId="0" borderId="0" xfId="488" applyNumberFormat="1" applyFont="1" applyAlignment="1">
      <alignment vertical="center"/>
    </xf>
    <xf numFmtId="165" fontId="130" fillId="0" borderId="0" xfId="488" applyNumberFormat="1" applyFont="1" applyAlignment="1">
      <alignment horizontal="left" vertical="center"/>
    </xf>
    <xf numFmtId="0" fontId="131" fillId="0" borderId="0" xfId="471" applyFont="1"/>
    <xf numFmtId="165" fontId="132" fillId="0" borderId="0" xfId="488" applyNumberFormat="1" applyFont="1" applyAlignment="1">
      <alignment vertical="center"/>
    </xf>
    <xf numFmtId="165" fontId="125" fillId="0" borderId="0" xfId="488" applyNumberFormat="1" applyFont="1" applyAlignment="1">
      <alignment horizontal="right" vertical="center"/>
    </xf>
    <xf numFmtId="165" fontId="109" fillId="61" borderId="50" xfId="757" applyNumberFormat="1" applyFont="1" applyBorder="1">
      <alignment horizontal="right" vertical="center" indent="1"/>
    </xf>
    <xf numFmtId="165" fontId="107" fillId="61" borderId="50" xfId="757" applyNumberFormat="1" applyFont="1" applyBorder="1">
      <alignment horizontal="right" vertical="center" indent="1"/>
    </xf>
    <xf numFmtId="0" fontId="105" fillId="63" borderId="51" xfId="755" applyFont="1" applyFill="1" applyBorder="1" applyAlignment="1">
      <alignment vertical="center" wrapText="1" readingOrder="1"/>
    </xf>
    <xf numFmtId="0" fontId="4" fillId="0" borderId="0" xfId="488" applyFont="1" applyAlignment="1">
      <alignment vertical="center"/>
    </xf>
    <xf numFmtId="0" fontId="126" fillId="0" borderId="0" xfId="471" applyFont="1"/>
    <xf numFmtId="164" fontId="121" fillId="0" borderId="0" xfId="931" applyFont="1" applyFill="1" applyAlignment="1">
      <alignment vertical="center"/>
    </xf>
    <xf numFmtId="164" fontId="133" fillId="0" borderId="0" xfId="931" applyFont="1" applyFill="1" applyAlignment="1">
      <alignment vertical="center"/>
    </xf>
    <xf numFmtId="164" fontId="133" fillId="0" borderId="0" xfId="931" applyFont="1" applyFill="1" applyAlignment="1">
      <alignment horizontal="left" vertical="center"/>
    </xf>
    <xf numFmtId="164" fontId="121" fillId="0" borderId="0" xfId="931" applyFont="1" applyFill="1" applyBorder="1" applyAlignment="1">
      <alignment vertical="center"/>
    </xf>
    <xf numFmtId="164" fontId="121" fillId="0" borderId="0" xfId="931" applyFont="1" applyFill="1" applyAlignment="1">
      <alignment horizontal="left" vertical="center"/>
    </xf>
    <xf numFmtId="0" fontId="121" fillId="0" borderId="0" xfId="488" applyFont="1" applyAlignment="1">
      <alignment vertical="center"/>
    </xf>
    <xf numFmtId="0" fontId="121" fillId="0" borderId="0" xfId="488" applyFont="1" applyAlignment="1">
      <alignment horizontal="left" vertical="center"/>
    </xf>
    <xf numFmtId="165" fontId="121" fillId="0" borderId="0" xfId="488" applyNumberFormat="1" applyFont="1" applyAlignment="1">
      <alignment vertical="center"/>
    </xf>
    <xf numFmtId="0" fontId="121" fillId="0" borderId="0" xfId="488" applyFont="1" applyAlignment="1">
      <alignment horizontal="right" vertical="center"/>
    </xf>
    <xf numFmtId="164" fontId="121" fillId="0" borderId="0" xfId="940" applyFont="1" applyFill="1" applyAlignment="1">
      <alignment vertical="center"/>
    </xf>
    <xf numFmtId="175" fontId="121" fillId="0" borderId="0" xfId="940" applyNumberFormat="1" applyFont="1" applyFill="1" applyAlignment="1">
      <alignment vertical="center"/>
    </xf>
    <xf numFmtId="175" fontId="119" fillId="0" borderId="0" xfId="940" applyNumberFormat="1" applyFont="1" applyFill="1" applyAlignment="1">
      <alignment vertical="center"/>
    </xf>
    <xf numFmtId="0" fontId="121" fillId="0" borderId="0" xfId="931" applyNumberFormat="1" applyFont="1" applyFill="1" applyAlignment="1">
      <alignment vertical="center"/>
    </xf>
    <xf numFmtId="0" fontId="119" fillId="0" borderId="0" xfId="931" applyNumberFormat="1" applyFont="1" applyFill="1" applyAlignment="1">
      <alignment vertical="center"/>
    </xf>
    <xf numFmtId="165" fontId="13" fillId="0" borderId="0" xfId="711" applyNumberFormat="1" applyFont="1" applyAlignment="1">
      <alignment vertical="center"/>
    </xf>
    <xf numFmtId="0" fontId="100" fillId="62" borderId="0" xfId="765" applyAlignment="1">
      <alignment horizontal="right"/>
    </xf>
    <xf numFmtId="165" fontId="4" fillId="0" borderId="0" xfId="711" applyNumberFormat="1" applyFont="1" applyAlignment="1">
      <alignment vertical="center"/>
    </xf>
    <xf numFmtId="0" fontId="100" fillId="0" borderId="0" xfId="762" applyBorder="1" applyAlignment="1">
      <alignment wrapText="1"/>
    </xf>
    <xf numFmtId="0" fontId="104" fillId="0" borderId="0" xfId="763" applyFont="1" applyFill="1">
      <alignment vertical="center"/>
    </xf>
    <xf numFmtId="0" fontId="101" fillId="0" borderId="0" xfId="763" applyFill="1">
      <alignment vertical="center"/>
    </xf>
    <xf numFmtId="0" fontId="100" fillId="0" borderId="0" xfId="765" applyFill="1"/>
    <xf numFmtId="0" fontId="105" fillId="63" borderId="52" xfId="755" applyFont="1" applyFill="1" applyBorder="1">
      <alignment horizontal="center" vertical="center" wrapText="1" readingOrder="1"/>
    </xf>
    <xf numFmtId="0" fontId="105" fillId="63" borderId="53" xfId="755" applyFont="1" applyFill="1" applyBorder="1">
      <alignment horizontal="center" vertical="center" wrapText="1" readingOrder="1"/>
    </xf>
    <xf numFmtId="0" fontId="134" fillId="0" borderId="0" xfId="0" applyFont="1"/>
    <xf numFmtId="178" fontId="100" fillId="62" borderId="0" xfId="765" applyNumberFormat="1"/>
    <xf numFmtId="0" fontId="0" fillId="0" borderId="0" xfId="0" applyAlignment="1">
      <alignment horizontal="left" indent="1"/>
    </xf>
    <xf numFmtId="0" fontId="105" fillId="63" borderId="31" xfId="755" applyFont="1" applyFill="1">
      <alignment horizontal="center" vertical="center" wrapText="1" readingOrder="1"/>
    </xf>
    <xf numFmtId="0" fontId="100" fillId="0" borderId="34" xfId="759" applyFont="1" applyAlignment="1">
      <alignment horizontal="left" vertical="center" indent="2"/>
    </xf>
    <xf numFmtId="0" fontId="105" fillId="63" borderId="54" xfId="755" applyFont="1" applyFill="1" applyBorder="1">
      <alignment horizontal="center" vertical="center" wrapText="1" readingOrder="1"/>
    </xf>
    <xf numFmtId="0" fontId="135" fillId="63" borderId="40" xfId="755" applyFont="1" applyFill="1" applyBorder="1">
      <alignment horizontal="center" vertical="center" wrapText="1" readingOrder="1"/>
    </xf>
    <xf numFmtId="0" fontId="105" fillId="63" borderId="56" xfId="755" applyFont="1" applyFill="1" applyBorder="1">
      <alignment horizontal="center" vertical="center" wrapText="1" readingOrder="1"/>
    </xf>
    <xf numFmtId="0" fontId="112"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1" applyFont="1" applyFill="1" applyAlignment="1">
      <alignment vertical="center"/>
    </xf>
    <xf numFmtId="164" fontId="108" fillId="0" borderId="0" xfId="940" applyFont="1" applyFill="1" applyAlignment="1">
      <alignment horizontal="left"/>
    </xf>
    <xf numFmtId="165" fontId="107" fillId="61" borderId="44" xfId="757" applyNumberFormat="1" applyFont="1" applyBorder="1" applyAlignment="1">
      <alignment horizontal="center" vertical="center" wrapText="1"/>
    </xf>
    <xf numFmtId="4" fontId="76" fillId="62" borderId="0" xfId="964" applyNumberFormat="1" applyFont="1" applyFill="1"/>
    <xf numFmtId="165" fontId="136" fillId="0" borderId="35" xfId="761" applyNumberFormat="1" applyFont="1">
      <alignment horizontal="right" vertical="center" indent="1"/>
    </xf>
    <xf numFmtId="165" fontId="4" fillId="0" borderId="0" xfId="537" applyNumberFormat="1" applyFont="1" applyAlignment="1">
      <alignment vertical="top"/>
    </xf>
    <xf numFmtId="0" fontId="14" fillId="0" borderId="0" xfId="471" applyFont="1" applyAlignment="1">
      <alignment vertical="center"/>
    </xf>
    <xf numFmtId="0" fontId="137" fillId="0" borderId="0" xfId="471" applyFont="1" applyAlignment="1">
      <alignment horizontal="left" vertical="center"/>
    </xf>
    <xf numFmtId="165" fontId="109" fillId="61" borderId="34" xfId="757" applyNumberFormat="1" applyFont="1" applyBorder="1">
      <alignment horizontal="right" vertical="center" indent="1"/>
    </xf>
    <xf numFmtId="0" fontId="99" fillId="62" borderId="0" xfId="536" applyFont="1" applyFill="1"/>
    <xf numFmtId="0" fontId="10" fillId="0" borderId="0" xfId="708" applyFont="1" applyAlignment="1">
      <alignment vertical="center"/>
    </xf>
    <xf numFmtId="0" fontId="100" fillId="62" borderId="0" xfId="536" applyFont="1" applyFill="1"/>
    <xf numFmtId="0" fontId="100" fillId="0" borderId="0" xfId="536" applyFont="1"/>
    <xf numFmtId="165" fontId="107"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4" fillId="0" borderId="0" xfId="471" applyFont="1" applyAlignment="1">
      <alignment vertical="center"/>
    </xf>
    <xf numFmtId="0" fontId="130" fillId="0" borderId="0" xfId="471" applyFont="1" applyAlignment="1">
      <alignment horizontal="left" vertical="center"/>
    </xf>
    <xf numFmtId="0" fontId="130" fillId="0" borderId="0" xfId="488"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0" fontId="100" fillId="0" borderId="0" xfId="0" applyFont="1" applyAlignment="1">
      <alignment horizontal="justify" vertical="center"/>
    </xf>
    <xf numFmtId="173" fontId="109" fillId="0" borderId="0" xfId="940" applyNumberFormat="1" applyFont="1" applyFill="1" applyProtection="1">
      <protection locked="0"/>
    </xf>
    <xf numFmtId="0" fontId="8" fillId="0" borderId="0" xfId="580" quotePrefix="1" applyFont="1" applyAlignment="1">
      <alignment horizontal="left" indent="1"/>
    </xf>
    <xf numFmtId="0" fontId="4" fillId="0" borderId="0" xfId="580" applyFont="1" applyAlignment="1">
      <alignment horizontal="left" indent="1"/>
    </xf>
    <xf numFmtId="165" fontId="109" fillId="0" borderId="0" xfId="628" quotePrefix="1" applyNumberFormat="1" applyFont="1" applyAlignment="1">
      <alignment horizontal="left" vertical="top" wrapText="1" indent="1"/>
    </xf>
    <xf numFmtId="165" fontId="4" fillId="0" borderId="0" xfId="537" applyNumberFormat="1" applyFont="1" applyAlignment="1">
      <alignment vertical="center"/>
    </xf>
    <xf numFmtId="165" fontId="119" fillId="0" borderId="0" xfId="537" applyNumberFormat="1" applyFont="1" applyAlignment="1">
      <alignment vertical="center"/>
    </xf>
    <xf numFmtId="172" fontId="119" fillId="0" borderId="0" xfId="580" applyNumberFormat="1" applyFont="1"/>
    <xf numFmtId="165" fontId="81" fillId="0" borderId="0" xfId="538" applyNumberFormat="1" applyFont="1" applyAlignment="1">
      <alignment horizontal="left" vertical="top"/>
    </xf>
    <xf numFmtId="0" fontId="139" fillId="0" borderId="0" xfId="471" applyFont="1"/>
    <xf numFmtId="165" fontId="4" fillId="0" borderId="0" xfId="515" applyNumberFormat="1" applyFont="1" applyAlignment="1" applyProtection="1">
      <alignment vertical="center"/>
      <protection locked="0"/>
    </xf>
    <xf numFmtId="165" fontId="109" fillId="0" borderId="0" xfId="495" applyNumberFormat="1" applyFont="1" applyAlignment="1" applyProtection="1">
      <alignment vertical="center"/>
      <protection locked="0"/>
    </xf>
    <xf numFmtId="165" fontId="100" fillId="0" borderId="0" xfId="762" applyNumberFormat="1" applyBorder="1"/>
    <xf numFmtId="178" fontId="119" fillId="0" borderId="0" xfId="580" applyNumberFormat="1" applyFont="1" applyAlignment="1">
      <alignment vertical="center" wrapText="1"/>
    </xf>
    <xf numFmtId="178" fontId="119" fillId="0" borderId="0" xfId="580" applyNumberFormat="1" applyFont="1"/>
    <xf numFmtId="167" fontId="108" fillId="0" borderId="0" xfId="495" applyNumberFormat="1" applyFont="1"/>
    <xf numFmtId="167" fontId="100" fillId="0" borderId="0" xfId="495" applyNumberFormat="1" applyFont="1"/>
    <xf numFmtId="0" fontId="100" fillId="0" borderId="0" xfId="765" applyFill="1" applyAlignment="1">
      <alignment horizontal="left"/>
    </xf>
    <xf numFmtId="168" fontId="2" fillId="0" borderId="0" xfId="495" applyNumberFormat="1" applyFont="1"/>
    <xf numFmtId="165" fontId="2" fillId="0" borderId="0" xfId="471" applyNumberFormat="1" applyFont="1"/>
    <xf numFmtId="0" fontId="100" fillId="62" borderId="0" xfId="762" applyFill="1" applyBorder="1"/>
    <xf numFmtId="0" fontId="121"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100" fillId="0" borderId="0" xfId="0" applyFont="1" applyAlignment="1">
      <alignment vertical="center" wrapText="1"/>
    </xf>
    <xf numFmtId="165" fontId="109" fillId="0" borderId="0" xfId="538" quotePrefix="1" applyNumberFormat="1" applyFont="1" applyAlignment="1">
      <alignment vertical="top"/>
    </xf>
    <xf numFmtId="0" fontId="105" fillId="63" borderId="60" xfId="755" applyFont="1" applyFill="1" applyBorder="1">
      <alignment horizontal="center" vertical="center" wrapText="1" readingOrder="1"/>
    </xf>
    <xf numFmtId="170" fontId="4" fillId="0" borderId="0" xfId="488" applyNumberFormat="1" applyFont="1" applyAlignment="1">
      <alignment vertical="center"/>
    </xf>
    <xf numFmtId="4" fontId="100" fillId="0" borderId="0" xfId="762" applyNumberFormat="1" applyBorder="1"/>
    <xf numFmtId="165" fontId="4" fillId="0" borderId="0" xfId="495" applyNumberFormat="1" applyFont="1"/>
    <xf numFmtId="165" fontId="107" fillId="61" borderId="63" xfId="757" applyNumberFormat="1" applyFont="1" applyBorder="1">
      <alignment horizontal="right" vertical="center" indent="1"/>
    </xf>
    <xf numFmtId="165" fontId="107" fillId="61" borderId="64" xfId="757" applyNumberFormat="1" applyFont="1" applyBorder="1" applyAlignment="1">
      <alignment vertical="center"/>
    </xf>
    <xf numFmtId="0" fontId="100" fillId="0" borderId="34" xfId="759" applyFont="1" applyAlignment="1">
      <alignment horizontal="left" vertical="center" indent="3"/>
    </xf>
    <xf numFmtId="0" fontId="100" fillId="0" borderId="57" xfId="759" applyFont="1" applyBorder="1" applyAlignment="1">
      <alignment horizontal="left" vertical="center" indent="2"/>
    </xf>
    <xf numFmtId="0" fontId="136" fillId="0" borderId="34" xfId="759" applyFont="1">
      <alignment horizontal="left" vertical="center" indent="1"/>
    </xf>
    <xf numFmtId="0" fontId="136" fillId="0" borderId="0" xfId="759" applyFont="1" applyBorder="1">
      <alignment horizontal="left" vertical="center" indent="1"/>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0" xfId="488" applyNumberFormat="1" applyFont="1" applyAlignment="1">
      <alignment horizontal="lef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0" fontId="105" fillId="63" borderId="55" xfId="755" applyFont="1" applyFill="1" applyBorder="1">
      <alignment horizontal="center" vertical="center" wrapText="1" readingOrder="1"/>
    </xf>
    <xf numFmtId="0" fontId="105"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100" fillId="0" borderId="50" xfId="759" applyFont="1" applyBorder="1" applyAlignment="1">
      <alignment vertical="center"/>
    </xf>
    <xf numFmtId="165" fontId="4" fillId="0" borderId="50" xfId="515" applyNumberFormat="1" applyFont="1" applyBorder="1" applyAlignment="1">
      <alignment vertical="center"/>
    </xf>
    <xf numFmtId="165" fontId="125"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4" fillId="0" borderId="58" xfId="515" applyNumberFormat="1" applyFont="1" applyBorder="1" applyAlignment="1">
      <alignment vertical="center"/>
    </xf>
    <xf numFmtId="0" fontId="100" fillId="0" borderId="34" xfId="760" applyFont="1" applyAlignment="1">
      <alignment horizontal="left" vertical="center" indent="3"/>
    </xf>
    <xf numFmtId="0" fontId="100" fillId="0" borderId="34" xfId="760" applyFont="1" applyAlignment="1">
      <alignment horizontal="left" vertical="center" wrapText="1" indent="4"/>
    </xf>
    <xf numFmtId="165" fontId="136" fillId="0" borderId="0" xfId="761" applyNumberFormat="1" applyFont="1" applyBorder="1">
      <alignment horizontal="right" vertical="center" indent="1"/>
    </xf>
    <xf numFmtId="0" fontId="100" fillId="0" borderId="0" xfId="765" applyFill="1" applyAlignment="1">
      <alignment horizontal="right"/>
    </xf>
    <xf numFmtId="0" fontId="105" fillId="0" borderId="0" xfId="755" applyFont="1" applyFill="1" applyBorder="1">
      <alignment horizontal="center" vertical="center" wrapText="1" readingOrder="1"/>
    </xf>
    <xf numFmtId="165" fontId="100" fillId="0" borderId="0" xfId="761" applyNumberFormat="1" applyFont="1" applyBorder="1">
      <alignment horizontal="right" vertical="center" indent="1"/>
    </xf>
    <xf numFmtId="165" fontId="107" fillId="0" borderId="0" xfId="757" applyNumberFormat="1" applyFont="1" applyFill="1" applyBorder="1">
      <alignment horizontal="right" vertical="center" indent="1"/>
    </xf>
    <xf numFmtId="165" fontId="107" fillId="0" borderId="0" xfId="757" applyNumberFormat="1" applyFont="1" applyFill="1" applyBorder="1" applyAlignment="1">
      <alignment horizontal="center" vertical="center" wrapText="1"/>
    </xf>
    <xf numFmtId="0" fontId="144" fillId="0" borderId="0" xfId="0" applyFont="1" applyAlignment="1">
      <alignment horizontal="left" vertical="center" indent="4"/>
    </xf>
    <xf numFmtId="0" fontId="76" fillId="0" borderId="0" xfId="709" applyAlignment="1">
      <alignment horizontal="left" vertical="center" indent="4"/>
    </xf>
    <xf numFmtId="0" fontId="145" fillId="0" borderId="0" xfId="0" applyFont="1" applyAlignment="1">
      <alignment horizontal="left" indent="4"/>
    </xf>
    <xf numFmtId="0" fontId="76" fillId="0" borderId="0" xfId="709" applyAlignment="1">
      <alignment horizontal="left" indent="4"/>
    </xf>
    <xf numFmtId="171" fontId="109" fillId="0" borderId="0" xfId="940" applyNumberFormat="1" applyFont="1" applyFill="1" applyAlignment="1" applyProtection="1">
      <alignment vertical="center"/>
      <protection locked="0"/>
    </xf>
    <xf numFmtId="165" fontId="4" fillId="0" borderId="0" xfId="609" applyNumberFormat="1" applyFont="1" applyAlignment="1">
      <alignment vertical="center" wrapText="1"/>
    </xf>
    <xf numFmtId="165" fontId="109" fillId="61" borderId="97" xfId="757" applyNumberFormat="1" applyFont="1" applyBorder="1">
      <alignment horizontal="right" vertical="center" indent="1"/>
    </xf>
    <xf numFmtId="165" fontId="107" fillId="61" borderId="97" xfId="757" applyNumberFormat="1" applyFont="1" applyBorder="1">
      <alignment horizontal="right" vertical="center" indent="1"/>
    </xf>
    <xf numFmtId="0" fontId="146" fillId="0" borderId="0" xfId="0" applyFont="1"/>
    <xf numFmtId="3" fontId="109" fillId="62" borderId="0" xfId="0" applyNumberFormat="1" applyFont="1" applyFill="1" applyAlignment="1">
      <alignment horizontal="left" vertical="center"/>
    </xf>
    <xf numFmtId="0" fontId="0" fillId="62" borderId="0" xfId="0" applyFill="1"/>
    <xf numFmtId="0" fontId="109" fillId="62" borderId="0" xfId="471" applyFont="1" applyFill="1" applyAlignment="1">
      <alignment vertical="center" wrapText="1"/>
    </xf>
    <xf numFmtId="0" fontId="128" fillId="62" borderId="0" xfId="471" applyFont="1" applyFill="1" applyAlignment="1">
      <alignment vertical="center"/>
    </xf>
    <xf numFmtId="0" fontId="140" fillId="0" borderId="34" xfId="759" applyFont="1">
      <alignment horizontal="left" vertical="center" indent="1"/>
    </xf>
    <xf numFmtId="165" fontId="136" fillId="0" borderId="50" xfId="761" applyNumberFormat="1" applyFont="1" applyBorder="1">
      <alignment horizontal="right" vertical="center" indent="1"/>
    </xf>
    <xf numFmtId="165" fontId="100" fillId="0" borderId="50" xfId="761" applyNumberFormat="1" applyFont="1" applyBorder="1">
      <alignment horizontal="right" vertical="center" indent="1"/>
    </xf>
    <xf numFmtId="165" fontId="100" fillId="0" borderId="58" xfId="761" applyNumberFormat="1" applyFont="1" applyBorder="1">
      <alignment horizontal="right" vertical="center" indent="1"/>
    </xf>
    <xf numFmtId="3" fontId="4" fillId="0" borderId="0" xfId="471" applyNumberFormat="1" applyFont="1" applyAlignment="1">
      <alignment vertical="center"/>
    </xf>
    <xf numFmtId="165" fontId="125" fillId="0" borderId="0" xfId="471" quotePrefix="1" applyNumberFormat="1" applyFont="1" applyAlignment="1">
      <alignment vertical="center"/>
    </xf>
    <xf numFmtId="0" fontId="100" fillId="0" borderId="34" xfId="759" applyFont="1" applyAlignment="1">
      <alignment horizontal="left" vertical="center"/>
    </xf>
    <xf numFmtId="3" fontId="100" fillId="0" borderId="35" xfId="761" applyFont="1">
      <alignment horizontal="right" vertical="center" indent="1"/>
    </xf>
    <xf numFmtId="165" fontId="113" fillId="0" borderId="0" xfId="471" applyNumberFormat="1" applyFont="1" applyAlignment="1">
      <alignment vertical="center"/>
    </xf>
    <xf numFmtId="0" fontId="100" fillId="0" borderId="0" xfId="759" applyFont="1" applyBorder="1" applyAlignment="1">
      <alignment horizontal="left" vertical="center"/>
    </xf>
    <xf numFmtId="165" fontId="113" fillId="0" borderId="48" xfId="471" applyNumberFormat="1" applyFont="1" applyBorder="1" applyAlignment="1">
      <alignment vertical="center"/>
    </xf>
    <xf numFmtId="3" fontId="100" fillId="0" borderId="49" xfId="761" applyFont="1" applyBorder="1">
      <alignment horizontal="right" vertical="center" indent="1"/>
    </xf>
    <xf numFmtId="0" fontId="125" fillId="0" borderId="0" xfId="471" quotePrefix="1" applyFont="1" applyAlignment="1">
      <alignment vertical="center"/>
    </xf>
    <xf numFmtId="0" fontId="125" fillId="0" borderId="0" xfId="471" applyFont="1" applyAlignment="1">
      <alignment vertical="center"/>
    </xf>
    <xf numFmtId="165" fontId="125" fillId="0" borderId="47" xfId="471" quotePrefix="1" applyNumberFormat="1" applyFont="1" applyBorder="1" applyAlignment="1">
      <alignment vertical="center"/>
    </xf>
    <xf numFmtId="3" fontId="100" fillId="0" borderId="39" xfId="761" applyFont="1" applyBorder="1">
      <alignment horizontal="right" vertical="center" indent="1"/>
    </xf>
    <xf numFmtId="0" fontId="100" fillId="0" borderId="98" xfId="759" applyFont="1" applyBorder="1" applyAlignment="1">
      <alignment horizontal="left" vertical="center"/>
    </xf>
    <xf numFmtId="0" fontId="100" fillId="0" borderId="57" xfId="759" applyFont="1" applyBorder="1" applyAlignment="1">
      <alignment horizontal="left" vertical="center"/>
    </xf>
    <xf numFmtId="17" fontId="105" fillId="63" borderId="40" xfId="755" applyNumberFormat="1" applyFont="1" applyFill="1" applyBorder="1">
      <alignment horizontal="center" vertical="center" wrapText="1" readingOrder="1"/>
    </xf>
    <xf numFmtId="165" fontId="4" fillId="0" borderId="0" xfId="609" applyNumberFormat="1" applyFont="1" applyAlignment="1">
      <alignment horizontal="left" vertical="center" wrapText="1"/>
    </xf>
    <xf numFmtId="0" fontId="105" fillId="63" borderId="59" xfId="755" applyFont="1" applyFill="1" applyBorder="1">
      <alignment horizontal="center" vertical="center" wrapText="1" readingOrder="1"/>
    </xf>
    <xf numFmtId="0" fontId="123" fillId="0" borderId="0" xfId="471" applyFont="1"/>
    <xf numFmtId="0" fontId="203" fillId="0" borderId="47" xfId="423" applyFont="1" applyBorder="1" applyAlignment="1">
      <alignment horizontal="justify"/>
    </xf>
    <xf numFmtId="0" fontId="100" fillId="0" borderId="0" xfId="759" applyFont="1" applyBorder="1" applyAlignment="1">
      <alignment horizontal="left" vertical="center" indent="3"/>
    </xf>
    <xf numFmtId="0" fontId="136" fillId="0" borderId="0" xfId="759" applyFont="1" applyBorder="1" applyAlignment="1">
      <alignment horizontal="center" vertical="center"/>
    </xf>
    <xf numFmtId="0" fontId="136" fillId="0" borderId="0" xfId="759" applyFont="1" applyBorder="1" applyAlignment="1">
      <alignment horizontal="left" vertical="center" indent="2"/>
    </xf>
    <xf numFmtId="0" fontId="136" fillId="0" borderId="0" xfId="0" applyFont="1"/>
    <xf numFmtId="0" fontId="109" fillId="0" borderId="0" xfId="759" applyFont="1" applyBorder="1" applyAlignment="1">
      <alignment horizontal="left" vertical="center" indent="3"/>
    </xf>
    <xf numFmtId="0" fontId="100" fillId="0" borderId="0" xfId="759" applyFont="1" applyBorder="1">
      <alignment horizontal="left" vertical="center" indent="1"/>
    </xf>
    <xf numFmtId="0" fontId="100" fillId="0" borderId="0" xfId="0" applyFont="1" applyAlignment="1">
      <alignment wrapText="1"/>
    </xf>
    <xf numFmtId="0" fontId="138" fillId="0" borderId="0" xfId="0" applyFont="1" applyAlignment="1">
      <alignment horizontal="left" vertical="center" indent="1"/>
    </xf>
    <xf numFmtId="0" fontId="202" fillId="0" borderId="0" xfId="0" applyFont="1" applyAlignment="1">
      <alignment horizontal="left" vertical="center" indent="2"/>
    </xf>
    <xf numFmtId="0" fontId="100" fillId="0" borderId="0" xfId="0" applyFont="1" applyAlignment="1">
      <alignment horizontal="left" vertical="center" indent="2"/>
    </xf>
    <xf numFmtId="0" fontId="100" fillId="0" borderId="48" xfId="0" applyFont="1" applyBorder="1" applyAlignment="1">
      <alignment horizontal="left" vertical="center" indent="2"/>
    </xf>
    <xf numFmtId="0" fontId="100" fillId="0" borderId="0" xfId="0" applyFont="1" applyAlignment="1">
      <alignment horizontal="left" wrapText="1"/>
    </xf>
    <xf numFmtId="172" fontId="6" fillId="0" borderId="0" xfId="580" applyNumberFormat="1" applyFont="1"/>
    <xf numFmtId="0" fontId="9" fillId="0" borderId="0" xfId="580" applyFont="1" applyAlignment="1">
      <alignment horizontal="left" wrapText="1"/>
    </xf>
    <xf numFmtId="0" fontId="6" fillId="0" borderId="0" xfId="580" applyFont="1" applyAlignment="1">
      <alignment horizontal="left" wrapText="1"/>
    </xf>
    <xf numFmtId="0" fontId="100" fillId="0" borderId="34" xfId="759" applyFont="1">
      <alignment horizontal="left" vertical="center" indent="1"/>
    </xf>
    <xf numFmtId="0" fontId="100" fillId="0" borderId="57" xfId="759" applyFont="1" applyBorder="1" applyAlignment="1">
      <alignment horizontal="left" vertical="center" indent="3"/>
    </xf>
    <xf numFmtId="0" fontId="140" fillId="0" borderId="34" xfId="759" applyFont="1" applyAlignment="1">
      <alignment horizontal="left" vertical="center" indent="3"/>
    </xf>
    <xf numFmtId="0" fontId="140" fillId="0" borderId="34" xfId="759" applyFont="1" applyAlignment="1">
      <alignment horizontal="left" vertical="center" indent="2"/>
    </xf>
    <xf numFmtId="0" fontId="100" fillId="0" borderId="57" xfId="759" applyFont="1" applyBorder="1">
      <alignment horizontal="left" vertical="center" indent="1"/>
    </xf>
    <xf numFmtId="2" fontId="6" fillId="0" borderId="0" xfId="583" applyNumberFormat="1" applyFont="1" applyAlignment="1">
      <alignment vertical="center" wrapText="1"/>
    </xf>
    <xf numFmtId="0" fontId="140" fillId="0" borderId="34" xfId="759" applyFont="1" applyAlignment="1">
      <alignment horizontal="left" vertical="center" indent="5"/>
    </xf>
    <xf numFmtId="0" fontId="100" fillId="0" borderId="34" xfId="759" applyFont="1" applyAlignment="1">
      <alignment horizontal="left" vertical="center" indent="7"/>
    </xf>
    <xf numFmtId="0" fontId="100" fillId="0" borderId="34" xfId="759" applyFont="1" applyAlignment="1">
      <alignment horizontal="left" vertical="center" wrapText="1" indent="7"/>
    </xf>
    <xf numFmtId="0" fontId="100" fillId="0" borderId="34" xfId="759" applyFont="1" applyAlignment="1">
      <alignment horizontal="left" vertical="center" indent="4"/>
    </xf>
    <xf numFmtId="0" fontId="100" fillId="62" borderId="34" xfId="759" applyFont="1" applyFill="1">
      <alignment horizontal="left" vertical="center" indent="1"/>
    </xf>
    <xf numFmtId="165" fontId="100" fillId="62" borderId="35" xfId="761" applyNumberFormat="1" applyFont="1" applyFill="1">
      <alignment horizontal="right" vertical="center" indent="1"/>
    </xf>
    <xf numFmtId="165" fontId="100" fillId="62" borderId="96" xfId="761" applyNumberFormat="1" applyFont="1" applyFill="1" applyBorder="1">
      <alignment horizontal="right" vertical="center" indent="1"/>
    </xf>
    <xf numFmtId="165" fontId="100" fillId="62" borderId="92" xfId="761" applyNumberFormat="1" applyFont="1" applyFill="1" applyBorder="1">
      <alignment horizontal="right" vertical="center" indent="1"/>
    </xf>
    <xf numFmtId="165" fontId="100" fillId="62" borderId="91" xfId="761" applyNumberFormat="1" applyFont="1" applyFill="1" applyBorder="1">
      <alignment horizontal="right" vertical="center" indent="1"/>
    </xf>
    <xf numFmtId="165" fontId="100" fillId="62" borderId="93" xfId="761" applyNumberFormat="1" applyFont="1" applyFill="1" applyBorder="1" applyAlignment="1">
      <alignment horizontal="left" vertical="center" indent="1"/>
    </xf>
    <xf numFmtId="165" fontId="100" fillId="62" borderId="50" xfId="761" applyNumberFormat="1" applyFont="1" applyFill="1" applyBorder="1">
      <alignment horizontal="right" vertical="center" indent="1"/>
    </xf>
    <xf numFmtId="165" fontId="100" fillId="62" borderId="94" xfId="761" applyNumberFormat="1" applyFont="1" applyFill="1" applyBorder="1" applyAlignment="1">
      <alignment horizontal="left" vertical="center" indent="1"/>
    </xf>
    <xf numFmtId="165" fontId="100" fillId="62" borderId="95" xfId="761" applyNumberFormat="1" applyFont="1" applyFill="1" applyBorder="1" applyAlignment="1">
      <alignment horizontal="left" vertical="center" indent="1"/>
    </xf>
    <xf numFmtId="165" fontId="100" fillId="62" borderId="97" xfId="761" applyNumberFormat="1" applyFont="1" applyFill="1" applyBorder="1">
      <alignment horizontal="right" vertical="center" indent="1"/>
    </xf>
    <xf numFmtId="0" fontId="136" fillId="62" borderId="34" xfId="759" applyFont="1" applyFill="1">
      <alignment horizontal="left" vertical="center" indent="1"/>
    </xf>
    <xf numFmtId="165" fontId="136" fillId="62" borderId="35" xfId="761" applyNumberFormat="1" applyFont="1" applyFill="1">
      <alignment horizontal="right" vertical="center" indent="1"/>
    </xf>
    <xf numFmtId="0" fontId="100" fillId="62" borderId="34" xfId="759" applyFont="1" applyFill="1" applyAlignment="1">
      <alignment horizontal="left" vertical="center" indent="2"/>
    </xf>
    <xf numFmtId="165" fontId="107" fillId="0" borderId="35" xfId="761" applyNumberFormat="1" applyFont="1">
      <alignment horizontal="right" vertical="center" indent="1"/>
    </xf>
    <xf numFmtId="165" fontId="109" fillId="0" borderId="35" xfId="761" applyNumberFormat="1" applyFont="1">
      <alignment horizontal="right" vertical="center" indent="1"/>
    </xf>
    <xf numFmtId="165" fontId="107" fillId="61" borderId="76" xfId="757" applyNumberFormat="1" applyFont="1" applyBorder="1">
      <alignment horizontal="right" vertical="center" indent="1"/>
    </xf>
    <xf numFmtId="0" fontId="140" fillId="0" borderId="34" xfId="759" applyFont="1" applyAlignment="1">
      <alignment horizontal="left" vertical="center" indent="4"/>
    </xf>
    <xf numFmtId="0" fontId="100" fillId="0" borderId="34" xfId="759" applyFont="1" applyAlignment="1">
      <alignment horizontal="left" vertical="center" indent="5"/>
    </xf>
    <xf numFmtId="177" fontId="100" fillId="0" borderId="39" xfId="805" applyNumberFormat="1" applyFont="1" applyFill="1" applyBorder="1" applyAlignment="1">
      <alignment horizontal="right" vertical="center" indent="1"/>
    </xf>
    <xf numFmtId="0" fontId="100" fillId="0" borderId="34" xfId="759" applyFont="1" applyAlignment="1">
      <alignment horizontal="left" vertical="center" indent="6"/>
    </xf>
    <xf numFmtId="165" fontId="204" fillId="0" borderId="35" xfId="761" applyNumberFormat="1" applyFont="1">
      <alignment horizontal="right" vertical="center" indent="1"/>
    </xf>
    <xf numFmtId="165" fontId="112" fillId="0" borderId="35" xfId="761" applyNumberFormat="1" applyFont="1">
      <alignment horizontal="right" vertical="center" indent="1"/>
    </xf>
    <xf numFmtId="165" fontId="109" fillId="123" borderId="0" xfId="538" applyNumberFormat="1" applyFont="1" applyFill="1" applyAlignment="1">
      <alignment horizontal="left" vertical="top"/>
    </xf>
    <xf numFmtId="0" fontId="2" fillId="123" borderId="0" xfId="471" applyFont="1" applyFill="1"/>
    <xf numFmtId="0" fontId="1" fillId="123" borderId="0" xfId="471" applyFill="1"/>
    <xf numFmtId="3" fontId="109" fillId="123" borderId="0" xfId="0" applyNumberFormat="1" applyFont="1" applyFill="1" applyAlignment="1">
      <alignment horizontal="left" vertical="center"/>
    </xf>
    <xf numFmtId="165" fontId="109" fillId="62" borderId="35" xfId="761" applyNumberFormat="1" applyFont="1" applyFill="1">
      <alignment horizontal="right" vertical="center" indent="1"/>
    </xf>
    <xf numFmtId="0" fontId="100" fillId="62" borderId="57" xfId="759" applyFont="1" applyFill="1" applyBorder="1" applyAlignment="1">
      <alignment horizontal="left" vertical="center" indent="2"/>
    </xf>
    <xf numFmtId="165" fontId="100" fillId="62" borderId="39" xfId="761" applyNumberFormat="1" applyFont="1" applyFill="1" applyBorder="1">
      <alignment horizontal="right" vertical="center" indent="1"/>
    </xf>
    <xf numFmtId="0" fontId="100" fillId="62" borderId="34" xfId="759" applyFont="1" applyFill="1" applyAlignment="1">
      <alignment horizontal="left" vertical="center" indent="3"/>
    </xf>
    <xf numFmtId="0" fontId="100" fillId="62" borderId="34" xfId="759" applyFont="1" applyFill="1" applyAlignment="1">
      <alignment horizontal="left" vertical="center" indent="4"/>
    </xf>
    <xf numFmtId="0" fontId="100" fillId="62" borderId="34" xfId="759" applyFont="1" applyFill="1" applyAlignment="1">
      <alignment horizontal="left" vertical="center" indent="5"/>
    </xf>
    <xf numFmtId="165" fontId="107" fillId="62" borderId="35" xfId="761" applyNumberFormat="1" applyFont="1" applyFill="1">
      <alignment horizontal="right" vertical="center" indent="1"/>
    </xf>
    <xf numFmtId="165" fontId="100" fillId="0" borderId="61" xfId="761" applyNumberFormat="1" applyFont="1" applyBorder="1">
      <alignment horizontal="right" vertical="center" indent="1"/>
    </xf>
    <xf numFmtId="165" fontId="100" fillId="0" borderId="66" xfId="761" applyNumberFormat="1" applyFont="1" applyBorder="1">
      <alignment horizontal="right" vertical="center" indent="1"/>
    </xf>
    <xf numFmtId="165" fontId="100" fillId="0" borderId="65" xfId="761" applyNumberFormat="1" applyFont="1" applyBorder="1">
      <alignment horizontal="right" vertical="center" indent="1"/>
    </xf>
    <xf numFmtId="0" fontId="100" fillId="62" borderId="34" xfId="759" applyFont="1" applyFill="1" applyAlignment="1">
      <alignment horizontal="left" vertical="center" wrapText="1" indent="3"/>
    </xf>
    <xf numFmtId="164" fontId="100" fillId="62" borderId="0" xfId="931" applyFont="1" applyFill="1"/>
    <xf numFmtId="164" fontId="95" fillId="62" borderId="0" xfId="931" applyFont="1" applyFill="1"/>
    <xf numFmtId="165" fontId="141" fillId="62" borderId="0" xfId="660" applyNumberFormat="1" applyFont="1" applyFill="1" applyAlignment="1">
      <alignment horizontal="left" wrapText="1"/>
    </xf>
    <xf numFmtId="176" fontId="114" fillId="0" borderId="0" xfId="495" applyNumberFormat="1" applyFont="1" applyAlignment="1">
      <alignment horizontal="center" vertical="center"/>
    </xf>
    <xf numFmtId="176" fontId="114" fillId="0" borderId="0" xfId="495" applyNumberFormat="1" applyFont="1" applyAlignment="1">
      <alignment horizontal="center" vertical="center" wrapText="1"/>
    </xf>
    <xf numFmtId="0" fontId="100" fillId="0" borderId="0" xfId="762" applyBorder="1" applyAlignment="1">
      <alignment horizontal="left" wrapText="1"/>
    </xf>
    <xf numFmtId="0" fontId="100" fillId="62" borderId="0" xfId="765"/>
    <xf numFmtId="0" fontId="105" fillId="63" borderId="31" xfId="755" applyFont="1" applyFill="1">
      <alignment horizontal="center" vertical="center" wrapText="1" readingOrder="1"/>
    </xf>
    <xf numFmtId="0" fontId="100" fillId="0" borderId="0" xfId="765" applyFill="1" applyAlignment="1">
      <alignment horizontal="left" vertical="top" wrapText="1"/>
    </xf>
    <xf numFmtId="0" fontId="105" fillId="63" borderId="54" xfId="755" applyFont="1" applyFill="1" applyBorder="1">
      <alignment horizontal="center" vertical="center" wrapText="1" readingOrder="1"/>
    </xf>
    <xf numFmtId="0" fontId="105" fillId="63" borderId="0" xfId="755" applyFont="1" applyFill="1" applyBorder="1">
      <alignment horizontal="center" vertical="center" wrapText="1" readingOrder="1"/>
    </xf>
    <xf numFmtId="0" fontId="135" fillId="63" borderId="40" xfId="755" applyFont="1" applyFill="1" applyBorder="1">
      <alignment horizontal="center" vertical="center" wrapText="1" readingOrder="1"/>
    </xf>
    <xf numFmtId="0" fontId="135" fillId="63" borderId="51" xfId="755" applyFont="1" applyFill="1" applyBorder="1">
      <alignment horizontal="center" vertical="center" wrapText="1" readingOrder="1"/>
    </xf>
    <xf numFmtId="0" fontId="135" fillId="63" borderId="72" xfId="755" applyFont="1" applyFill="1" applyBorder="1">
      <alignment horizontal="center" vertical="center" wrapText="1" readingOrder="1"/>
    </xf>
    <xf numFmtId="0" fontId="135" fillId="63" borderId="59" xfId="755" applyFont="1" applyFill="1" applyBorder="1">
      <alignment horizontal="center" vertical="center" wrapText="1" readingOrder="1"/>
    </xf>
    <xf numFmtId="0" fontId="135" fillId="63" borderId="45" xfId="755" applyFont="1" applyFill="1" applyBorder="1">
      <alignment horizontal="center" vertical="center" wrapText="1" readingOrder="1"/>
    </xf>
    <xf numFmtId="0" fontId="135" fillId="63" borderId="46" xfId="755" applyFont="1" applyFill="1" applyBorder="1">
      <alignment horizontal="center" vertical="center" wrapText="1" readingOrder="1"/>
    </xf>
    <xf numFmtId="0" fontId="100" fillId="0" borderId="0" xfId="759" applyFont="1" applyBorder="1" applyAlignment="1">
      <alignment horizontal="left" vertical="center" indent="2"/>
    </xf>
    <xf numFmtId="0" fontId="100" fillId="0" borderId="34" xfId="759" applyFont="1" applyAlignment="1">
      <alignment horizontal="left" vertical="center" indent="2"/>
    </xf>
    <xf numFmtId="0" fontId="105" fillId="63" borderId="55" xfId="755" applyFont="1" applyFill="1" applyBorder="1">
      <alignment horizontal="center" vertical="center" wrapText="1" readingOrder="1"/>
    </xf>
    <xf numFmtId="0" fontId="105" fillId="63" borderId="70" xfId="755" applyFont="1" applyFill="1" applyBorder="1">
      <alignment horizontal="center" vertical="center" wrapText="1" readingOrder="1"/>
    </xf>
    <xf numFmtId="0" fontId="105" fillId="63" borderId="71" xfId="755" applyFont="1" applyFill="1" applyBorder="1">
      <alignment horizontal="center" vertical="center" wrapText="1" readingOrder="1"/>
    </xf>
    <xf numFmtId="0" fontId="136" fillId="0" borderId="0" xfId="759" applyFont="1" applyBorder="1">
      <alignment horizontal="left" vertical="center" indent="1"/>
    </xf>
    <xf numFmtId="0" fontId="136" fillId="0" borderId="34" xfId="759" applyFont="1">
      <alignment horizontal="left" vertical="center" indent="1"/>
    </xf>
    <xf numFmtId="0" fontId="100" fillId="0" borderId="0" xfId="759" applyFont="1" applyBorder="1" applyAlignment="1">
      <alignment horizontal="left" vertical="center" indent="3"/>
    </xf>
    <xf numFmtId="0" fontId="100" fillId="0" borderId="34" xfId="759" applyFont="1" applyAlignment="1">
      <alignment horizontal="left" vertical="center" indent="3"/>
    </xf>
    <xf numFmtId="0" fontId="100" fillId="0" borderId="68" xfId="759" applyFont="1" applyBorder="1" applyAlignment="1">
      <alignment horizontal="left" vertical="center" indent="2"/>
    </xf>
    <xf numFmtId="0" fontId="100" fillId="0" borderId="69" xfId="759" applyFont="1" applyBorder="1" applyAlignment="1">
      <alignment horizontal="left" vertical="center" indent="2"/>
    </xf>
    <xf numFmtId="0" fontId="106" fillId="61" borderId="67" xfId="756" applyFont="1" applyBorder="1">
      <alignment horizontal="left" vertical="center" wrapText="1" indent="1" readingOrder="1"/>
    </xf>
    <xf numFmtId="0" fontId="106" fillId="61" borderId="41" xfId="756" applyFont="1" applyBorder="1">
      <alignment horizontal="left" vertical="center" wrapText="1" indent="1" readingOrder="1"/>
    </xf>
    <xf numFmtId="0" fontId="100" fillId="0" borderId="47" xfId="759" applyFont="1" applyBorder="1" applyAlignment="1">
      <alignment horizontal="left" vertical="center" indent="2"/>
    </xf>
    <xf numFmtId="0" fontId="100" fillId="0" borderId="57" xfId="759" applyFont="1" applyBorder="1" applyAlignment="1">
      <alignment horizontal="left" vertical="center" indent="2"/>
    </xf>
    <xf numFmtId="0" fontId="142" fillId="62" borderId="0" xfId="763" applyFont="1" applyAlignment="1">
      <alignment horizontal="center" vertical="center"/>
    </xf>
    <xf numFmtId="0" fontId="105" fillId="63" borderId="73" xfId="755" applyFont="1" applyFill="1" applyBorder="1">
      <alignment horizontal="center" vertical="center" wrapText="1" readingOrder="1"/>
    </xf>
    <xf numFmtId="0" fontId="105" fillId="63" borderId="74" xfId="755" applyFont="1" applyFill="1" applyBorder="1">
      <alignment horizontal="center" vertical="center" wrapText="1" readingOrder="1"/>
    </xf>
    <xf numFmtId="0" fontId="105" fillId="63" borderId="75" xfId="755" applyFont="1" applyFill="1" applyBorder="1">
      <alignment horizontal="center" vertical="center" wrapText="1" readingOrder="1"/>
    </xf>
    <xf numFmtId="0" fontId="105" fillId="63" borderId="45" xfId="755" applyFont="1" applyFill="1" applyBorder="1">
      <alignment horizontal="center" vertical="center" wrapText="1" readingOrder="1"/>
    </xf>
    <xf numFmtId="0" fontId="105" fillId="63" borderId="46" xfId="755" applyFont="1" applyFill="1" applyBorder="1">
      <alignment horizontal="center" vertical="center" wrapText="1" readingOrder="1"/>
    </xf>
    <xf numFmtId="0" fontId="105" fillId="63" borderId="51" xfId="755" applyFont="1" applyFill="1" applyBorder="1">
      <alignment horizontal="center" vertical="center" wrapText="1" readingOrder="1"/>
    </xf>
    <xf numFmtId="0" fontId="105" fillId="63" borderId="40" xfId="755" applyFont="1" applyFill="1" applyBorder="1">
      <alignment horizontal="center" vertical="center" wrapText="1" readingOrder="1"/>
    </xf>
    <xf numFmtId="0" fontId="105"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0" borderId="0" xfId="515" applyNumberFormat="1" applyFont="1" applyAlignment="1">
      <alignment horizontal="left" vertical="center" wrapText="1"/>
    </xf>
    <xf numFmtId="0" fontId="4" fillId="0" borderId="0" xfId="537" applyFont="1" applyAlignment="1">
      <alignment horizontal="left" vertical="top" wrapText="1"/>
    </xf>
    <xf numFmtId="0" fontId="104" fillId="62" borderId="0" xfId="763" applyFont="1" applyAlignment="1">
      <alignment horizontal="left" vertical="center" wrapText="1"/>
    </xf>
    <xf numFmtId="0" fontId="4" fillId="0" borderId="0" xfId="580" applyFont="1" applyAlignment="1">
      <alignment horizontal="left" wrapText="1"/>
    </xf>
    <xf numFmtId="165" fontId="121" fillId="0" borderId="0" xfId="515" applyNumberFormat="1" applyFont="1" applyAlignment="1">
      <alignment horizontal="left" vertical="center" wrapText="1"/>
    </xf>
    <xf numFmtId="165" fontId="119"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4" fillId="0" borderId="0" xfId="580" applyFont="1" applyAlignment="1">
      <alignment horizontal="left" vertical="center" wrapText="1"/>
    </xf>
    <xf numFmtId="2" fontId="6" fillId="0" borderId="0" xfId="583" applyNumberFormat="1" applyFont="1" applyAlignment="1">
      <alignment horizontal="left" vertical="center" wrapText="1"/>
    </xf>
    <xf numFmtId="0" fontId="121" fillId="0" borderId="0" xfId="593" quotePrefix="1" applyFont="1" applyAlignment="1">
      <alignment horizontal="left" vertical="top" wrapText="1"/>
    </xf>
    <xf numFmtId="0" fontId="121" fillId="0" borderId="0" xfId="593" applyFont="1" applyAlignment="1">
      <alignment horizontal="left" vertical="top" wrapText="1"/>
    </xf>
    <xf numFmtId="0" fontId="119" fillId="0" borderId="0" xfId="593" applyFont="1" applyAlignment="1">
      <alignment horizontal="left" wrapText="1"/>
    </xf>
    <xf numFmtId="0" fontId="119" fillId="0" borderId="0" xfId="593" quotePrefix="1" applyFont="1" applyAlignment="1">
      <alignment horizontal="left" vertical="top" wrapText="1"/>
    </xf>
    <xf numFmtId="0" fontId="119" fillId="0" borderId="0" xfId="593" applyFont="1" applyAlignment="1">
      <alignment horizontal="left" vertical="top" wrapText="1"/>
    </xf>
    <xf numFmtId="165" fontId="109" fillId="0" borderId="0" xfId="488" applyNumberFormat="1" applyFont="1" applyAlignment="1" applyProtection="1">
      <alignment vertical="center" wrapText="1"/>
      <protection locked="0"/>
    </xf>
    <xf numFmtId="165" fontId="109" fillId="0" borderId="0" xfId="488" applyNumberFormat="1" applyFont="1" applyAlignment="1" applyProtection="1">
      <alignment horizontal="left" vertical="center" wrapText="1"/>
      <protection locked="0"/>
    </xf>
    <xf numFmtId="0" fontId="105" fillId="63" borderId="56" xfId="755" applyFont="1" applyFill="1" applyBorder="1">
      <alignment horizontal="center" vertical="center" wrapText="1" readingOrder="1"/>
    </xf>
    <xf numFmtId="0" fontId="105" fillId="63" borderId="76" xfId="755" applyFont="1" applyFill="1" applyBorder="1">
      <alignment horizontal="center" vertical="center" wrapText="1" readingOrder="1"/>
    </xf>
    <xf numFmtId="0" fontId="105" fillId="63" borderId="77" xfId="755" applyFont="1" applyFill="1" applyBorder="1">
      <alignment horizontal="center" vertical="center" wrapText="1" readingOrder="1"/>
    </xf>
    <xf numFmtId="0" fontId="105" fillId="63" borderId="62" xfId="755" applyFont="1" applyFill="1" applyBorder="1">
      <alignment horizontal="center" vertical="center" wrapText="1" readingOrder="1"/>
    </xf>
    <xf numFmtId="0" fontId="105" fillId="63" borderId="78" xfId="755" applyFont="1" applyFill="1" applyBorder="1">
      <alignment horizontal="center" vertical="center" wrapText="1" readingOrder="1"/>
    </xf>
    <xf numFmtId="0" fontId="105" fillId="63" borderId="79" xfId="755" applyFont="1" applyFill="1" applyBorder="1">
      <alignment horizontal="center" vertical="center" wrapText="1" readingOrder="1"/>
    </xf>
    <xf numFmtId="0" fontId="105" fillId="63" borderId="80" xfId="755" applyFont="1" applyFill="1" applyBorder="1">
      <alignment horizontal="center" vertical="center" wrapText="1" readingOrder="1"/>
    </xf>
    <xf numFmtId="0" fontId="112" fillId="0" borderId="0" xfId="580" applyFont="1" applyAlignment="1">
      <alignment horizontal="left" wrapText="1"/>
    </xf>
    <xf numFmtId="0" fontId="143" fillId="0" borderId="0" xfId="580" applyFont="1" applyAlignment="1">
      <alignment horizontal="left" wrapText="1"/>
    </xf>
    <xf numFmtId="0" fontId="6" fillId="0" borderId="0" xfId="580" applyFont="1" applyAlignment="1">
      <alignment horizontal="left" vertical="center" wrapText="1" indent="1"/>
    </xf>
    <xf numFmtId="0" fontId="100" fillId="0" borderId="0" xfId="471" applyFont="1" applyAlignment="1">
      <alignment wrapText="1"/>
    </xf>
    <xf numFmtId="0" fontId="1" fillId="0" borderId="0" xfId="471" applyAlignment="1">
      <alignment wrapText="1"/>
    </xf>
    <xf numFmtId="0" fontId="109"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2" fillId="0" borderId="0" xfId="580" applyFont="1" applyAlignment="1">
      <alignment horizontal="left" vertical="top" wrapText="1"/>
    </xf>
    <xf numFmtId="0" fontId="143"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34" fillId="0" borderId="0" xfId="756" applyFont="1" applyFill="1" applyBorder="1" applyAlignment="1">
      <alignment horizontal="left" vertical="center" wrapText="1" readingOrder="1"/>
    </xf>
    <xf numFmtId="0" fontId="109" fillId="123" borderId="0" xfId="0" applyFont="1" applyFill="1" applyAlignment="1">
      <alignment horizontal="left" vertical="center" wrapText="1"/>
    </xf>
    <xf numFmtId="165" fontId="109" fillId="123" borderId="0" xfId="538" quotePrefix="1" applyNumberFormat="1" applyFont="1" applyFill="1" applyAlignment="1">
      <alignment horizontal="left" vertical="top" wrapText="1"/>
    </xf>
    <xf numFmtId="165" fontId="109" fillId="123" borderId="0" xfId="538" quotePrefix="1" applyNumberFormat="1" applyFont="1" applyFill="1" applyAlignment="1">
      <alignment horizontal="left" vertical="top"/>
    </xf>
    <xf numFmtId="165" fontId="4" fillId="123" borderId="0" xfId="515" applyNumberFormat="1" applyFont="1" applyFill="1" applyAlignment="1">
      <alignment horizontal="left" vertical="center" wrapText="1"/>
    </xf>
    <xf numFmtId="0" fontId="109" fillId="123" borderId="0" xfId="0" applyFont="1" applyFill="1" applyAlignment="1">
      <alignment horizontal="left" vertical="top" wrapText="1"/>
    </xf>
    <xf numFmtId="165" fontId="109" fillId="0" borderId="0" xfId="538" quotePrefix="1" applyNumberFormat="1" applyFont="1" applyAlignment="1">
      <alignment horizontal="left" vertical="top"/>
    </xf>
    <xf numFmtId="165" fontId="109" fillId="123" borderId="0" xfId="538" applyNumberFormat="1" applyFont="1" applyFill="1" applyAlignment="1">
      <alignment horizontal="left" vertical="top" wrapText="1"/>
    </xf>
    <xf numFmtId="0" fontId="105" fillId="63" borderId="110" xfId="755" applyFont="1" applyFill="1" applyBorder="1">
      <alignment horizontal="center" vertical="center" wrapText="1" readingOrder="1"/>
    </xf>
    <xf numFmtId="165" fontId="107" fillId="61" borderId="81" xfId="757" applyNumberFormat="1" applyFont="1" applyBorder="1" applyAlignment="1">
      <alignment horizontal="left" vertical="center" indent="1"/>
    </xf>
    <xf numFmtId="165" fontId="107" fillId="61" borderId="82" xfId="757" applyNumberFormat="1" applyFont="1" applyBorder="1" applyAlignment="1">
      <alignment horizontal="left" vertical="center" indent="1"/>
    </xf>
    <xf numFmtId="0" fontId="105" fillId="63" borderId="60" xfId="755" applyFont="1" applyFill="1" applyBorder="1">
      <alignment horizontal="center" vertical="center" wrapText="1" readingOrder="1"/>
    </xf>
    <xf numFmtId="0" fontId="105" fillId="63" borderId="83" xfId="755" applyFont="1" applyFill="1" applyBorder="1">
      <alignment horizontal="center" vertical="center" wrapText="1" readingOrder="1"/>
    </xf>
    <xf numFmtId="0" fontId="100" fillId="0" borderId="34" xfId="759" applyFont="1" applyAlignment="1">
      <alignment horizontal="center" vertical="center" textRotation="90"/>
    </xf>
    <xf numFmtId="165" fontId="107" fillId="61" borderId="84" xfId="757" applyNumberFormat="1" applyFont="1" applyBorder="1" applyAlignment="1">
      <alignment horizontal="left" vertical="center" indent="1"/>
    </xf>
    <xf numFmtId="165" fontId="107" fillId="61" borderId="85" xfId="757" applyNumberFormat="1" applyFont="1" applyBorder="1" applyAlignment="1">
      <alignment horizontal="left" vertical="center" indent="1"/>
    </xf>
    <xf numFmtId="0" fontId="100" fillId="0" borderId="99" xfId="759" applyFont="1" applyBorder="1" applyAlignment="1">
      <alignment horizontal="center" vertical="center" textRotation="90"/>
    </xf>
    <xf numFmtId="0" fontId="105" fillId="63" borderId="111" xfId="755" applyFont="1" applyFill="1" applyBorder="1">
      <alignment horizontal="center" vertical="center" wrapText="1" readingOrder="1"/>
    </xf>
    <xf numFmtId="0" fontId="105" fillId="63" borderId="112" xfId="755" applyFont="1" applyFill="1" applyBorder="1">
      <alignment horizontal="center" vertical="center" wrapText="1" readingOrder="1"/>
    </xf>
    <xf numFmtId="165" fontId="128" fillId="0" borderId="0" xfId="471" applyNumberFormat="1" applyFont="1" applyAlignment="1">
      <alignment horizontal="left" vertical="top" wrapText="1"/>
    </xf>
    <xf numFmtId="0" fontId="105" fillId="63" borderId="33" xfId="755" applyFont="1" applyFill="1" applyBorder="1">
      <alignment horizontal="center" vertical="center" wrapText="1" readingOrder="1"/>
    </xf>
    <xf numFmtId="165" fontId="109" fillId="0" borderId="0" xfId="471" applyNumberFormat="1" applyFont="1" applyAlignment="1">
      <alignment horizontal="left" vertical="center" wrapText="1"/>
    </xf>
    <xf numFmtId="0" fontId="106" fillId="61" borderId="55" xfId="756" applyFont="1" applyBorder="1">
      <alignment horizontal="left" vertical="center" wrapText="1" indent="1" readingOrder="1"/>
    </xf>
    <xf numFmtId="0" fontId="106" fillId="61" borderId="70" xfId="756" applyFont="1" applyBorder="1">
      <alignment horizontal="left" vertical="center" wrapText="1" indent="1" readingOrder="1"/>
    </xf>
    <xf numFmtId="0" fontId="106" fillId="61" borderId="0" xfId="756" applyFont="1" applyBorder="1">
      <alignment horizontal="left" vertical="center" wrapText="1" indent="1" readingOrder="1"/>
    </xf>
    <xf numFmtId="0" fontId="140" fillId="0" borderId="0" xfId="759" applyFont="1" applyBorder="1">
      <alignment horizontal="left" vertical="center" indent="1"/>
    </xf>
    <xf numFmtId="0" fontId="4" fillId="0" borderId="0" xfId="471" quotePrefix="1" applyFont="1" applyAlignment="1">
      <alignment horizontal="left" vertical="center" wrapText="1"/>
    </xf>
    <xf numFmtId="0" fontId="100" fillId="0" borderId="47" xfId="759" applyFont="1" applyBorder="1" applyAlignment="1">
      <alignment horizontal="left" vertical="center" indent="3"/>
    </xf>
    <xf numFmtId="0" fontId="105" fillId="63" borderId="84" xfId="755" applyFont="1" applyFill="1" applyBorder="1">
      <alignment horizontal="center" vertical="center" wrapText="1" readingOrder="1"/>
    </xf>
    <xf numFmtId="0" fontId="105" fillId="63" borderId="68" xfId="755" applyFont="1" applyFill="1" applyBorder="1">
      <alignment horizontal="center" vertical="center" wrapText="1" readingOrder="1"/>
    </xf>
    <xf numFmtId="165" fontId="4" fillId="0" borderId="0" xfId="609" applyNumberFormat="1" applyFont="1" applyAlignment="1">
      <alignment horizontal="left" vertical="center" wrapText="1"/>
    </xf>
    <xf numFmtId="0" fontId="106" fillId="61" borderId="88" xfId="756" applyFont="1" applyBorder="1">
      <alignment horizontal="left" vertical="center" wrapText="1" indent="1" readingOrder="1"/>
    </xf>
    <xf numFmtId="0" fontId="106" fillId="61" borderId="89" xfId="756" applyFont="1" applyBorder="1">
      <alignment horizontal="left" vertical="center" wrapText="1" indent="1" readingOrder="1"/>
    </xf>
    <xf numFmtId="0" fontId="106" fillId="61" borderId="90" xfId="756" applyFont="1" applyBorder="1">
      <alignment horizontal="left" vertical="center" wrapText="1" indent="1" readingOrder="1"/>
    </xf>
    <xf numFmtId="165" fontId="4" fillId="0" borderId="0" xfId="537" applyNumberFormat="1" applyFont="1" applyAlignment="1">
      <alignment horizontal="left" vertical="center" wrapText="1"/>
    </xf>
    <xf numFmtId="0" fontId="100" fillId="0" borderId="0" xfId="0" quotePrefix="1" applyFont="1" applyAlignment="1">
      <alignment horizontal="left" vertical="center" wrapText="1"/>
    </xf>
    <xf numFmtId="0" fontId="0" fillId="0" borderId="0" xfId="0" applyAlignment="1">
      <alignment horizontal="left" vertical="center" wrapText="1"/>
    </xf>
    <xf numFmtId="0" fontId="110" fillId="61" borderId="86" xfId="756" applyFont="1" applyBorder="1">
      <alignment horizontal="left" vertical="center" wrapText="1" indent="1" readingOrder="1"/>
    </xf>
    <xf numFmtId="0" fontId="110" fillId="61" borderId="68" xfId="756" applyFont="1" applyBorder="1">
      <alignment horizontal="left" vertical="center" wrapText="1" indent="1" readingOrder="1"/>
    </xf>
    <xf numFmtId="0" fontId="110" fillId="61" borderId="85" xfId="756" applyFont="1" applyBorder="1">
      <alignment horizontal="left" vertical="center" wrapText="1" indent="1" readingOrder="1"/>
    </xf>
    <xf numFmtId="0" fontId="110" fillId="61" borderId="87" xfId="756" applyFont="1" applyBorder="1">
      <alignment horizontal="left" vertical="center" wrapText="1" indent="1" readingOrder="1"/>
    </xf>
    <xf numFmtId="0" fontId="110" fillId="61" borderId="77" xfId="756" applyFont="1" applyBorder="1">
      <alignment horizontal="left" vertical="center" wrapText="1" indent="1" readingOrder="1"/>
    </xf>
    <xf numFmtId="0" fontId="110"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100" fillId="0" borderId="0" xfId="0" applyFont="1" applyAlignment="1">
      <alignment horizontal="left" vertical="center" wrapText="1"/>
    </xf>
    <xf numFmtId="0" fontId="6" fillId="0" borderId="0" xfId="0" quotePrefix="1" applyFont="1" applyAlignment="1">
      <alignment horizontal="left" vertical="center" wrapText="1"/>
    </xf>
  </cellXfs>
  <cellStyles count="9845">
    <cellStyle name=" 1" xfId="3076" xr:uid="{00000000-0005-0000-0000-000000000000}"/>
    <cellStyle name=" 1 2" xfId="4727" xr:uid="{00000000-0005-0000-0000-000001000000}"/>
    <cellStyle name=" 1 3" xfId="8132"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8"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8" xr:uid="{00000000-0005-0000-0000-00000D000000}"/>
    <cellStyle name="% 2 2" xfId="10" xr:uid="{00000000-0005-0000-0000-00000E000000}"/>
    <cellStyle name="% 2 2 2" xfId="3890" xr:uid="{00000000-0005-0000-0000-00000F000000}"/>
    <cellStyle name="% 2 2 3" xfId="7838" xr:uid="{00000000-0005-0000-0000-000010000000}"/>
    <cellStyle name="% 2 2 4" xfId="2621" xr:uid="{00000000-0005-0000-0000-000011000000}"/>
    <cellStyle name="% 2 3" xfId="11" xr:uid="{00000000-0005-0000-0000-000012000000}"/>
    <cellStyle name="% 2 3 2" xfId="3615" xr:uid="{00000000-0005-0000-0000-000013000000}"/>
    <cellStyle name="% 2 3 3" xfId="5240" xr:uid="{00000000-0005-0000-0000-000014000000}"/>
    <cellStyle name="% 2 3 4" xfId="7839" xr:uid="{00000000-0005-0000-0000-000015000000}"/>
    <cellStyle name="% 2 3 5" xfId="2622" xr:uid="{00000000-0005-0000-0000-000016000000}"/>
    <cellStyle name="% 2 4" xfId="12" xr:uid="{00000000-0005-0000-0000-000017000000}"/>
    <cellStyle name="% 2 4 2" xfId="3889" xr:uid="{00000000-0005-0000-0000-000018000000}"/>
    <cellStyle name="% 2 5" xfId="13" xr:uid="{00000000-0005-0000-0000-000019000000}"/>
    <cellStyle name="% 2 5 2" xfId="6450"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1" xr:uid="{00000000-0005-0000-0000-000020000000}"/>
    <cellStyle name="% 3 3" xfId="6494" xr:uid="{00000000-0005-0000-0000-000021000000}"/>
    <cellStyle name="% 3 4" xfId="1242" xr:uid="{00000000-0005-0000-0000-000022000000}"/>
    <cellStyle name="% 4" xfId="19" xr:uid="{00000000-0005-0000-0000-000023000000}"/>
    <cellStyle name="% 4 2" xfId="2620" xr:uid="{00000000-0005-0000-0000-000024000000}"/>
    <cellStyle name="% 4 2 2" xfId="3655" xr:uid="{00000000-0005-0000-0000-000025000000}"/>
    <cellStyle name="% 4 2 3" xfId="5329" xr:uid="{00000000-0005-0000-0000-000026000000}"/>
    <cellStyle name="% 4 2 4" xfId="7837" xr:uid="{00000000-0005-0000-0000-000027000000}"/>
    <cellStyle name="% 4 3" xfId="3892" xr:uid="{00000000-0005-0000-0000-000028000000}"/>
    <cellStyle name="% 4 4" xfId="6545" xr:uid="{00000000-0005-0000-0000-000029000000}"/>
    <cellStyle name="% 4 5" xfId="1293" xr:uid="{00000000-0005-0000-0000-00002A000000}"/>
    <cellStyle name="% 5" xfId="20" xr:uid="{00000000-0005-0000-0000-00002B000000}"/>
    <cellStyle name="% 5 2" xfId="5470" xr:uid="{00000000-0005-0000-0000-00002C000000}"/>
    <cellStyle name="% 5 3" xfId="6693" xr:uid="{00000000-0005-0000-0000-00002D000000}"/>
    <cellStyle name="% 5 4" xfId="1441" xr:uid="{00000000-0005-0000-0000-00002E000000}"/>
    <cellStyle name="% 6" xfId="21" xr:uid="{00000000-0005-0000-0000-00002F000000}"/>
    <cellStyle name="% 6 2" xfId="5586" xr:uid="{00000000-0005-0000-0000-000030000000}"/>
    <cellStyle name="% 6 3" xfId="6811" xr:uid="{00000000-0005-0000-0000-000031000000}"/>
    <cellStyle name="% 6 4" xfId="1560" xr:uid="{00000000-0005-0000-0000-000032000000}"/>
    <cellStyle name="% 7" xfId="22" xr:uid="{00000000-0005-0000-0000-000033000000}"/>
    <cellStyle name="% 7 2" xfId="5974" xr:uid="{00000000-0005-0000-0000-000034000000}"/>
    <cellStyle name="% 7 3" xfId="7201" xr:uid="{00000000-0005-0000-0000-000035000000}"/>
    <cellStyle name="% 7 4" xfId="1954" xr:uid="{00000000-0005-0000-0000-000036000000}"/>
    <cellStyle name="% 8" xfId="23" xr:uid="{00000000-0005-0000-0000-000037000000}"/>
    <cellStyle name="% 8 2" xfId="3888" xr:uid="{00000000-0005-0000-0000-000038000000}"/>
    <cellStyle name="% 9" xfId="24" xr:uid="{00000000-0005-0000-0000-000039000000}"/>
    <cellStyle name="% 9 2" xfId="6413"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1" xr:uid="{00000000-0005-0000-0000-000047000000}"/>
    <cellStyle name="{{PerformancePoint DataCell}}" xfId="8772" xr:uid="{00000000-0005-0000-0000-000048000000}"/>
    <cellStyle name="{{PerformancePoint DataEntry}}" xfId="8773" xr:uid="{00000000-0005-0000-0000-000049000000}"/>
    <cellStyle name="{{PerformancePoint Locked Data Entry}}" xfId="8774" xr:uid="{00000000-0005-0000-0000-00004A000000}"/>
    <cellStyle name="=C:\WINNT\SYSTEM32\COMMAND.COM" xfId="1039" xr:uid="{00000000-0005-0000-0000-00004B000000}"/>
    <cellStyle name="=C:\WINNT\SYSTEM32\COMMAND.COM 2" xfId="1040" xr:uid="{00000000-0005-0000-0000-00004C000000}"/>
    <cellStyle name="=C:\WINNT\SYSTEM32\COMMAND.COM 2 2" xfId="1046" xr:uid="{00000000-0005-0000-0000-00004D000000}"/>
    <cellStyle name="=C:\WINNT\SYSTEM32\COMMAND.COM 2 2 2" xfId="2124" xr:uid="{00000000-0005-0000-0000-00004E000000}"/>
    <cellStyle name="=C:\WINNT\SYSTEM32\COMMAND.COM 2 2 2 2" xfId="3895" xr:uid="{00000000-0005-0000-0000-00004F000000}"/>
    <cellStyle name="=C:\WINNT\SYSTEM32\COMMAND.COM 2 2 2 3" xfId="7365" xr:uid="{00000000-0005-0000-0000-000050000000}"/>
    <cellStyle name="=C:\WINNT\SYSTEM32\COMMAND.COM 2 2 3" xfId="2619" xr:uid="{00000000-0005-0000-0000-000051000000}"/>
    <cellStyle name="=C:\WINNT\SYSTEM32\COMMAND.COM 2 2 3 2" xfId="3800" xr:uid="{00000000-0005-0000-0000-000052000000}"/>
    <cellStyle name="=C:\WINNT\SYSTEM32\COMMAND.COM 2 2 3 2 2" xfId="6190" xr:uid="{00000000-0005-0000-0000-000053000000}"/>
    <cellStyle name="=C:\WINNT\SYSTEM32\COMMAND.COM 2 2 3 2 3" xfId="8711" xr:uid="{00000000-0005-0000-0000-000054000000}"/>
    <cellStyle name="=C:\WINNT\SYSTEM32\COMMAND.COM 2 2 3 3" xfId="4582" xr:uid="{00000000-0005-0000-0000-000055000000}"/>
    <cellStyle name="=C:\WINNT\SYSTEM32\COMMAND.COM 2 2 3 4" xfId="7836" xr:uid="{00000000-0005-0000-0000-000056000000}"/>
    <cellStyle name="=C:\WINNT\SYSTEM32\COMMAND.COM 2 2 4" xfId="3004" xr:uid="{00000000-0005-0000-0000-000057000000}"/>
    <cellStyle name="=C:\WINNT\SYSTEM32\COMMAND.COM 2 2 4 2" xfId="4666" xr:uid="{00000000-0005-0000-0000-000058000000}"/>
    <cellStyle name="=C:\WINNT\SYSTEM32\COMMAND.COM 2 2 4 3" xfId="8060" xr:uid="{00000000-0005-0000-0000-000059000000}"/>
    <cellStyle name="=C:\WINNT\SYSTEM32\COMMAND.COM 2 2 5" xfId="3783" xr:uid="{00000000-0005-0000-0000-00005A000000}"/>
    <cellStyle name="=C:\WINNT\SYSTEM32\COMMAND.COM 2 2 5 2" xfId="6176" xr:uid="{00000000-0005-0000-0000-00005B000000}"/>
    <cellStyle name="=C:\WINNT\SYSTEM32\COMMAND.COM 2 2 5 3" xfId="8694" xr:uid="{00000000-0005-0000-0000-00005C000000}"/>
    <cellStyle name="=C:\WINNT\SYSTEM32\COMMAND.COM 2 2 6" xfId="2803" xr:uid="{00000000-0005-0000-0000-00005D000000}"/>
    <cellStyle name="=C:\WINNT\SYSTEM32\COMMAND.COM 2 2 7" xfId="3894" xr:uid="{00000000-0005-0000-0000-00005E000000}"/>
    <cellStyle name="=C:\WINNT\SYSTEM32\COMMAND.COM 2 2 8" xfId="6327" xr:uid="{00000000-0005-0000-0000-00005F000000}"/>
    <cellStyle name="=C:\WINNT\SYSTEM32\COMMAND.COM 2 3" xfId="2125" xr:uid="{00000000-0005-0000-0000-000060000000}"/>
    <cellStyle name="=C:\WINNT\SYSTEM32\COMMAND.COM 2 3 2" xfId="3896" xr:uid="{00000000-0005-0000-0000-000061000000}"/>
    <cellStyle name="=C:\WINNT\SYSTEM32\COMMAND.COM 2 3 3" xfId="7366" xr:uid="{00000000-0005-0000-0000-000062000000}"/>
    <cellStyle name="=C:\WINNT\SYSTEM32\COMMAND.COM 2 4" xfId="2126" xr:uid="{00000000-0005-0000-0000-000063000000}"/>
    <cellStyle name="=C:\WINNT\SYSTEM32\COMMAND.COM 2 4 2" xfId="3897" xr:uid="{00000000-0005-0000-0000-000064000000}"/>
    <cellStyle name="=C:\WINNT\SYSTEM32\COMMAND.COM 2 4 3" xfId="7367" xr:uid="{00000000-0005-0000-0000-000065000000}"/>
    <cellStyle name="=C:\WINNT\SYSTEM32\COMMAND.COM 2 5" xfId="2123" xr:uid="{00000000-0005-0000-0000-000066000000}"/>
    <cellStyle name="=C:\WINNT\SYSTEM32\COMMAND.COM 2 5 2" xfId="3898" xr:uid="{00000000-0005-0000-0000-000067000000}"/>
    <cellStyle name="=C:\WINNT\SYSTEM32\COMMAND.COM 2 5 3" xfId="7364" xr:uid="{00000000-0005-0000-0000-000068000000}"/>
    <cellStyle name="=C:\WINNT\SYSTEM32\COMMAND.COM 2 6" xfId="2618" xr:uid="{00000000-0005-0000-0000-000069000000}"/>
    <cellStyle name="=C:\WINNT\SYSTEM32\COMMAND.COM 2 6 2" xfId="2926" xr:uid="{00000000-0005-0000-0000-00006A000000}"/>
    <cellStyle name="=C:\WINNT\SYSTEM32\COMMAND.COM 2 6 2 2" xfId="4595" xr:uid="{00000000-0005-0000-0000-00006B000000}"/>
    <cellStyle name="=C:\WINNT\SYSTEM32\COMMAND.COM 2 6 2 3" xfId="7983" xr:uid="{00000000-0005-0000-0000-00006C000000}"/>
    <cellStyle name="=C:\WINNT\SYSTEM32\COMMAND.COM 2 6 3" xfId="3019" xr:uid="{00000000-0005-0000-0000-00006D000000}"/>
    <cellStyle name="=C:\WINNT\SYSTEM32\COMMAND.COM 2 6 3 2" xfId="4679" xr:uid="{00000000-0005-0000-0000-00006E000000}"/>
    <cellStyle name="=C:\WINNT\SYSTEM32\COMMAND.COM 2 6 3 3" xfId="8075" xr:uid="{00000000-0005-0000-0000-00006F000000}"/>
    <cellStyle name="=C:\WINNT\SYSTEM32\COMMAND.COM 2 6 4" xfId="3806" xr:uid="{00000000-0005-0000-0000-000070000000}"/>
    <cellStyle name="=C:\WINNT\SYSTEM32\COMMAND.COM 2 6 4 2" xfId="6195" xr:uid="{00000000-0005-0000-0000-000071000000}"/>
    <cellStyle name="=C:\WINNT\SYSTEM32\COMMAND.COM 2 6 4 3" xfId="8717" xr:uid="{00000000-0005-0000-0000-000072000000}"/>
    <cellStyle name="=C:\WINNT\SYSTEM32\COMMAND.COM 2 6 5" xfId="2820" xr:uid="{00000000-0005-0000-0000-000073000000}"/>
    <cellStyle name="=C:\WINNT\SYSTEM32\COMMAND.COM 2 6 6" xfId="3899" xr:uid="{00000000-0005-0000-0000-000074000000}"/>
    <cellStyle name="=C:\WINNT\SYSTEM32\COMMAND.COM 2 6 7" xfId="7835" xr:uid="{00000000-0005-0000-0000-000075000000}"/>
    <cellStyle name="=C:\WINNT\SYSTEM32\COMMAND.COM 2 7" xfId="3755" xr:uid="{00000000-0005-0000-0000-000076000000}"/>
    <cellStyle name="=C:\WINNT\SYSTEM32\COMMAND.COM 2 7 2" xfId="6151" xr:uid="{00000000-0005-0000-0000-000077000000}"/>
    <cellStyle name="=C:\WINNT\SYSTEM32\COMMAND.COM 2 7 3" xfId="8668" xr:uid="{00000000-0005-0000-0000-000078000000}"/>
    <cellStyle name="=C:\WINNT\SYSTEM32\COMMAND.COM 2 8" xfId="3893" xr:uid="{00000000-0005-0000-0000-000079000000}"/>
    <cellStyle name="=C:\WINNT\SYSTEM32\COMMAND.COM 2 9" xfId="6322" xr:uid="{00000000-0005-0000-0000-00007A000000}"/>
    <cellStyle name="=C:\WINNT\SYSTEM32\COMMAND.COM 3" xfId="1047" xr:uid="{00000000-0005-0000-0000-00007B000000}"/>
    <cellStyle name="=C:\WINNT\SYSTEM32\COMMAND.COM 3 2" xfId="1159" xr:uid="{00000000-0005-0000-0000-00007C000000}"/>
    <cellStyle name="=C:\WINNT\SYSTEM32\COMMAND.COM 3 2 2" xfId="2128" xr:uid="{00000000-0005-0000-0000-00007D000000}"/>
    <cellStyle name="=C:\WINNT\SYSTEM32\COMMAND.COM 3 2 3" xfId="3901" xr:uid="{00000000-0005-0000-0000-00007E000000}"/>
    <cellStyle name="=C:\WINNT\SYSTEM32\COMMAND.COM 3 2 4" xfId="6414" xr:uid="{00000000-0005-0000-0000-00007F000000}"/>
    <cellStyle name="=C:\WINNT\SYSTEM32\COMMAND.COM 3 3" xfId="2617" xr:uid="{00000000-0005-0000-0000-000080000000}"/>
    <cellStyle name="=C:\WINNT\SYSTEM32\COMMAND.COM 3 3 2" xfId="3902" xr:uid="{00000000-0005-0000-0000-000081000000}"/>
    <cellStyle name="=C:\WINNT\SYSTEM32\COMMAND.COM 3 3 3" xfId="7834" xr:uid="{00000000-0005-0000-0000-000082000000}"/>
    <cellStyle name="=C:\WINNT\SYSTEM32\COMMAND.COM 3 4" xfId="3077" xr:uid="{00000000-0005-0000-0000-000083000000}"/>
    <cellStyle name="=C:\WINNT\SYSTEM32\COMMAND.COM 3 4 2" xfId="4728" xr:uid="{00000000-0005-0000-0000-000084000000}"/>
    <cellStyle name="=C:\WINNT\SYSTEM32\COMMAND.COM 3 4 3" xfId="8133" xr:uid="{00000000-0005-0000-0000-000085000000}"/>
    <cellStyle name="=C:\WINNT\SYSTEM32\COMMAND.COM 3 5" xfId="3900" xr:uid="{00000000-0005-0000-0000-000086000000}"/>
    <cellStyle name="=C:\WINNT\SYSTEM32\COMMAND.COM 3 6" xfId="6328" xr:uid="{00000000-0005-0000-0000-000087000000}"/>
    <cellStyle name="=C:\WINNT\SYSTEM32\COMMAND.COM 4" xfId="1045" xr:uid="{00000000-0005-0000-0000-000088000000}"/>
    <cellStyle name="=C:\WINNT\SYSTEM32\COMMAND.COM 4 2" xfId="2129" xr:uid="{00000000-0005-0000-0000-000089000000}"/>
    <cellStyle name="=C:\WINNT\SYSTEM32\COMMAND.COM 4 2 2" xfId="3904" xr:uid="{00000000-0005-0000-0000-00008A000000}"/>
    <cellStyle name="=C:\WINNT\SYSTEM32\COMMAND.COM 4 2 3" xfId="7369" xr:uid="{00000000-0005-0000-0000-00008B000000}"/>
    <cellStyle name="=C:\WINNT\SYSTEM32\COMMAND.COM 4 3" xfId="2616" xr:uid="{00000000-0005-0000-0000-00008C000000}"/>
    <cellStyle name="=C:\WINNT\SYSTEM32\COMMAND.COM 4 3 2" xfId="3756" xr:uid="{00000000-0005-0000-0000-00008D000000}"/>
    <cellStyle name="=C:\WINNT\SYSTEM32\COMMAND.COM 4 3 2 2" xfId="6152" xr:uid="{00000000-0005-0000-0000-00008E000000}"/>
    <cellStyle name="=C:\WINNT\SYSTEM32\COMMAND.COM 4 3 2 3" xfId="8669" xr:uid="{00000000-0005-0000-0000-00008F000000}"/>
    <cellStyle name="=C:\WINNT\SYSTEM32\COMMAND.COM 4 3 3" xfId="4581" xr:uid="{00000000-0005-0000-0000-000090000000}"/>
    <cellStyle name="=C:\WINNT\SYSTEM32\COMMAND.COM 4 3 4" xfId="7833" xr:uid="{00000000-0005-0000-0000-000091000000}"/>
    <cellStyle name="=C:\WINNT\SYSTEM32\COMMAND.COM 4 4" xfId="3003" xr:uid="{00000000-0005-0000-0000-000092000000}"/>
    <cellStyle name="=C:\WINNT\SYSTEM32\COMMAND.COM 4 4 2" xfId="4665" xr:uid="{00000000-0005-0000-0000-000093000000}"/>
    <cellStyle name="=C:\WINNT\SYSTEM32\COMMAND.COM 4 4 3" xfId="8059" xr:uid="{00000000-0005-0000-0000-000094000000}"/>
    <cellStyle name="=C:\WINNT\SYSTEM32\COMMAND.COM 4 5" xfId="3752" xr:uid="{00000000-0005-0000-0000-000095000000}"/>
    <cellStyle name="=C:\WINNT\SYSTEM32\COMMAND.COM 4 5 2" xfId="6149" xr:uid="{00000000-0005-0000-0000-000096000000}"/>
    <cellStyle name="=C:\WINNT\SYSTEM32\COMMAND.COM 4 5 3" xfId="8665" xr:uid="{00000000-0005-0000-0000-000097000000}"/>
    <cellStyle name="=C:\WINNT\SYSTEM32\COMMAND.COM 4 6" xfId="2802" xr:uid="{00000000-0005-0000-0000-000098000000}"/>
    <cellStyle name="=C:\WINNT\SYSTEM32\COMMAND.COM 4 7" xfId="3903" xr:uid="{00000000-0005-0000-0000-000099000000}"/>
    <cellStyle name="=C:\WINNT\SYSTEM32\COMMAND.COM 4 8" xfId="6326" xr:uid="{00000000-0005-0000-0000-00009A000000}"/>
    <cellStyle name="=C:\WINNT\SYSTEM32\COMMAND.COM 5" xfId="2122" xr:uid="{00000000-0005-0000-0000-00009B000000}"/>
    <cellStyle name="=C:\WINNT\SYSTEM32\COMMAND.COM 5 2" xfId="3905" xr:uid="{00000000-0005-0000-0000-00009C000000}"/>
    <cellStyle name="=C:\WINNT\SYSTEM32\COMMAND.COM 5 3" xfId="7363" xr:uid="{00000000-0005-0000-0000-00009D000000}"/>
    <cellStyle name="=C:\WINNT\SYSTEM32\COMMAND.COM 6" xfId="2615" xr:uid="{00000000-0005-0000-0000-00009E000000}"/>
    <cellStyle name="=C:\WINNT\SYSTEM32\COMMAND.COM 6 2" xfId="2925" xr:uid="{00000000-0005-0000-0000-00009F000000}"/>
    <cellStyle name="=C:\WINNT\SYSTEM32\COMMAND.COM 6 2 2" xfId="4594" xr:uid="{00000000-0005-0000-0000-0000A0000000}"/>
    <cellStyle name="=C:\WINNT\SYSTEM32\COMMAND.COM 6 2 3" xfId="7982" xr:uid="{00000000-0005-0000-0000-0000A1000000}"/>
    <cellStyle name="=C:\WINNT\SYSTEM32\COMMAND.COM 6 3" xfId="3018" xr:uid="{00000000-0005-0000-0000-0000A2000000}"/>
    <cellStyle name="=C:\WINNT\SYSTEM32\COMMAND.COM 6 3 2" xfId="4678" xr:uid="{00000000-0005-0000-0000-0000A3000000}"/>
    <cellStyle name="=C:\WINNT\SYSTEM32\COMMAND.COM 6 3 3" xfId="8074" xr:uid="{00000000-0005-0000-0000-0000A4000000}"/>
    <cellStyle name="=C:\WINNT\SYSTEM32\COMMAND.COM 6 4" xfId="3797" xr:uid="{00000000-0005-0000-0000-0000A5000000}"/>
    <cellStyle name="=C:\WINNT\SYSTEM32\COMMAND.COM 6 4 2" xfId="6187" xr:uid="{00000000-0005-0000-0000-0000A6000000}"/>
    <cellStyle name="=C:\WINNT\SYSTEM32\COMMAND.COM 6 4 3" xfId="8708" xr:uid="{00000000-0005-0000-0000-0000A7000000}"/>
    <cellStyle name="=C:\WINNT\SYSTEM32\COMMAND.COM 6 5" xfId="2819" xr:uid="{00000000-0005-0000-0000-0000A8000000}"/>
    <cellStyle name="=C:\WINNT\SYSTEM32\COMMAND.COM 6 6" xfId="3906" xr:uid="{00000000-0005-0000-0000-0000A9000000}"/>
    <cellStyle name="=C:\WINNT\SYSTEM32\COMMAND.COM 6 7" xfId="7832" xr:uid="{00000000-0005-0000-0000-0000AA000000}"/>
    <cellStyle name="=C:\WINNT\SYSTEM32\COMMAND.COM 7" xfId="3754" xr:uid="{00000000-0005-0000-0000-0000AB000000}"/>
    <cellStyle name="=C:\WINNT\SYSTEM32\COMMAND.COM 7 2" xfId="6150" xr:uid="{00000000-0005-0000-0000-0000AC000000}"/>
    <cellStyle name="=C:\WINNT\SYSTEM32\COMMAND.COM 7 3" xfId="8667" xr:uid="{00000000-0005-0000-0000-0000AD000000}"/>
    <cellStyle name="=C:\WINNT\SYSTEM32\COMMAND.COM 8" xfId="3860" xr:uid="{00000000-0005-0000-0000-0000AE000000}"/>
    <cellStyle name="=C:\WINNT\SYSTEM32\COMMAND.COM 9" xfId="6321" xr:uid="{00000000-0005-0000-0000-0000AF000000}"/>
    <cellStyle name="=C:\WINNT\SYSTEM32\COMMAND.COM_IEAG 2009 Versão base_1_IEAG 2009 Versão base" xfId="2611" xr:uid="{00000000-0005-0000-0000-0000B0000000}"/>
    <cellStyle name="20% - Accent1" xfId="37" xr:uid="{00000000-0005-0000-0000-0000B1000000}"/>
    <cellStyle name="20% - Accent1 10" xfId="2610" xr:uid="{00000000-0005-0000-0000-0000B2000000}"/>
    <cellStyle name="20% - Accent1 2" xfId="1048" xr:uid="{00000000-0005-0000-0000-0000B3000000}"/>
    <cellStyle name="20% - Accent1 2 2" xfId="2885" xr:uid="{00000000-0005-0000-0000-0000B4000000}"/>
    <cellStyle name="20% - Accent1 2 2 2" xfId="3819" xr:uid="{00000000-0005-0000-0000-0000B5000000}"/>
    <cellStyle name="20% - Accent1 2 2 2 2" xfId="6204" xr:uid="{00000000-0005-0000-0000-0000B6000000}"/>
    <cellStyle name="20% - Accent1 2 2 2 3" xfId="8730" xr:uid="{00000000-0005-0000-0000-0000B7000000}"/>
    <cellStyle name="20% - Accent1 2 2 3" xfId="4552" xr:uid="{00000000-0005-0000-0000-0000B8000000}"/>
    <cellStyle name="20% - Accent1 2 2 4" xfId="7944" xr:uid="{00000000-0005-0000-0000-0000B9000000}"/>
    <cellStyle name="20% - Accent1 2 3" xfId="2975" xr:uid="{00000000-0005-0000-0000-0000BA000000}"/>
    <cellStyle name="20% - Accent1 2 3 2" xfId="4637" xr:uid="{00000000-0005-0000-0000-0000BB000000}"/>
    <cellStyle name="20% - Accent1 2 3 3" xfId="8031" xr:uid="{00000000-0005-0000-0000-0000BC000000}"/>
    <cellStyle name="20% - Accent1 2 4" xfId="3078" xr:uid="{00000000-0005-0000-0000-0000BD000000}"/>
    <cellStyle name="20% - Accent1 2 4 2" xfId="4729" xr:uid="{00000000-0005-0000-0000-0000BE000000}"/>
    <cellStyle name="20% - Accent1 2 4 3" xfId="8134" xr:uid="{00000000-0005-0000-0000-0000BF000000}"/>
    <cellStyle name="20% - Accent1 2 5" xfId="2771" xr:uid="{00000000-0005-0000-0000-0000C0000000}"/>
    <cellStyle name="20% - Accent1 2 6" xfId="3908" xr:uid="{00000000-0005-0000-0000-0000C1000000}"/>
    <cellStyle name="20% - Accent1 2 7" xfId="6329" xr:uid="{00000000-0005-0000-0000-0000C2000000}"/>
    <cellStyle name="20% - Accent1 3" xfId="2884" xr:uid="{00000000-0005-0000-0000-0000C3000000}"/>
    <cellStyle name="20% - Accent1 3 2" xfId="3079" xr:uid="{00000000-0005-0000-0000-0000C4000000}"/>
    <cellStyle name="20% - Accent1 3 2 2" xfId="4730" xr:uid="{00000000-0005-0000-0000-0000C5000000}"/>
    <cellStyle name="20% - Accent1 3 2 3" xfId="8135" xr:uid="{00000000-0005-0000-0000-0000C6000000}"/>
    <cellStyle name="20% - Accent1 3 3" xfId="4551" xr:uid="{00000000-0005-0000-0000-0000C7000000}"/>
    <cellStyle name="20% - Accent1 3 4" xfId="7943" xr:uid="{00000000-0005-0000-0000-0000C8000000}"/>
    <cellStyle name="20% - Accent1 4" xfId="2974" xr:uid="{00000000-0005-0000-0000-0000C9000000}"/>
    <cellStyle name="20% - Accent1 4 2" xfId="3080" xr:uid="{00000000-0005-0000-0000-0000CA000000}"/>
    <cellStyle name="20% - Accent1 4 2 2" xfId="4731" xr:uid="{00000000-0005-0000-0000-0000CB000000}"/>
    <cellStyle name="20% - Accent1 4 2 3" xfId="8136" xr:uid="{00000000-0005-0000-0000-0000CC000000}"/>
    <cellStyle name="20% - Accent1 4 3" xfId="4636" xr:uid="{00000000-0005-0000-0000-0000CD000000}"/>
    <cellStyle name="20% - Accent1 4 4" xfId="8030" xr:uid="{00000000-0005-0000-0000-0000CE000000}"/>
    <cellStyle name="20% - Accent1 5" xfId="3081" xr:uid="{00000000-0005-0000-0000-0000CF000000}"/>
    <cellStyle name="20% - Accent1 5 2" xfId="4732" xr:uid="{00000000-0005-0000-0000-0000D0000000}"/>
    <cellStyle name="20% - Accent1 5 3" xfId="8137" xr:uid="{00000000-0005-0000-0000-0000D1000000}"/>
    <cellStyle name="20% - Accent1 6" xfId="3082" xr:uid="{00000000-0005-0000-0000-0000D2000000}"/>
    <cellStyle name="20% - Accent1 6 2" xfId="4733" xr:uid="{00000000-0005-0000-0000-0000D3000000}"/>
    <cellStyle name="20% - Accent1 6 3" xfId="8138" xr:uid="{00000000-0005-0000-0000-0000D4000000}"/>
    <cellStyle name="20% - Accent1 7" xfId="2770" xr:uid="{00000000-0005-0000-0000-0000D5000000}"/>
    <cellStyle name="20% - Accent1 8" xfId="3907" xr:uid="{00000000-0005-0000-0000-0000D6000000}"/>
    <cellStyle name="20% - Accent1 9" xfId="7828" xr:uid="{00000000-0005-0000-0000-0000D7000000}"/>
    <cellStyle name="20% - Accent2" xfId="38" xr:uid="{00000000-0005-0000-0000-0000D8000000}"/>
    <cellStyle name="20% - Accent2 10" xfId="2609" xr:uid="{00000000-0005-0000-0000-0000D9000000}"/>
    <cellStyle name="20% - Accent2 2" xfId="1049" xr:uid="{00000000-0005-0000-0000-0000DA000000}"/>
    <cellStyle name="20% - Accent2 2 2" xfId="2887" xr:uid="{00000000-0005-0000-0000-0000DB000000}"/>
    <cellStyle name="20% - Accent2 2 2 2" xfId="3589" xr:uid="{00000000-0005-0000-0000-0000DC000000}"/>
    <cellStyle name="20% - Accent2 2 2 2 2" xfId="5201" xr:uid="{00000000-0005-0000-0000-0000DD000000}"/>
    <cellStyle name="20% - Accent2 2 2 2 3" xfId="8573" xr:uid="{00000000-0005-0000-0000-0000DE000000}"/>
    <cellStyle name="20% - Accent2 2 2 3" xfId="4554" xr:uid="{00000000-0005-0000-0000-0000DF000000}"/>
    <cellStyle name="20% - Accent2 2 2 4" xfId="7946" xr:uid="{00000000-0005-0000-0000-0000E0000000}"/>
    <cellStyle name="20% - Accent2 2 3" xfId="2977" xr:uid="{00000000-0005-0000-0000-0000E1000000}"/>
    <cellStyle name="20% - Accent2 2 3 2" xfId="4639" xr:uid="{00000000-0005-0000-0000-0000E2000000}"/>
    <cellStyle name="20% - Accent2 2 3 3" xfId="8033" xr:uid="{00000000-0005-0000-0000-0000E3000000}"/>
    <cellStyle name="20% - Accent2 2 4" xfId="3083" xr:uid="{00000000-0005-0000-0000-0000E4000000}"/>
    <cellStyle name="20% - Accent2 2 4 2" xfId="4734" xr:uid="{00000000-0005-0000-0000-0000E5000000}"/>
    <cellStyle name="20% - Accent2 2 4 3" xfId="8139" xr:uid="{00000000-0005-0000-0000-0000E6000000}"/>
    <cellStyle name="20% - Accent2 2 5" xfId="2773" xr:uid="{00000000-0005-0000-0000-0000E7000000}"/>
    <cellStyle name="20% - Accent2 2 6" xfId="3910" xr:uid="{00000000-0005-0000-0000-0000E8000000}"/>
    <cellStyle name="20% - Accent2 2 7" xfId="6330" xr:uid="{00000000-0005-0000-0000-0000E9000000}"/>
    <cellStyle name="20% - Accent2 3" xfId="2886" xr:uid="{00000000-0005-0000-0000-0000EA000000}"/>
    <cellStyle name="20% - Accent2 3 2" xfId="3084" xr:uid="{00000000-0005-0000-0000-0000EB000000}"/>
    <cellStyle name="20% - Accent2 3 2 2" xfId="4735" xr:uid="{00000000-0005-0000-0000-0000EC000000}"/>
    <cellStyle name="20% - Accent2 3 2 3" xfId="8140" xr:uid="{00000000-0005-0000-0000-0000ED000000}"/>
    <cellStyle name="20% - Accent2 3 3" xfId="3796" xr:uid="{00000000-0005-0000-0000-0000EE000000}"/>
    <cellStyle name="20% - Accent2 3 3 2" xfId="6186" xr:uid="{00000000-0005-0000-0000-0000EF000000}"/>
    <cellStyle name="20% - Accent2 3 3 3" xfId="8707" xr:uid="{00000000-0005-0000-0000-0000F0000000}"/>
    <cellStyle name="20% - Accent2 3 4" xfId="4553" xr:uid="{00000000-0005-0000-0000-0000F1000000}"/>
    <cellStyle name="20% - Accent2 3 5" xfId="7945" xr:uid="{00000000-0005-0000-0000-0000F2000000}"/>
    <cellStyle name="20% - Accent2 4" xfId="2976" xr:uid="{00000000-0005-0000-0000-0000F3000000}"/>
    <cellStyle name="20% - Accent2 4 2" xfId="3085" xr:uid="{00000000-0005-0000-0000-0000F4000000}"/>
    <cellStyle name="20% - Accent2 4 2 2" xfId="4736" xr:uid="{00000000-0005-0000-0000-0000F5000000}"/>
    <cellStyle name="20% - Accent2 4 2 3" xfId="8141" xr:uid="{00000000-0005-0000-0000-0000F6000000}"/>
    <cellStyle name="20% - Accent2 4 3" xfId="4638" xr:uid="{00000000-0005-0000-0000-0000F7000000}"/>
    <cellStyle name="20% - Accent2 4 4" xfId="8032" xr:uid="{00000000-0005-0000-0000-0000F8000000}"/>
    <cellStyle name="20% - Accent2 5" xfId="3086" xr:uid="{00000000-0005-0000-0000-0000F9000000}"/>
    <cellStyle name="20% - Accent2 5 2" xfId="4737" xr:uid="{00000000-0005-0000-0000-0000FA000000}"/>
    <cellStyle name="20% - Accent2 5 3" xfId="8142" xr:uid="{00000000-0005-0000-0000-0000FB000000}"/>
    <cellStyle name="20% - Accent2 6" xfId="3087" xr:uid="{00000000-0005-0000-0000-0000FC000000}"/>
    <cellStyle name="20% - Accent2 6 2" xfId="4738" xr:uid="{00000000-0005-0000-0000-0000FD000000}"/>
    <cellStyle name="20% - Accent2 6 3" xfId="8143" xr:uid="{00000000-0005-0000-0000-0000FE000000}"/>
    <cellStyle name="20% - Accent2 7" xfId="2772" xr:uid="{00000000-0005-0000-0000-0000FF000000}"/>
    <cellStyle name="20% - Accent2 8" xfId="3909" xr:uid="{00000000-0005-0000-0000-000000010000}"/>
    <cellStyle name="20% - Accent2 9" xfId="7827" xr:uid="{00000000-0005-0000-0000-000001010000}"/>
    <cellStyle name="20% - Accent3" xfId="39" xr:uid="{00000000-0005-0000-0000-000002010000}"/>
    <cellStyle name="20% - Accent3 10" xfId="2608" xr:uid="{00000000-0005-0000-0000-000003010000}"/>
    <cellStyle name="20% - Accent3 2" xfId="1050" xr:uid="{00000000-0005-0000-0000-000004010000}"/>
    <cellStyle name="20% - Accent3 2 2" xfId="2889" xr:uid="{00000000-0005-0000-0000-000005010000}"/>
    <cellStyle name="20% - Accent3 2 2 2" xfId="3593" xr:uid="{00000000-0005-0000-0000-000006010000}"/>
    <cellStyle name="20% - Accent3 2 2 2 2" xfId="5205" xr:uid="{00000000-0005-0000-0000-000007010000}"/>
    <cellStyle name="20% - Accent3 2 2 2 3" xfId="8577" xr:uid="{00000000-0005-0000-0000-000008010000}"/>
    <cellStyle name="20% - Accent3 2 2 3" xfId="4556" xr:uid="{00000000-0005-0000-0000-000009010000}"/>
    <cellStyle name="20% - Accent3 2 2 4" xfId="7948" xr:uid="{00000000-0005-0000-0000-00000A010000}"/>
    <cellStyle name="20% - Accent3 2 3" xfId="2979" xr:uid="{00000000-0005-0000-0000-00000B010000}"/>
    <cellStyle name="20% - Accent3 2 3 2" xfId="4641" xr:uid="{00000000-0005-0000-0000-00000C010000}"/>
    <cellStyle name="20% - Accent3 2 3 3" xfId="8035" xr:uid="{00000000-0005-0000-0000-00000D010000}"/>
    <cellStyle name="20% - Accent3 2 4" xfId="3088" xr:uid="{00000000-0005-0000-0000-00000E010000}"/>
    <cellStyle name="20% - Accent3 2 4 2" xfId="4739" xr:uid="{00000000-0005-0000-0000-00000F010000}"/>
    <cellStyle name="20% - Accent3 2 4 3" xfId="8144" xr:uid="{00000000-0005-0000-0000-000010010000}"/>
    <cellStyle name="20% - Accent3 2 5" xfId="2775" xr:uid="{00000000-0005-0000-0000-000011010000}"/>
    <cellStyle name="20% - Accent3 2 6" xfId="3912" xr:uid="{00000000-0005-0000-0000-000012010000}"/>
    <cellStyle name="20% - Accent3 2 7" xfId="6331" xr:uid="{00000000-0005-0000-0000-000013010000}"/>
    <cellStyle name="20% - Accent3 3" xfId="2888" xr:uid="{00000000-0005-0000-0000-000014010000}"/>
    <cellStyle name="20% - Accent3 3 2" xfId="3089" xr:uid="{00000000-0005-0000-0000-000015010000}"/>
    <cellStyle name="20% - Accent3 3 2 2" xfId="4740" xr:uid="{00000000-0005-0000-0000-000016010000}"/>
    <cellStyle name="20% - Accent3 3 2 3" xfId="8145" xr:uid="{00000000-0005-0000-0000-000017010000}"/>
    <cellStyle name="20% - Accent3 3 3" xfId="3843" xr:uid="{00000000-0005-0000-0000-000018010000}"/>
    <cellStyle name="20% - Accent3 3 3 2" xfId="6223" xr:uid="{00000000-0005-0000-0000-000019010000}"/>
    <cellStyle name="20% - Accent3 3 3 3" xfId="8754" xr:uid="{00000000-0005-0000-0000-00001A010000}"/>
    <cellStyle name="20% - Accent3 3 4" xfId="4555" xr:uid="{00000000-0005-0000-0000-00001B010000}"/>
    <cellStyle name="20% - Accent3 3 5" xfId="7947" xr:uid="{00000000-0005-0000-0000-00001C010000}"/>
    <cellStyle name="20% - Accent3 4" xfId="2978" xr:uid="{00000000-0005-0000-0000-00001D010000}"/>
    <cellStyle name="20% - Accent3 4 2" xfId="3090" xr:uid="{00000000-0005-0000-0000-00001E010000}"/>
    <cellStyle name="20% - Accent3 4 2 2" xfId="4741" xr:uid="{00000000-0005-0000-0000-00001F010000}"/>
    <cellStyle name="20% - Accent3 4 2 3" xfId="8146" xr:uid="{00000000-0005-0000-0000-000020010000}"/>
    <cellStyle name="20% - Accent3 4 3" xfId="4640" xr:uid="{00000000-0005-0000-0000-000021010000}"/>
    <cellStyle name="20% - Accent3 4 4" xfId="8034" xr:uid="{00000000-0005-0000-0000-000022010000}"/>
    <cellStyle name="20% - Accent3 5" xfId="3091" xr:uid="{00000000-0005-0000-0000-000023010000}"/>
    <cellStyle name="20% - Accent3 5 2" xfId="4742" xr:uid="{00000000-0005-0000-0000-000024010000}"/>
    <cellStyle name="20% - Accent3 5 3" xfId="8147" xr:uid="{00000000-0005-0000-0000-000025010000}"/>
    <cellStyle name="20% - Accent3 6" xfId="3092" xr:uid="{00000000-0005-0000-0000-000026010000}"/>
    <cellStyle name="20% - Accent3 6 2" xfId="4743" xr:uid="{00000000-0005-0000-0000-000027010000}"/>
    <cellStyle name="20% - Accent3 6 3" xfId="8148" xr:uid="{00000000-0005-0000-0000-000028010000}"/>
    <cellStyle name="20% - Accent3 7" xfId="2774" xr:uid="{00000000-0005-0000-0000-000029010000}"/>
    <cellStyle name="20% - Accent3 8" xfId="3911" xr:uid="{00000000-0005-0000-0000-00002A010000}"/>
    <cellStyle name="20% - Accent3 9" xfId="7826" xr:uid="{00000000-0005-0000-0000-00002B010000}"/>
    <cellStyle name="20% - Accent4" xfId="40" xr:uid="{00000000-0005-0000-0000-00002C010000}"/>
    <cellStyle name="20% - Accent4 10" xfId="2607" xr:uid="{00000000-0005-0000-0000-00002D010000}"/>
    <cellStyle name="20% - Accent4 2" xfId="1051" xr:uid="{00000000-0005-0000-0000-00002E010000}"/>
    <cellStyle name="20% - Accent4 2 2" xfId="2891" xr:uid="{00000000-0005-0000-0000-00002F010000}"/>
    <cellStyle name="20% - Accent4 2 2 2" xfId="3597" xr:uid="{00000000-0005-0000-0000-000030010000}"/>
    <cellStyle name="20% - Accent4 2 2 2 2" xfId="5209" xr:uid="{00000000-0005-0000-0000-000031010000}"/>
    <cellStyle name="20% - Accent4 2 2 2 3" xfId="8581" xr:uid="{00000000-0005-0000-0000-000032010000}"/>
    <cellStyle name="20% - Accent4 2 2 3" xfId="4558" xr:uid="{00000000-0005-0000-0000-000033010000}"/>
    <cellStyle name="20% - Accent4 2 2 4" xfId="7950" xr:uid="{00000000-0005-0000-0000-000034010000}"/>
    <cellStyle name="20% - Accent4 2 3" xfId="2981" xr:uid="{00000000-0005-0000-0000-000035010000}"/>
    <cellStyle name="20% - Accent4 2 3 2" xfId="4643" xr:uid="{00000000-0005-0000-0000-000036010000}"/>
    <cellStyle name="20% - Accent4 2 3 3" xfId="8037" xr:uid="{00000000-0005-0000-0000-000037010000}"/>
    <cellStyle name="20% - Accent4 2 4" xfId="3093" xr:uid="{00000000-0005-0000-0000-000038010000}"/>
    <cellStyle name="20% - Accent4 2 4 2" xfId="4744" xr:uid="{00000000-0005-0000-0000-000039010000}"/>
    <cellStyle name="20% - Accent4 2 4 3" xfId="8149" xr:uid="{00000000-0005-0000-0000-00003A010000}"/>
    <cellStyle name="20% - Accent4 2 5" xfId="2777" xr:uid="{00000000-0005-0000-0000-00003B010000}"/>
    <cellStyle name="20% - Accent4 2 6" xfId="3914" xr:uid="{00000000-0005-0000-0000-00003C010000}"/>
    <cellStyle name="20% - Accent4 2 7" xfId="6332" xr:uid="{00000000-0005-0000-0000-00003D010000}"/>
    <cellStyle name="20% - Accent4 3" xfId="2890" xr:uid="{00000000-0005-0000-0000-00003E010000}"/>
    <cellStyle name="20% - Accent4 3 2" xfId="3094" xr:uid="{00000000-0005-0000-0000-00003F010000}"/>
    <cellStyle name="20% - Accent4 3 2 2" xfId="4745" xr:uid="{00000000-0005-0000-0000-000040010000}"/>
    <cellStyle name="20% - Accent4 3 2 3" xfId="8150" xr:uid="{00000000-0005-0000-0000-000041010000}"/>
    <cellStyle name="20% - Accent4 3 3" xfId="3768" xr:uid="{00000000-0005-0000-0000-000042010000}"/>
    <cellStyle name="20% - Accent4 3 3 2" xfId="6162" xr:uid="{00000000-0005-0000-0000-000043010000}"/>
    <cellStyle name="20% - Accent4 3 3 3" xfId="8680" xr:uid="{00000000-0005-0000-0000-000044010000}"/>
    <cellStyle name="20% - Accent4 3 4" xfId="4557" xr:uid="{00000000-0005-0000-0000-000045010000}"/>
    <cellStyle name="20% - Accent4 3 5" xfId="7949" xr:uid="{00000000-0005-0000-0000-000046010000}"/>
    <cellStyle name="20% - Accent4 4" xfId="2980" xr:uid="{00000000-0005-0000-0000-000047010000}"/>
    <cellStyle name="20% - Accent4 4 2" xfId="3095" xr:uid="{00000000-0005-0000-0000-000048010000}"/>
    <cellStyle name="20% - Accent4 4 2 2" xfId="4746" xr:uid="{00000000-0005-0000-0000-000049010000}"/>
    <cellStyle name="20% - Accent4 4 2 3" xfId="8151" xr:uid="{00000000-0005-0000-0000-00004A010000}"/>
    <cellStyle name="20% - Accent4 4 3" xfId="4642" xr:uid="{00000000-0005-0000-0000-00004B010000}"/>
    <cellStyle name="20% - Accent4 4 4" xfId="8036" xr:uid="{00000000-0005-0000-0000-00004C010000}"/>
    <cellStyle name="20% - Accent4 5" xfId="3096" xr:uid="{00000000-0005-0000-0000-00004D010000}"/>
    <cellStyle name="20% - Accent4 5 2" xfId="4747" xr:uid="{00000000-0005-0000-0000-00004E010000}"/>
    <cellStyle name="20% - Accent4 5 3" xfId="8152" xr:uid="{00000000-0005-0000-0000-00004F010000}"/>
    <cellStyle name="20% - Accent4 6" xfId="3097" xr:uid="{00000000-0005-0000-0000-000050010000}"/>
    <cellStyle name="20% - Accent4 6 2" xfId="4748" xr:uid="{00000000-0005-0000-0000-000051010000}"/>
    <cellStyle name="20% - Accent4 6 3" xfId="8153" xr:uid="{00000000-0005-0000-0000-000052010000}"/>
    <cellStyle name="20% - Accent4 7" xfId="2776" xr:uid="{00000000-0005-0000-0000-000053010000}"/>
    <cellStyle name="20% - Accent4 8" xfId="3913" xr:uid="{00000000-0005-0000-0000-000054010000}"/>
    <cellStyle name="20% - Accent4 9" xfId="7825" xr:uid="{00000000-0005-0000-0000-000055010000}"/>
    <cellStyle name="20% - Accent5" xfId="41" xr:uid="{00000000-0005-0000-0000-000056010000}"/>
    <cellStyle name="20% - Accent5 10" xfId="2606" xr:uid="{00000000-0005-0000-0000-000057010000}"/>
    <cellStyle name="20% - Accent5 2" xfId="1052" xr:uid="{00000000-0005-0000-0000-000058010000}"/>
    <cellStyle name="20% - Accent5 2 2" xfId="2893" xr:uid="{00000000-0005-0000-0000-000059010000}"/>
    <cellStyle name="20% - Accent5 2 2 2" xfId="3601" xr:uid="{00000000-0005-0000-0000-00005A010000}"/>
    <cellStyle name="20% - Accent5 2 2 2 2" xfId="5213" xr:uid="{00000000-0005-0000-0000-00005B010000}"/>
    <cellStyle name="20% - Accent5 2 2 2 3" xfId="8585" xr:uid="{00000000-0005-0000-0000-00005C010000}"/>
    <cellStyle name="20% - Accent5 2 2 3" xfId="4560" xr:uid="{00000000-0005-0000-0000-00005D010000}"/>
    <cellStyle name="20% - Accent5 2 2 4" xfId="7952" xr:uid="{00000000-0005-0000-0000-00005E010000}"/>
    <cellStyle name="20% - Accent5 2 3" xfId="2983" xr:uid="{00000000-0005-0000-0000-00005F010000}"/>
    <cellStyle name="20% - Accent5 2 3 2" xfId="4645" xr:uid="{00000000-0005-0000-0000-000060010000}"/>
    <cellStyle name="20% - Accent5 2 3 3" xfId="8039" xr:uid="{00000000-0005-0000-0000-000061010000}"/>
    <cellStyle name="20% - Accent5 2 4" xfId="3098" xr:uid="{00000000-0005-0000-0000-000062010000}"/>
    <cellStyle name="20% - Accent5 2 4 2" xfId="4749" xr:uid="{00000000-0005-0000-0000-000063010000}"/>
    <cellStyle name="20% - Accent5 2 4 3" xfId="8154" xr:uid="{00000000-0005-0000-0000-000064010000}"/>
    <cellStyle name="20% - Accent5 2 5" xfId="2779" xr:uid="{00000000-0005-0000-0000-000065010000}"/>
    <cellStyle name="20% - Accent5 2 6" xfId="3916" xr:uid="{00000000-0005-0000-0000-000066010000}"/>
    <cellStyle name="20% - Accent5 2 7" xfId="6333" xr:uid="{00000000-0005-0000-0000-000067010000}"/>
    <cellStyle name="20% - Accent5 3" xfId="2892" xr:uid="{00000000-0005-0000-0000-000068010000}"/>
    <cellStyle name="20% - Accent5 3 2" xfId="3099" xr:uid="{00000000-0005-0000-0000-000069010000}"/>
    <cellStyle name="20% - Accent5 3 2 2" xfId="4750" xr:uid="{00000000-0005-0000-0000-00006A010000}"/>
    <cellStyle name="20% - Accent5 3 2 3" xfId="8155" xr:uid="{00000000-0005-0000-0000-00006B010000}"/>
    <cellStyle name="20% - Accent5 3 3" xfId="3757" xr:uid="{00000000-0005-0000-0000-00006C010000}"/>
    <cellStyle name="20% - Accent5 3 3 2" xfId="6153" xr:uid="{00000000-0005-0000-0000-00006D010000}"/>
    <cellStyle name="20% - Accent5 3 3 3" xfId="8670" xr:uid="{00000000-0005-0000-0000-00006E010000}"/>
    <cellStyle name="20% - Accent5 3 4" xfId="4559" xr:uid="{00000000-0005-0000-0000-00006F010000}"/>
    <cellStyle name="20% - Accent5 3 5" xfId="7951" xr:uid="{00000000-0005-0000-0000-000070010000}"/>
    <cellStyle name="20% - Accent5 4" xfId="2982" xr:uid="{00000000-0005-0000-0000-000071010000}"/>
    <cellStyle name="20% - Accent5 4 2" xfId="3100" xr:uid="{00000000-0005-0000-0000-000072010000}"/>
    <cellStyle name="20% - Accent5 4 2 2" xfId="4751" xr:uid="{00000000-0005-0000-0000-000073010000}"/>
    <cellStyle name="20% - Accent5 4 2 3" xfId="8156" xr:uid="{00000000-0005-0000-0000-000074010000}"/>
    <cellStyle name="20% - Accent5 4 3" xfId="4644" xr:uid="{00000000-0005-0000-0000-000075010000}"/>
    <cellStyle name="20% - Accent5 4 4" xfId="8038" xr:uid="{00000000-0005-0000-0000-000076010000}"/>
    <cellStyle name="20% - Accent5 5" xfId="3101" xr:uid="{00000000-0005-0000-0000-000077010000}"/>
    <cellStyle name="20% - Accent5 5 2" xfId="4752" xr:uid="{00000000-0005-0000-0000-000078010000}"/>
    <cellStyle name="20% - Accent5 5 3" xfId="8157" xr:uid="{00000000-0005-0000-0000-000079010000}"/>
    <cellStyle name="20% - Accent5 6" xfId="3102" xr:uid="{00000000-0005-0000-0000-00007A010000}"/>
    <cellStyle name="20% - Accent5 6 2" xfId="4753" xr:uid="{00000000-0005-0000-0000-00007B010000}"/>
    <cellStyle name="20% - Accent5 6 3" xfId="8158" xr:uid="{00000000-0005-0000-0000-00007C010000}"/>
    <cellStyle name="20% - Accent5 7" xfId="2778" xr:uid="{00000000-0005-0000-0000-00007D010000}"/>
    <cellStyle name="20% - Accent5 8" xfId="3915" xr:uid="{00000000-0005-0000-0000-00007E010000}"/>
    <cellStyle name="20% - Accent5 9" xfId="7824" xr:uid="{00000000-0005-0000-0000-00007F010000}"/>
    <cellStyle name="20% - Accent6" xfId="42" xr:uid="{00000000-0005-0000-0000-000080010000}"/>
    <cellStyle name="20% - Accent6 10" xfId="2605" xr:uid="{00000000-0005-0000-0000-000081010000}"/>
    <cellStyle name="20% - Accent6 2" xfId="1053" xr:uid="{00000000-0005-0000-0000-000082010000}"/>
    <cellStyle name="20% - Accent6 2 2" xfId="2895" xr:uid="{00000000-0005-0000-0000-000083010000}"/>
    <cellStyle name="20% - Accent6 2 2 2" xfId="3605" xr:uid="{00000000-0005-0000-0000-000084010000}"/>
    <cellStyle name="20% - Accent6 2 2 2 2" xfId="5217" xr:uid="{00000000-0005-0000-0000-000085010000}"/>
    <cellStyle name="20% - Accent6 2 2 2 3" xfId="8589" xr:uid="{00000000-0005-0000-0000-000086010000}"/>
    <cellStyle name="20% - Accent6 2 2 3" xfId="4562" xr:uid="{00000000-0005-0000-0000-000087010000}"/>
    <cellStyle name="20% - Accent6 2 2 4" xfId="7954" xr:uid="{00000000-0005-0000-0000-000088010000}"/>
    <cellStyle name="20% - Accent6 2 3" xfId="2985" xr:uid="{00000000-0005-0000-0000-000089010000}"/>
    <cellStyle name="20% - Accent6 2 3 2" xfId="4647" xr:uid="{00000000-0005-0000-0000-00008A010000}"/>
    <cellStyle name="20% - Accent6 2 3 3" xfId="8041" xr:uid="{00000000-0005-0000-0000-00008B010000}"/>
    <cellStyle name="20% - Accent6 2 4" xfId="3103" xr:uid="{00000000-0005-0000-0000-00008C010000}"/>
    <cellStyle name="20% - Accent6 2 4 2" xfId="4754" xr:uid="{00000000-0005-0000-0000-00008D010000}"/>
    <cellStyle name="20% - Accent6 2 4 3" xfId="8159" xr:uid="{00000000-0005-0000-0000-00008E010000}"/>
    <cellStyle name="20% - Accent6 2 5" xfId="2781" xr:uid="{00000000-0005-0000-0000-00008F010000}"/>
    <cellStyle name="20% - Accent6 2 6" xfId="3918" xr:uid="{00000000-0005-0000-0000-000090010000}"/>
    <cellStyle name="20% - Accent6 2 7" xfId="6334" xr:uid="{00000000-0005-0000-0000-000091010000}"/>
    <cellStyle name="20% - Accent6 3" xfId="2894" xr:uid="{00000000-0005-0000-0000-000092010000}"/>
    <cellStyle name="20% - Accent6 3 2" xfId="3104" xr:uid="{00000000-0005-0000-0000-000093010000}"/>
    <cellStyle name="20% - Accent6 3 2 2" xfId="4755" xr:uid="{00000000-0005-0000-0000-000094010000}"/>
    <cellStyle name="20% - Accent6 3 2 3" xfId="8160" xr:uid="{00000000-0005-0000-0000-000095010000}"/>
    <cellStyle name="20% - Accent6 3 3" xfId="3790" xr:uid="{00000000-0005-0000-0000-000096010000}"/>
    <cellStyle name="20% - Accent6 3 3 2" xfId="6180" xr:uid="{00000000-0005-0000-0000-000097010000}"/>
    <cellStyle name="20% - Accent6 3 3 3" xfId="8701" xr:uid="{00000000-0005-0000-0000-000098010000}"/>
    <cellStyle name="20% - Accent6 3 4" xfId="4561" xr:uid="{00000000-0005-0000-0000-000099010000}"/>
    <cellStyle name="20% - Accent6 3 5" xfId="7953" xr:uid="{00000000-0005-0000-0000-00009A010000}"/>
    <cellStyle name="20% - Accent6 4" xfId="2984" xr:uid="{00000000-0005-0000-0000-00009B010000}"/>
    <cellStyle name="20% - Accent6 4 2" xfId="3105" xr:uid="{00000000-0005-0000-0000-00009C010000}"/>
    <cellStyle name="20% - Accent6 4 2 2" xfId="4756" xr:uid="{00000000-0005-0000-0000-00009D010000}"/>
    <cellStyle name="20% - Accent6 4 2 3" xfId="8161" xr:uid="{00000000-0005-0000-0000-00009E010000}"/>
    <cellStyle name="20% - Accent6 4 3" xfId="4646" xr:uid="{00000000-0005-0000-0000-00009F010000}"/>
    <cellStyle name="20% - Accent6 4 4" xfId="8040" xr:uid="{00000000-0005-0000-0000-0000A0010000}"/>
    <cellStyle name="20% - Accent6 5" xfId="3106" xr:uid="{00000000-0005-0000-0000-0000A1010000}"/>
    <cellStyle name="20% - Accent6 5 2" xfId="4757" xr:uid="{00000000-0005-0000-0000-0000A2010000}"/>
    <cellStyle name="20% - Accent6 5 3" xfId="8162" xr:uid="{00000000-0005-0000-0000-0000A3010000}"/>
    <cellStyle name="20% - Accent6 6" xfId="3107" xr:uid="{00000000-0005-0000-0000-0000A4010000}"/>
    <cellStyle name="20% - Accent6 6 2" xfId="4758" xr:uid="{00000000-0005-0000-0000-0000A5010000}"/>
    <cellStyle name="20% - Accent6 6 3" xfId="8163" xr:uid="{00000000-0005-0000-0000-0000A6010000}"/>
    <cellStyle name="20% - Accent6 7" xfId="2780" xr:uid="{00000000-0005-0000-0000-0000A7010000}"/>
    <cellStyle name="20% - Accent6 8" xfId="3917" xr:uid="{00000000-0005-0000-0000-0000A8010000}"/>
    <cellStyle name="20% - Accent6 9" xfId="7823" xr:uid="{00000000-0005-0000-0000-0000A9010000}"/>
    <cellStyle name="20% - Cor1 10" xfId="6298" xr:uid="{00000000-0005-0000-0000-0000AA010000}"/>
    <cellStyle name="20% - Cor1 11" xfId="1016" xr:uid="{00000000-0005-0000-0000-0000AB010000}"/>
    <cellStyle name="20% - Cor1 2" xfId="43" xr:uid="{00000000-0005-0000-0000-0000AC010000}"/>
    <cellStyle name="20% - Cor1 2 10" xfId="1186" xr:uid="{00000000-0005-0000-0000-0000AD010000}"/>
    <cellStyle name="20% - Cor1 2 2" xfId="1259" xr:uid="{00000000-0005-0000-0000-0000AE010000}"/>
    <cellStyle name="20% - Cor1 2 2 2" xfId="1530" xr:uid="{00000000-0005-0000-0000-0000AF010000}"/>
    <cellStyle name="20% - Cor1 2 2 2 2" xfId="5557" xr:uid="{00000000-0005-0000-0000-0000B0010000}"/>
    <cellStyle name="20% - Cor1 2 2 2 3" xfId="6782" xr:uid="{00000000-0005-0000-0000-0000B1010000}"/>
    <cellStyle name="20% - Cor1 2 2 3" xfId="1735" xr:uid="{00000000-0005-0000-0000-0000B2010000}"/>
    <cellStyle name="20% - Cor1 2 2 3 2" xfId="5757" xr:uid="{00000000-0005-0000-0000-0000B3010000}"/>
    <cellStyle name="20% - Cor1 2 2 3 3" xfId="6982" xr:uid="{00000000-0005-0000-0000-0000B4010000}"/>
    <cellStyle name="20% - Cor1 2 2 4" xfId="1515" xr:uid="{00000000-0005-0000-0000-0000B5010000}"/>
    <cellStyle name="20% - Cor1 2 2 4 2" xfId="5543" xr:uid="{00000000-0005-0000-0000-0000B6010000}"/>
    <cellStyle name="20% - Cor1 2 2 4 3" xfId="6767" xr:uid="{00000000-0005-0000-0000-0000B7010000}"/>
    <cellStyle name="20% - Cor1 2 2 5" xfId="5296" xr:uid="{00000000-0005-0000-0000-0000B8010000}"/>
    <cellStyle name="20% - Cor1 2 2 6" xfId="6511" xr:uid="{00000000-0005-0000-0000-0000B9010000}"/>
    <cellStyle name="20% - Cor1 2 3" xfId="1306" xr:uid="{00000000-0005-0000-0000-0000BA010000}"/>
    <cellStyle name="20% - Cor1 2 3 2" xfId="1575" xr:uid="{00000000-0005-0000-0000-0000BB010000}"/>
    <cellStyle name="20% - Cor1 2 3 2 2" xfId="5601" xr:uid="{00000000-0005-0000-0000-0000BC010000}"/>
    <cellStyle name="20% - Cor1 2 3 2 3" xfId="6826" xr:uid="{00000000-0005-0000-0000-0000BD010000}"/>
    <cellStyle name="20% - Cor1 2 3 3" xfId="1779" xr:uid="{00000000-0005-0000-0000-0000BE010000}"/>
    <cellStyle name="20% - Cor1 2 3 3 2" xfId="5800" xr:uid="{00000000-0005-0000-0000-0000BF010000}"/>
    <cellStyle name="20% - Cor1 2 3 3 3" xfId="7026" xr:uid="{00000000-0005-0000-0000-0000C0010000}"/>
    <cellStyle name="20% - Cor1 2 3 4" xfId="1961" xr:uid="{00000000-0005-0000-0000-0000C1010000}"/>
    <cellStyle name="20% - Cor1 2 3 4 2" xfId="5981" xr:uid="{00000000-0005-0000-0000-0000C2010000}"/>
    <cellStyle name="20% - Cor1 2 3 4 3" xfId="7208" xr:uid="{00000000-0005-0000-0000-0000C3010000}"/>
    <cellStyle name="20% - Cor1 2 3 5" xfId="5342" xr:uid="{00000000-0005-0000-0000-0000C4010000}"/>
    <cellStyle name="20% - Cor1 2 3 6" xfId="6558" xr:uid="{00000000-0005-0000-0000-0000C5010000}"/>
    <cellStyle name="20% - Cor1 2 4" xfId="1455" xr:uid="{00000000-0005-0000-0000-0000C6010000}"/>
    <cellStyle name="20% - Cor1 2 4 2" xfId="5483" xr:uid="{00000000-0005-0000-0000-0000C7010000}"/>
    <cellStyle name="20% - Cor1 2 4 3" xfId="6707" xr:uid="{00000000-0005-0000-0000-0000C8010000}"/>
    <cellStyle name="20% - Cor1 2 5" xfId="1428" xr:uid="{00000000-0005-0000-0000-0000C9010000}"/>
    <cellStyle name="20% - Cor1 2 5 2" xfId="5458" xr:uid="{00000000-0005-0000-0000-0000CA010000}"/>
    <cellStyle name="20% - Cor1 2 5 3" xfId="6680" xr:uid="{00000000-0005-0000-0000-0000CB010000}"/>
    <cellStyle name="20% - Cor1 2 6" xfId="1688" xr:uid="{00000000-0005-0000-0000-0000CC010000}"/>
    <cellStyle name="20% - Cor1 2 6 2" xfId="5710" xr:uid="{00000000-0005-0000-0000-0000CD010000}"/>
    <cellStyle name="20% - Cor1 2 6 3" xfId="6935" xr:uid="{00000000-0005-0000-0000-0000CE010000}"/>
    <cellStyle name="20% - Cor1 2 7" xfId="2671" xr:uid="{00000000-0005-0000-0000-0000CF010000}"/>
    <cellStyle name="20% - Cor1 2 8" xfId="4759" xr:uid="{00000000-0005-0000-0000-0000D0010000}"/>
    <cellStyle name="20% - Cor1 2 9" xfId="6438" xr:uid="{00000000-0005-0000-0000-0000D1010000}"/>
    <cellStyle name="20% - Cor1 3" xfId="44" xr:uid="{00000000-0005-0000-0000-0000D2010000}"/>
    <cellStyle name="20% - Cor1 3 2" xfId="1340" xr:uid="{00000000-0005-0000-0000-0000D3010000}"/>
    <cellStyle name="20% - Cor1 3 2 2" xfId="1608" xr:uid="{00000000-0005-0000-0000-0000D4010000}"/>
    <cellStyle name="20% - Cor1 3 2 2 2" xfId="5634" xr:uid="{00000000-0005-0000-0000-0000D5010000}"/>
    <cellStyle name="20% - Cor1 3 2 2 3" xfId="6859" xr:uid="{00000000-0005-0000-0000-0000D6010000}"/>
    <cellStyle name="20% - Cor1 3 2 3" xfId="1809" xr:uid="{00000000-0005-0000-0000-0000D7010000}"/>
    <cellStyle name="20% - Cor1 3 2 3 2" xfId="5830" xr:uid="{00000000-0005-0000-0000-0000D8010000}"/>
    <cellStyle name="20% - Cor1 3 2 3 3" xfId="7056" xr:uid="{00000000-0005-0000-0000-0000D9010000}"/>
    <cellStyle name="20% - Cor1 3 2 4" xfId="2010" xr:uid="{00000000-0005-0000-0000-0000DA010000}"/>
    <cellStyle name="20% - Cor1 3 2 4 2" xfId="6029" xr:uid="{00000000-0005-0000-0000-0000DB010000}"/>
    <cellStyle name="20% - Cor1 3 2 4 3" xfId="7257" xr:uid="{00000000-0005-0000-0000-0000DC010000}"/>
    <cellStyle name="20% - Cor1 3 2 5" xfId="5374" xr:uid="{00000000-0005-0000-0000-0000DD010000}"/>
    <cellStyle name="20% - Cor1 3 2 6" xfId="6592" xr:uid="{00000000-0005-0000-0000-0000DE010000}"/>
    <cellStyle name="20% - Cor1 3 3" xfId="1495" xr:uid="{00000000-0005-0000-0000-0000DF010000}"/>
    <cellStyle name="20% - Cor1 3 3 2" xfId="5523" xr:uid="{00000000-0005-0000-0000-0000E0010000}"/>
    <cellStyle name="20% - Cor1 3 3 3" xfId="6747" xr:uid="{00000000-0005-0000-0000-0000E1010000}"/>
    <cellStyle name="20% - Cor1 3 4" xfId="1702" xr:uid="{00000000-0005-0000-0000-0000E2010000}"/>
    <cellStyle name="20% - Cor1 3 4 2" xfId="5724" xr:uid="{00000000-0005-0000-0000-0000E3010000}"/>
    <cellStyle name="20% - Cor1 3 4 3" xfId="6949" xr:uid="{00000000-0005-0000-0000-0000E4010000}"/>
    <cellStyle name="20% - Cor1 3 5" xfId="1916" xr:uid="{00000000-0005-0000-0000-0000E5010000}"/>
    <cellStyle name="20% - Cor1 3 5 2" xfId="5936" xr:uid="{00000000-0005-0000-0000-0000E6010000}"/>
    <cellStyle name="20% - Cor1 3 5 3" xfId="7163" xr:uid="{00000000-0005-0000-0000-0000E7010000}"/>
    <cellStyle name="20% - Cor1 3 6" xfId="5264" xr:uid="{00000000-0005-0000-0000-0000E8010000}"/>
    <cellStyle name="20% - Cor1 3 7" xfId="6477" xr:uid="{00000000-0005-0000-0000-0000E9010000}"/>
    <cellStyle name="20% - Cor1 3 8" xfId="1225" xr:uid="{00000000-0005-0000-0000-0000EA010000}"/>
    <cellStyle name="20% - Cor1 4" xfId="45" xr:uid="{00000000-0005-0000-0000-0000EB010000}"/>
    <cellStyle name="20% - Cor1 4 2" xfId="1491" xr:uid="{00000000-0005-0000-0000-0000EC010000}"/>
    <cellStyle name="20% - Cor1 4 2 2" xfId="5519" xr:uid="{00000000-0005-0000-0000-0000ED010000}"/>
    <cellStyle name="20% - Cor1 4 2 3" xfId="6743" xr:uid="{00000000-0005-0000-0000-0000EE010000}"/>
    <cellStyle name="20% - Cor1 4 3" xfId="1698" xr:uid="{00000000-0005-0000-0000-0000EF010000}"/>
    <cellStyle name="20% - Cor1 4 3 2" xfId="5720" xr:uid="{00000000-0005-0000-0000-0000F0010000}"/>
    <cellStyle name="20% - Cor1 4 3 3" xfId="6945" xr:uid="{00000000-0005-0000-0000-0000F1010000}"/>
    <cellStyle name="20% - Cor1 4 4" xfId="1936" xr:uid="{00000000-0005-0000-0000-0000F2010000}"/>
    <cellStyle name="20% - Cor1 4 4 2" xfId="5956" xr:uid="{00000000-0005-0000-0000-0000F3010000}"/>
    <cellStyle name="20% - Cor1 4 4 3" xfId="7183" xr:uid="{00000000-0005-0000-0000-0000F4010000}"/>
    <cellStyle name="20% - Cor1 4 5" xfId="5260" xr:uid="{00000000-0005-0000-0000-0000F5010000}"/>
    <cellStyle name="20% - Cor1 4 6" xfId="6473" xr:uid="{00000000-0005-0000-0000-0000F6010000}"/>
    <cellStyle name="20% - Cor1 4 7" xfId="1221" xr:uid="{00000000-0005-0000-0000-0000F7010000}"/>
    <cellStyle name="20% - Cor1 5" xfId="1377" xr:uid="{00000000-0005-0000-0000-0000F8010000}"/>
    <cellStyle name="20% - Cor1 5 2" xfId="1647" xr:uid="{00000000-0005-0000-0000-0000F9010000}"/>
    <cellStyle name="20% - Cor1 5 2 2" xfId="5671" xr:uid="{00000000-0005-0000-0000-0000FA010000}"/>
    <cellStyle name="20% - Cor1 5 2 3" xfId="6896" xr:uid="{00000000-0005-0000-0000-0000FB010000}"/>
    <cellStyle name="20% - Cor1 5 3" xfId="1843" xr:uid="{00000000-0005-0000-0000-0000FC010000}"/>
    <cellStyle name="20% - Cor1 5 3 2" xfId="5864" xr:uid="{00000000-0005-0000-0000-0000FD010000}"/>
    <cellStyle name="20% - Cor1 5 3 3" xfId="7090" xr:uid="{00000000-0005-0000-0000-0000FE010000}"/>
    <cellStyle name="20% - Cor1 5 4" xfId="2028" xr:uid="{00000000-0005-0000-0000-0000FF010000}"/>
    <cellStyle name="20% - Cor1 5 4 2" xfId="6047" xr:uid="{00000000-0005-0000-0000-000000020000}"/>
    <cellStyle name="20% - Cor1 5 4 3" xfId="7275" xr:uid="{00000000-0005-0000-0000-000001020000}"/>
    <cellStyle name="20% - Cor1 5 5" xfId="5408" xr:uid="{00000000-0005-0000-0000-000002020000}"/>
    <cellStyle name="20% - Cor1 5 6" xfId="6629" xr:uid="{00000000-0005-0000-0000-000003020000}"/>
    <cellStyle name="20% - Cor1 6" xfId="1391" xr:uid="{00000000-0005-0000-0000-000004020000}"/>
    <cellStyle name="20% - Cor1 6 2" xfId="1661" xr:uid="{00000000-0005-0000-0000-000005020000}"/>
    <cellStyle name="20% - Cor1 6 2 2" xfId="5685" xr:uid="{00000000-0005-0000-0000-000006020000}"/>
    <cellStyle name="20% - Cor1 6 2 3" xfId="6910" xr:uid="{00000000-0005-0000-0000-000007020000}"/>
    <cellStyle name="20% - Cor1 6 3" xfId="1857" xr:uid="{00000000-0005-0000-0000-000008020000}"/>
    <cellStyle name="20% - Cor1 6 3 2" xfId="5878" xr:uid="{00000000-0005-0000-0000-000009020000}"/>
    <cellStyle name="20% - Cor1 6 3 3" xfId="7104" xr:uid="{00000000-0005-0000-0000-00000A020000}"/>
    <cellStyle name="20% - Cor1 6 4" xfId="2042" xr:uid="{00000000-0005-0000-0000-00000B020000}"/>
    <cellStyle name="20% - Cor1 6 4 2" xfId="6061" xr:uid="{00000000-0005-0000-0000-00000C020000}"/>
    <cellStyle name="20% - Cor1 6 4 3" xfId="7289" xr:uid="{00000000-0005-0000-0000-00000D020000}"/>
    <cellStyle name="20% - Cor1 6 5" xfId="5422" xr:uid="{00000000-0005-0000-0000-00000E020000}"/>
    <cellStyle name="20% - Cor1 6 6" xfId="6643" xr:uid="{00000000-0005-0000-0000-00000F020000}"/>
    <cellStyle name="20% - Cor1 7" xfId="1418" xr:uid="{00000000-0005-0000-0000-000010020000}"/>
    <cellStyle name="20% - Cor1 7 2" xfId="1881" xr:uid="{00000000-0005-0000-0000-000011020000}"/>
    <cellStyle name="20% - Cor1 7 2 2" xfId="5901" xr:uid="{00000000-0005-0000-0000-000012020000}"/>
    <cellStyle name="20% - Cor1 7 2 3" xfId="7128" xr:uid="{00000000-0005-0000-0000-000013020000}"/>
    <cellStyle name="20% - Cor1 7 3" xfId="2054" xr:uid="{00000000-0005-0000-0000-000014020000}"/>
    <cellStyle name="20% - Cor1 7 3 2" xfId="6073" xr:uid="{00000000-0005-0000-0000-000015020000}"/>
    <cellStyle name="20% - Cor1 7 3 3" xfId="7301" xr:uid="{00000000-0005-0000-0000-000016020000}"/>
    <cellStyle name="20% - Cor1 7 4" xfId="5448" xr:uid="{00000000-0005-0000-0000-000017020000}"/>
    <cellStyle name="20% - Cor1 7 5" xfId="6670" xr:uid="{00000000-0005-0000-0000-000018020000}"/>
    <cellStyle name="20% - Cor1 8" xfId="1622" xr:uid="{00000000-0005-0000-0000-000019020000}"/>
    <cellStyle name="20% - Cor1 8 2" xfId="2078" xr:uid="{00000000-0005-0000-0000-00001A020000}"/>
    <cellStyle name="20% - Cor1 8 2 2" xfId="6097" xr:uid="{00000000-0005-0000-0000-00001B020000}"/>
    <cellStyle name="20% - Cor1 8 2 3" xfId="7325" xr:uid="{00000000-0005-0000-0000-00001C020000}"/>
    <cellStyle name="20% - Cor1 8 3" xfId="5648" xr:uid="{00000000-0005-0000-0000-00001D020000}"/>
    <cellStyle name="20% - Cor1 8 4" xfId="6873" xr:uid="{00000000-0005-0000-0000-00001E020000}"/>
    <cellStyle name="20% - Cor1 9" xfId="1937" xr:uid="{00000000-0005-0000-0000-00001F020000}"/>
    <cellStyle name="20% - Cor1 9 2" xfId="5957" xr:uid="{00000000-0005-0000-0000-000020020000}"/>
    <cellStyle name="20% - Cor1 9 3" xfId="7184" xr:uid="{00000000-0005-0000-0000-000021020000}"/>
    <cellStyle name="20% - Cor2 10" xfId="6302" xr:uid="{00000000-0005-0000-0000-000022020000}"/>
    <cellStyle name="20% - Cor2 11" xfId="1020" xr:uid="{00000000-0005-0000-0000-000023020000}"/>
    <cellStyle name="20% - Cor2 2" xfId="46" xr:uid="{00000000-0005-0000-0000-000024020000}"/>
    <cellStyle name="20% - Cor2 2 2" xfId="1261" xr:uid="{00000000-0005-0000-0000-000025020000}"/>
    <cellStyle name="20% - Cor2 2 2 2" xfId="1532" xr:uid="{00000000-0005-0000-0000-000026020000}"/>
    <cellStyle name="20% - Cor2 2 2 2 2" xfId="5559" xr:uid="{00000000-0005-0000-0000-000027020000}"/>
    <cellStyle name="20% - Cor2 2 2 2 3" xfId="6784" xr:uid="{00000000-0005-0000-0000-000028020000}"/>
    <cellStyle name="20% - Cor2 2 2 3" xfId="1737" xr:uid="{00000000-0005-0000-0000-000029020000}"/>
    <cellStyle name="20% - Cor2 2 2 3 2" xfId="5759" xr:uid="{00000000-0005-0000-0000-00002A020000}"/>
    <cellStyle name="20% - Cor2 2 2 3 3" xfId="6984" xr:uid="{00000000-0005-0000-0000-00002B020000}"/>
    <cellStyle name="20% - Cor2 2 2 4" xfId="1415" xr:uid="{00000000-0005-0000-0000-00002C020000}"/>
    <cellStyle name="20% - Cor2 2 2 4 2" xfId="5445" xr:uid="{00000000-0005-0000-0000-00002D020000}"/>
    <cellStyle name="20% - Cor2 2 2 4 3" xfId="6667" xr:uid="{00000000-0005-0000-0000-00002E020000}"/>
    <cellStyle name="20% - Cor2 2 2 5" xfId="5298" xr:uid="{00000000-0005-0000-0000-00002F020000}"/>
    <cellStyle name="20% - Cor2 2 2 6" xfId="6513" xr:uid="{00000000-0005-0000-0000-000030020000}"/>
    <cellStyle name="20% - Cor2 2 3" xfId="1308" xr:uid="{00000000-0005-0000-0000-000031020000}"/>
    <cellStyle name="20% - Cor2 2 3 2" xfId="1577" xr:uid="{00000000-0005-0000-0000-000032020000}"/>
    <cellStyle name="20% - Cor2 2 3 2 2" xfId="5603" xr:uid="{00000000-0005-0000-0000-000033020000}"/>
    <cellStyle name="20% - Cor2 2 3 2 3" xfId="6828" xr:uid="{00000000-0005-0000-0000-000034020000}"/>
    <cellStyle name="20% - Cor2 2 3 3" xfId="1781" xr:uid="{00000000-0005-0000-0000-000035020000}"/>
    <cellStyle name="20% - Cor2 2 3 3 2" xfId="5802" xr:uid="{00000000-0005-0000-0000-000036020000}"/>
    <cellStyle name="20% - Cor2 2 3 3 3" xfId="7028" xr:uid="{00000000-0005-0000-0000-000037020000}"/>
    <cellStyle name="20% - Cor2 2 3 4" xfId="2007" xr:uid="{00000000-0005-0000-0000-000038020000}"/>
    <cellStyle name="20% - Cor2 2 3 4 2" xfId="6026" xr:uid="{00000000-0005-0000-0000-000039020000}"/>
    <cellStyle name="20% - Cor2 2 3 4 3" xfId="7254" xr:uid="{00000000-0005-0000-0000-00003A020000}"/>
    <cellStyle name="20% - Cor2 2 3 5" xfId="5344" xr:uid="{00000000-0005-0000-0000-00003B020000}"/>
    <cellStyle name="20% - Cor2 2 3 6" xfId="6560" xr:uid="{00000000-0005-0000-0000-00003C020000}"/>
    <cellStyle name="20% - Cor2 2 4" xfId="1457" xr:uid="{00000000-0005-0000-0000-00003D020000}"/>
    <cellStyle name="20% - Cor2 2 4 2" xfId="5485" xr:uid="{00000000-0005-0000-0000-00003E020000}"/>
    <cellStyle name="20% - Cor2 2 4 3" xfId="6709" xr:uid="{00000000-0005-0000-0000-00003F020000}"/>
    <cellStyle name="20% - Cor2 2 5" xfId="1421" xr:uid="{00000000-0005-0000-0000-000040020000}"/>
    <cellStyle name="20% - Cor2 2 5 2" xfId="5451" xr:uid="{00000000-0005-0000-0000-000041020000}"/>
    <cellStyle name="20% - Cor2 2 5 3" xfId="6673" xr:uid="{00000000-0005-0000-0000-000042020000}"/>
    <cellStyle name="20% - Cor2 2 6" xfId="1806" xr:uid="{00000000-0005-0000-0000-000043020000}"/>
    <cellStyle name="20% - Cor2 2 6 2" xfId="5827" xr:uid="{00000000-0005-0000-0000-000044020000}"/>
    <cellStyle name="20% - Cor2 2 6 3" xfId="7053" xr:uid="{00000000-0005-0000-0000-000045020000}"/>
    <cellStyle name="20% - Cor2 2 7" xfId="5230" xr:uid="{00000000-0005-0000-0000-000046020000}"/>
    <cellStyle name="20% - Cor2 2 8" xfId="6440" xr:uid="{00000000-0005-0000-0000-000047020000}"/>
    <cellStyle name="20% - Cor2 2 9" xfId="1188" xr:uid="{00000000-0005-0000-0000-000048020000}"/>
    <cellStyle name="20% - Cor2 3" xfId="47" xr:uid="{00000000-0005-0000-0000-000049020000}"/>
    <cellStyle name="20% - Cor2 3 2" xfId="1342" xr:uid="{00000000-0005-0000-0000-00004A020000}"/>
    <cellStyle name="20% - Cor2 3 2 2" xfId="1610" xr:uid="{00000000-0005-0000-0000-00004B020000}"/>
    <cellStyle name="20% - Cor2 3 2 2 2" xfId="5636" xr:uid="{00000000-0005-0000-0000-00004C020000}"/>
    <cellStyle name="20% - Cor2 3 2 2 3" xfId="6861" xr:uid="{00000000-0005-0000-0000-00004D020000}"/>
    <cellStyle name="20% - Cor2 3 2 3" xfId="1811" xr:uid="{00000000-0005-0000-0000-00004E020000}"/>
    <cellStyle name="20% - Cor2 3 2 3 2" xfId="5832" xr:uid="{00000000-0005-0000-0000-00004F020000}"/>
    <cellStyle name="20% - Cor2 3 2 3 3" xfId="7058" xr:uid="{00000000-0005-0000-0000-000050020000}"/>
    <cellStyle name="20% - Cor2 3 2 4" xfId="1921" xr:uid="{00000000-0005-0000-0000-000051020000}"/>
    <cellStyle name="20% - Cor2 3 2 4 2" xfId="5941" xr:uid="{00000000-0005-0000-0000-000052020000}"/>
    <cellStyle name="20% - Cor2 3 2 4 3" xfId="7168" xr:uid="{00000000-0005-0000-0000-000053020000}"/>
    <cellStyle name="20% - Cor2 3 2 5" xfId="5376" xr:uid="{00000000-0005-0000-0000-000054020000}"/>
    <cellStyle name="20% - Cor2 3 2 6" xfId="6594" xr:uid="{00000000-0005-0000-0000-000055020000}"/>
    <cellStyle name="20% - Cor2 3 3" xfId="1497" xr:uid="{00000000-0005-0000-0000-000056020000}"/>
    <cellStyle name="20% - Cor2 3 3 2" xfId="5525" xr:uid="{00000000-0005-0000-0000-000057020000}"/>
    <cellStyle name="20% - Cor2 3 3 3" xfId="6749" xr:uid="{00000000-0005-0000-0000-000058020000}"/>
    <cellStyle name="20% - Cor2 3 4" xfId="1704" xr:uid="{00000000-0005-0000-0000-000059020000}"/>
    <cellStyle name="20% - Cor2 3 4 2" xfId="5726" xr:uid="{00000000-0005-0000-0000-00005A020000}"/>
    <cellStyle name="20% - Cor2 3 4 3" xfId="6951" xr:uid="{00000000-0005-0000-0000-00005B020000}"/>
    <cellStyle name="20% - Cor2 3 5" xfId="1953" xr:uid="{00000000-0005-0000-0000-00005C020000}"/>
    <cellStyle name="20% - Cor2 3 5 2" xfId="5973" xr:uid="{00000000-0005-0000-0000-00005D020000}"/>
    <cellStyle name="20% - Cor2 3 5 3" xfId="7200" xr:uid="{00000000-0005-0000-0000-00005E020000}"/>
    <cellStyle name="20% - Cor2 3 6" xfId="5266" xr:uid="{00000000-0005-0000-0000-00005F020000}"/>
    <cellStyle name="20% - Cor2 3 7" xfId="6479" xr:uid="{00000000-0005-0000-0000-000060020000}"/>
    <cellStyle name="20% - Cor2 3 8" xfId="1227" xr:uid="{00000000-0005-0000-0000-000061020000}"/>
    <cellStyle name="20% - Cor2 4" xfId="48" xr:uid="{00000000-0005-0000-0000-000062020000}"/>
    <cellStyle name="20% - Cor2 4 2" xfId="1503" xr:uid="{00000000-0005-0000-0000-000063020000}"/>
    <cellStyle name="20% - Cor2 4 2 2" xfId="5531" xr:uid="{00000000-0005-0000-0000-000064020000}"/>
    <cellStyle name="20% - Cor2 4 2 3" xfId="6755" xr:uid="{00000000-0005-0000-0000-000065020000}"/>
    <cellStyle name="20% - Cor2 4 3" xfId="1710" xr:uid="{00000000-0005-0000-0000-000066020000}"/>
    <cellStyle name="20% - Cor2 4 3 2" xfId="5732" xr:uid="{00000000-0005-0000-0000-000067020000}"/>
    <cellStyle name="20% - Cor2 4 3 3" xfId="6957" xr:uid="{00000000-0005-0000-0000-000068020000}"/>
    <cellStyle name="20% - Cor2 4 4" xfId="1951" xr:uid="{00000000-0005-0000-0000-000069020000}"/>
    <cellStyle name="20% - Cor2 4 4 2" xfId="5971" xr:uid="{00000000-0005-0000-0000-00006A020000}"/>
    <cellStyle name="20% - Cor2 4 4 3" xfId="7198" xr:uid="{00000000-0005-0000-0000-00006B020000}"/>
    <cellStyle name="20% - Cor2 4 5" xfId="5272" xr:uid="{00000000-0005-0000-0000-00006C020000}"/>
    <cellStyle name="20% - Cor2 4 6" xfId="6485" xr:uid="{00000000-0005-0000-0000-00006D020000}"/>
    <cellStyle name="20% - Cor2 4 7" xfId="1233" xr:uid="{00000000-0005-0000-0000-00006E020000}"/>
    <cellStyle name="20% - Cor2 5" xfId="1379" xr:uid="{00000000-0005-0000-0000-00006F020000}"/>
    <cellStyle name="20% - Cor2 5 2" xfId="1649" xr:uid="{00000000-0005-0000-0000-000070020000}"/>
    <cellStyle name="20% - Cor2 5 2 2" xfId="5673" xr:uid="{00000000-0005-0000-0000-000071020000}"/>
    <cellStyle name="20% - Cor2 5 2 3" xfId="6898" xr:uid="{00000000-0005-0000-0000-000072020000}"/>
    <cellStyle name="20% - Cor2 5 3" xfId="1845" xr:uid="{00000000-0005-0000-0000-000073020000}"/>
    <cellStyle name="20% - Cor2 5 3 2" xfId="5866" xr:uid="{00000000-0005-0000-0000-000074020000}"/>
    <cellStyle name="20% - Cor2 5 3 3" xfId="7092" xr:uid="{00000000-0005-0000-0000-000075020000}"/>
    <cellStyle name="20% - Cor2 5 4" xfId="2030" xr:uid="{00000000-0005-0000-0000-000076020000}"/>
    <cellStyle name="20% - Cor2 5 4 2" xfId="6049" xr:uid="{00000000-0005-0000-0000-000077020000}"/>
    <cellStyle name="20% - Cor2 5 4 3" xfId="7277" xr:uid="{00000000-0005-0000-0000-000078020000}"/>
    <cellStyle name="20% - Cor2 5 5" xfId="5410" xr:uid="{00000000-0005-0000-0000-000079020000}"/>
    <cellStyle name="20% - Cor2 5 6" xfId="6631" xr:uid="{00000000-0005-0000-0000-00007A020000}"/>
    <cellStyle name="20% - Cor2 6" xfId="1393" xr:uid="{00000000-0005-0000-0000-00007B020000}"/>
    <cellStyle name="20% - Cor2 6 2" xfId="1663" xr:uid="{00000000-0005-0000-0000-00007C020000}"/>
    <cellStyle name="20% - Cor2 6 2 2" xfId="5687" xr:uid="{00000000-0005-0000-0000-00007D020000}"/>
    <cellStyle name="20% - Cor2 6 2 3" xfId="6912" xr:uid="{00000000-0005-0000-0000-00007E020000}"/>
    <cellStyle name="20% - Cor2 6 3" xfId="1859" xr:uid="{00000000-0005-0000-0000-00007F020000}"/>
    <cellStyle name="20% - Cor2 6 3 2" xfId="5880" xr:uid="{00000000-0005-0000-0000-000080020000}"/>
    <cellStyle name="20% - Cor2 6 3 3" xfId="7106" xr:uid="{00000000-0005-0000-0000-000081020000}"/>
    <cellStyle name="20% - Cor2 6 4" xfId="2044" xr:uid="{00000000-0005-0000-0000-000082020000}"/>
    <cellStyle name="20% - Cor2 6 4 2" xfId="6063" xr:uid="{00000000-0005-0000-0000-000083020000}"/>
    <cellStyle name="20% - Cor2 6 4 3" xfId="7291" xr:uid="{00000000-0005-0000-0000-000084020000}"/>
    <cellStyle name="20% - Cor2 6 5" xfId="5424" xr:uid="{00000000-0005-0000-0000-000085020000}"/>
    <cellStyle name="20% - Cor2 6 6" xfId="6645" xr:uid="{00000000-0005-0000-0000-000086020000}"/>
    <cellStyle name="20% - Cor2 7" xfId="1422" xr:uid="{00000000-0005-0000-0000-000087020000}"/>
    <cellStyle name="20% - Cor2 7 2" xfId="1883" xr:uid="{00000000-0005-0000-0000-000088020000}"/>
    <cellStyle name="20% - Cor2 7 2 2" xfId="5903" xr:uid="{00000000-0005-0000-0000-000089020000}"/>
    <cellStyle name="20% - Cor2 7 2 3" xfId="7130" xr:uid="{00000000-0005-0000-0000-00008A020000}"/>
    <cellStyle name="20% - Cor2 7 3" xfId="2056" xr:uid="{00000000-0005-0000-0000-00008B020000}"/>
    <cellStyle name="20% - Cor2 7 3 2" xfId="6075" xr:uid="{00000000-0005-0000-0000-00008C020000}"/>
    <cellStyle name="20% - Cor2 7 3 3" xfId="7303" xr:uid="{00000000-0005-0000-0000-00008D020000}"/>
    <cellStyle name="20% - Cor2 7 4" xfId="5452" xr:uid="{00000000-0005-0000-0000-00008E020000}"/>
    <cellStyle name="20% - Cor2 7 5" xfId="6674" xr:uid="{00000000-0005-0000-0000-00008F020000}"/>
    <cellStyle name="20% - Cor2 8" xfId="1480" xr:uid="{00000000-0005-0000-0000-000090020000}"/>
    <cellStyle name="20% - Cor2 8 2" xfId="2068" xr:uid="{00000000-0005-0000-0000-000091020000}"/>
    <cellStyle name="20% - Cor2 8 2 2" xfId="6087" xr:uid="{00000000-0005-0000-0000-000092020000}"/>
    <cellStyle name="20% - Cor2 8 2 3" xfId="7315" xr:uid="{00000000-0005-0000-0000-000093020000}"/>
    <cellStyle name="20% - Cor2 8 3" xfId="5508" xr:uid="{00000000-0005-0000-0000-000094020000}"/>
    <cellStyle name="20% - Cor2 8 4" xfId="6732" xr:uid="{00000000-0005-0000-0000-000095020000}"/>
    <cellStyle name="20% - Cor2 9" xfId="1564" xr:uid="{00000000-0005-0000-0000-000096020000}"/>
    <cellStyle name="20% - Cor2 9 2" xfId="5590" xr:uid="{00000000-0005-0000-0000-000097020000}"/>
    <cellStyle name="20% - Cor2 9 3" xfId="6815" xr:uid="{00000000-0005-0000-0000-000098020000}"/>
    <cellStyle name="20% - Cor3 10" xfId="6306" xr:uid="{00000000-0005-0000-0000-000099020000}"/>
    <cellStyle name="20% - Cor3 11" xfId="1024" xr:uid="{00000000-0005-0000-0000-00009A020000}"/>
    <cellStyle name="20% - Cor3 2" xfId="49" xr:uid="{00000000-0005-0000-0000-00009B020000}"/>
    <cellStyle name="20% - Cor3 2 2" xfId="1263" xr:uid="{00000000-0005-0000-0000-00009C020000}"/>
    <cellStyle name="20% - Cor3 2 2 2" xfId="1534" xr:uid="{00000000-0005-0000-0000-00009D020000}"/>
    <cellStyle name="20% - Cor3 2 2 2 2" xfId="5561" xr:uid="{00000000-0005-0000-0000-00009E020000}"/>
    <cellStyle name="20% - Cor3 2 2 2 3" xfId="6786" xr:uid="{00000000-0005-0000-0000-00009F020000}"/>
    <cellStyle name="20% - Cor3 2 2 3" xfId="1739" xr:uid="{00000000-0005-0000-0000-0000A0020000}"/>
    <cellStyle name="20% - Cor3 2 2 3 2" xfId="5761" xr:uid="{00000000-0005-0000-0000-0000A1020000}"/>
    <cellStyle name="20% - Cor3 2 2 3 3" xfId="6986" xr:uid="{00000000-0005-0000-0000-0000A2020000}"/>
    <cellStyle name="20% - Cor3 2 2 4" xfId="1403" xr:uid="{00000000-0005-0000-0000-0000A3020000}"/>
    <cellStyle name="20% - Cor3 2 2 4 2" xfId="5434" xr:uid="{00000000-0005-0000-0000-0000A4020000}"/>
    <cellStyle name="20% - Cor3 2 2 4 3" xfId="6655" xr:uid="{00000000-0005-0000-0000-0000A5020000}"/>
    <cellStyle name="20% - Cor3 2 2 5" xfId="5300" xr:uid="{00000000-0005-0000-0000-0000A6020000}"/>
    <cellStyle name="20% - Cor3 2 2 6" xfId="6515" xr:uid="{00000000-0005-0000-0000-0000A7020000}"/>
    <cellStyle name="20% - Cor3 2 3" xfId="1310" xr:uid="{00000000-0005-0000-0000-0000A8020000}"/>
    <cellStyle name="20% - Cor3 2 3 2" xfId="1579" xr:uid="{00000000-0005-0000-0000-0000A9020000}"/>
    <cellStyle name="20% - Cor3 2 3 2 2" xfId="5605" xr:uid="{00000000-0005-0000-0000-0000AA020000}"/>
    <cellStyle name="20% - Cor3 2 3 2 3" xfId="6830" xr:uid="{00000000-0005-0000-0000-0000AB020000}"/>
    <cellStyle name="20% - Cor3 2 3 3" xfId="1783" xr:uid="{00000000-0005-0000-0000-0000AC020000}"/>
    <cellStyle name="20% - Cor3 2 3 3 2" xfId="5804" xr:uid="{00000000-0005-0000-0000-0000AD020000}"/>
    <cellStyle name="20% - Cor3 2 3 3 3" xfId="7030" xr:uid="{00000000-0005-0000-0000-0000AE020000}"/>
    <cellStyle name="20% - Cor3 2 3 4" xfId="1919" xr:uid="{00000000-0005-0000-0000-0000AF020000}"/>
    <cellStyle name="20% - Cor3 2 3 4 2" xfId="5939" xr:uid="{00000000-0005-0000-0000-0000B0020000}"/>
    <cellStyle name="20% - Cor3 2 3 4 3" xfId="7166" xr:uid="{00000000-0005-0000-0000-0000B1020000}"/>
    <cellStyle name="20% - Cor3 2 3 5" xfId="5346" xr:uid="{00000000-0005-0000-0000-0000B2020000}"/>
    <cellStyle name="20% - Cor3 2 3 6" xfId="6562" xr:uid="{00000000-0005-0000-0000-0000B3020000}"/>
    <cellStyle name="20% - Cor3 2 4" xfId="1459" xr:uid="{00000000-0005-0000-0000-0000B4020000}"/>
    <cellStyle name="20% - Cor3 2 4 2" xfId="5487" xr:uid="{00000000-0005-0000-0000-0000B5020000}"/>
    <cellStyle name="20% - Cor3 2 4 3" xfId="6711" xr:uid="{00000000-0005-0000-0000-0000B6020000}"/>
    <cellStyle name="20% - Cor3 2 5" xfId="1414" xr:uid="{00000000-0005-0000-0000-0000B7020000}"/>
    <cellStyle name="20% - Cor3 2 5 2" xfId="5444" xr:uid="{00000000-0005-0000-0000-0000B8020000}"/>
    <cellStyle name="20% - Cor3 2 5 3" xfId="6666" xr:uid="{00000000-0005-0000-0000-0000B9020000}"/>
    <cellStyle name="20% - Cor3 2 6" xfId="1721" xr:uid="{00000000-0005-0000-0000-0000BA020000}"/>
    <cellStyle name="20% - Cor3 2 6 2" xfId="5743" xr:uid="{00000000-0005-0000-0000-0000BB020000}"/>
    <cellStyle name="20% - Cor3 2 6 3" xfId="6968" xr:uid="{00000000-0005-0000-0000-0000BC020000}"/>
    <cellStyle name="20% - Cor3 2 7" xfId="5232" xr:uid="{00000000-0005-0000-0000-0000BD020000}"/>
    <cellStyle name="20% - Cor3 2 8" xfId="6442" xr:uid="{00000000-0005-0000-0000-0000BE020000}"/>
    <cellStyle name="20% - Cor3 2 9" xfId="1190" xr:uid="{00000000-0005-0000-0000-0000BF020000}"/>
    <cellStyle name="20% - Cor3 3" xfId="50" xr:uid="{00000000-0005-0000-0000-0000C0020000}"/>
    <cellStyle name="20% - Cor3 3 2" xfId="1344" xr:uid="{00000000-0005-0000-0000-0000C1020000}"/>
    <cellStyle name="20% - Cor3 3 2 2" xfId="1612" xr:uid="{00000000-0005-0000-0000-0000C2020000}"/>
    <cellStyle name="20% - Cor3 3 2 2 2" xfId="5638" xr:uid="{00000000-0005-0000-0000-0000C3020000}"/>
    <cellStyle name="20% - Cor3 3 2 2 3" xfId="6863" xr:uid="{00000000-0005-0000-0000-0000C4020000}"/>
    <cellStyle name="20% - Cor3 3 2 3" xfId="1813" xr:uid="{00000000-0005-0000-0000-0000C5020000}"/>
    <cellStyle name="20% - Cor3 3 2 3 2" xfId="5834" xr:uid="{00000000-0005-0000-0000-0000C6020000}"/>
    <cellStyle name="20% - Cor3 3 2 3 3" xfId="7060" xr:uid="{00000000-0005-0000-0000-0000C7020000}"/>
    <cellStyle name="20% - Cor3 3 2 4" xfId="1977" xr:uid="{00000000-0005-0000-0000-0000C8020000}"/>
    <cellStyle name="20% - Cor3 3 2 4 2" xfId="5996" xr:uid="{00000000-0005-0000-0000-0000C9020000}"/>
    <cellStyle name="20% - Cor3 3 2 4 3" xfId="7224" xr:uid="{00000000-0005-0000-0000-0000CA020000}"/>
    <cellStyle name="20% - Cor3 3 2 5" xfId="5378" xr:uid="{00000000-0005-0000-0000-0000CB020000}"/>
    <cellStyle name="20% - Cor3 3 2 6" xfId="6596" xr:uid="{00000000-0005-0000-0000-0000CC020000}"/>
    <cellStyle name="20% - Cor3 3 3" xfId="1500" xr:uid="{00000000-0005-0000-0000-0000CD020000}"/>
    <cellStyle name="20% - Cor3 3 3 2" xfId="5528" xr:uid="{00000000-0005-0000-0000-0000CE020000}"/>
    <cellStyle name="20% - Cor3 3 3 3" xfId="6752" xr:uid="{00000000-0005-0000-0000-0000CF020000}"/>
    <cellStyle name="20% - Cor3 3 4" xfId="1707" xr:uid="{00000000-0005-0000-0000-0000D0020000}"/>
    <cellStyle name="20% - Cor3 3 4 2" xfId="5729" xr:uid="{00000000-0005-0000-0000-0000D1020000}"/>
    <cellStyle name="20% - Cor3 3 4 3" xfId="6954" xr:uid="{00000000-0005-0000-0000-0000D2020000}"/>
    <cellStyle name="20% - Cor3 3 5" xfId="1952" xr:uid="{00000000-0005-0000-0000-0000D3020000}"/>
    <cellStyle name="20% - Cor3 3 5 2" xfId="5972" xr:uid="{00000000-0005-0000-0000-0000D4020000}"/>
    <cellStyle name="20% - Cor3 3 5 3" xfId="7199" xr:uid="{00000000-0005-0000-0000-0000D5020000}"/>
    <cellStyle name="20% - Cor3 3 6" xfId="5269" xr:uid="{00000000-0005-0000-0000-0000D6020000}"/>
    <cellStyle name="20% - Cor3 3 7" xfId="6482" xr:uid="{00000000-0005-0000-0000-0000D7020000}"/>
    <cellStyle name="20% - Cor3 3 8" xfId="1230" xr:uid="{00000000-0005-0000-0000-0000D8020000}"/>
    <cellStyle name="20% - Cor3 4" xfId="51" xr:uid="{00000000-0005-0000-0000-0000D9020000}"/>
    <cellStyle name="20% - Cor3 4 2" xfId="1493" xr:uid="{00000000-0005-0000-0000-0000DA020000}"/>
    <cellStyle name="20% - Cor3 4 2 2" xfId="5521" xr:uid="{00000000-0005-0000-0000-0000DB020000}"/>
    <cellStyle name="20% - Cor3 4 2 3" xfId="6745" xr:uid="{00000000-0005-0000-0000-0000DC020000}"/>
    <cellStyle name="20% - Cor3 4 3" xfId="1700" xr:uid="{00000000-0005-0000-0000-0000DD020000}"/>
    <cellStyle name="20% - Cor3 4 3 2" xfId="5722" xr:uid="{00000000-0005-0000-0000-0000DE020000}"/>
    <cellStyle name="20% - Cor3 4 3 3" xfId="6947" xr:uid="{00000000-0005-0000-0000-0000DF020000}"/>
    <cellStyle name="20% - Cor3 4 4" xfId="1973" xr:uid="{00000000-0005-0000-0000-0000E0020000}"/>
    <cellStyle name="20% - Cor3 4 4 2" xfId="5992" xr:uid="{00000000-0005-0000-0000-0000E1020000}"/>
    <cellStyle name="20% - Cor3 4 4 3" xfId="7220" xr:uid="{00000000-0005-0000-0000-0000E2020000}"/>
    <cellStyle name="20% - Cor3 4 5" xfId="5262" xr:uid="{00000000-0005-0000-0000-0000E3020000}"/>
    <cellStyle name="20% - Cor3 4 6" xfId="6475" xr:uid="{00000000-0005-0000-0000-0000E4020000}"/>
    <cellStyle name="20% - Cor3 4 7" xfId="1223" xr:uid="{00000000-0005-0000-0000-0000E5020000}"/>
    <cellStyle name="20% - Cor3 5" xfId="1381" xr:uid="{00000000-0005-0000-0000-0000E6020000}"/>
    <cellStyle name="20% - Cor3 5 2" xfId="1651" xr:uid="{00000000-0005-0000-0000-0000E7020000}"/>
    <cellStyle name="20% - Cor3 5 2 2" xfId="5675" xr:uid="{00000000-0005-0000-0000-0000E8020000}"/>
    <cellStyle name="20% - Cor3 5 2 3" xfId="6900" xr:uid="{00000000-0005-0000-0000-0000E9020000}"/>
    <cellStyle name="20% - Cor3 5 3" xfId="1847" xr:uid="{00000000-0005-0000-0000-0000EA020000}"/>
    <cellStyle name="20% - Cor3 5 3 2" xfId="5868" xr:uid="{00000000-0005-0000-0000-0000EB020000}"/>
    <cellStyle name="20% - Cor3 5 3 3" xfId="7094" xr:uid="{00000000-0005-0000-0000-0000EC020000}"/>
    <cellStyle name="20% - Cor3 5 4" xfId="2032" xr:uid="{00000000-0005-0000-0000-0000ED020000}"/>
    <cellStyle name="20% - Cor3 5 4 2" xfId="6051" xr:uid="{00000000-0005-0000-0000-0000EE020000}"/>
    <cellStyle name="20% - Cor3 5 4 3" xfId="7279" xr:uid="{00000000-0005-0000-0000-0000EF020000}"/>
    <cellStyle name="20% - Cor3 5 5" xfId="5412" xr:uid="{00000000-0005-0000-0000-0000F0020000}"/>
    <cellStyle name="20% - Cor3 5 6" xfId="6633" xr:uid="{00000000-0005-0000-0000-0000F1020000}"/>
    <cellStyle name="20% - Cor3 6" xfId="1395" xr:uid="{00000000-0005-0000-0000-0000F2020000}"/>
    <cellStyle name="20% - Cor3 6 2" xfId="1665" xr:uid="{00000000-0005-0000-0000-0000F3020000}"/>
    <cellStyle name="20% - Cor3 6 2 2" xfId="5689" xr:uid="{00000000-0005-0000-0000-0000F4020000}"/>
    <cellStyle name="20% - Cor3 6 2 3" xfId="6914" xr:uid="{00000000-0005-0000-0000-0000F5020000}"/>
    <cellStyle name="20% - Cor3 6 3" xfId="1861" xr:uid="{00000000-0005-0000-0000-0000F6020000}"/>
    <cellStyle name="20% - Cor3 6 3 2" xfId="5882" xr:uid="{00000000-0005-0000-0000-0000F7020000}"/>
    <cellStyle name="20% - Cor3 6 3 3" xfId="7108" xr:uid="{00000000-0005-0000-0000-0000F8020000}"/>
    <cellStyle name="20% - Cor3 6 4" xfId="2046" xr:uid="{00000000-0005-0000-0000-0000F9020000}"/>
    <cellStyle name="20% - Cor3 6 4 2" xfId="6065" xr:uid="{00000000-0005-0000-0000-0000FA020000}"/>
    <cellStyle name="20% - Cor3 6 4 3" xfId="7293" xr:uid="{00000000-0005-0000-0000-0000FB020000}"/>
    <cellStyle name="20% - Cor3 6 5" xfId="5426" xr:uid="{00000000-0005-0000-0000-0000FC020000}"/>
    <cellStyle name="20% - Cor3 6 6" xfId="6647" xr:uid="{00000000-0005-0000-0000-0000FD020000}"/>
    <cellStyle name="20% - Cor3 7" xfId="1425" xr:uid="{00000000-0005-0000-0000-0000FE020000}"/>
    <cellStyle name="20% - Cor3 7 2" xfId="1885" xr:uid="{00000000-0005-0000-0000-0000FF020000}"/>
    <cellStyle name="20% - Cor3 7 2 2" xfId="5905" xr:uid="{00000000-0005-0000-0000-000000030000}"/>
    <cellStyle name="20% - Cor3 7 2 3" xfId="7132" xr:uid="{00000000-0005-0000-0000-000001030000}"/>
    <cellStyle name="20% - Cor3 7 3" xfId="2058" xr:uid="{00000000-0005-0000-0000-000002030000}"/>
    <cellStyle name="20% - Cor3 7 3 2" xfId="6077" xr:uid="{00000000-0005-0000-0000-000003030000}"/>
    <cellStyle name="20% - Cor3 7 3 3" xfId="7305" xr:uid="{00000000-0005-0000-0000-000004030000}"/>
    <cellStyle name="20% - Cor3 7 4" xfId="5455" xr:uid="{00000000-0005-0000-0000-000005030000}"/>
    <cellStyle name="20% - Cor3 7 5" xfId="6677" xr:uid="{00000000-0005-0000-0000-000006030000}"/>
    <cellStyle name="20% - Cor3 8" xfId="1565" xr:uid="{00000000-0005-0000-0000-000007030000}"/>
    <cellStyle name="20% - Cor3 8 2" xfId="2073" xr:uid="{00000000-0005-0000-0000-000008030000}"/>
    <cellStyle name="20% - Cor3 8 2 2" xfId="6092" xr:uid="{00000000-0005-0000-0000-000009030000}"/>
    <cellStyle name="20% - Cor3 8 2 3" xfId="7320" xr:uid="{00000000-0005-0000-0000-00000A030000}"/>
    <cellStyle name="20% - Cor3 8 3" xfId="5591" xr:uid="{00000000-0005-0000-0000-00000B030000}"/>
    <cellStyle name="20% - Cor3 8 4" xfId="6816" xr:uid="{00000000-0005-0000-0000-00000C030000}"/>
    <cellStyle name="20% - Cor3 9" xfId="1912" xr:uid="{00000000-0005-0000-0000-00000D030000}"/>
    <cellStyle name="20% - Cor3 9 2" xfId="5932" xr:uid="{00000000-0005-0000-0000-00000E030000}"/>
    <cellStyle name="20% - Cor3 9 3" xfId="7159" xr:uid="{00000000-0005-0000-0000-00000F030000}"/>
    <cellStyle name="20% - Cor4 10" xfId="6310" xr:uid="{00000000-0005-0000-0000-000010030000}"/>
    <cellStyle name="20% - Cor4 11" xfId="1028" xr:uid="{00000000-0005-0000-0000-000011030000}"/>
    <cellStyle name="20% - Cor4 2" xfId="52" xr:uid="{00000000-0005-0000-0000-000012030000}"/>
    <cellStyle name="20% - Cor4 2 2" xfId="1265" xr:uid="{00000000-0005-0000-0000-000013030000}"/>
    <cellStyle name="20% - Cor4 2 2 2" xfId="1536" xr:uid="{00000000-0005-0000-0000-000014030000}"/>
    <cellStyle name="20% - Cor4 2 2 2 2" xfId="5563" xr:uid="{00000000-0005-0000-0000-000015030000}"/>
    <cellStyle name="20% - Cor4 2 2 2 3" xfId="6788" xr:uid="{00000000-0005-0000-0000-000016030000}"/>
    <cellStyle name="20% - Cor4 2 2 3" xfId="1741" xr:uid="{00000000-0005-0000-0000-000017030000}"/>
    <cellStyle name="20% - Cor4 2 2 3 2" xfId="5763" xr:uid="{00000000-0005-0000-0000-000018030000}"/>
    <cellStyle name="20% - Cor4 2 2 3 3" xfId="6988" xr:uid="{00000000-0005-0000-0000-000019030000}"/>
    <cellStyle name="20% - Cor4 2 2 4" xfId="1514" xr:uid="{00000000-0005-0000-0000-00001A030000}"/>
    <cellStyle name="20% - Cor4 2 2 4 2" xfId="5542" xr:uid="{00000000-0005-0000-0000-00001B030000}"/>
    <cellStyle name="20% - Cor4 2 2 4 3" xfId="6766" xr:uid="{00000000-0005-0000-0000-00001C030000}"/>
    <cellStyle name="20% - Cor4 2 2 5" xfId="5302" xr:uid="{00000000-0005-0000-0000-00001D030000}"/>
    <cellStyle name="20% - Cor4 2 2 6" xfId="6517" xr:uid="{00000000-0005-0000-0000-00001E030000}"/>
    <cellStyle name="20% - Cor4 2 3" xfId="1312" xr:uid="{00000000-0005-0000-0000-00001F030000}"/>
    <cellStyle name="20% - Cor4 2 3 2" xfId="1581" xr:uid="{00000000-0005-0000-0000-000020030000}"/>
    <cellStyle name="20% - Cor4 2 3 2 2" xfId="5607" xr:uid="{00000000-0005-0000-0000-000021030000}"/>
    <cellStyle name="20% - Cor4 2 3 2 3" xfId="6832" xr:uid="{00000000-0005-0000-0000-000022030000}"/>
    <cellStyle name="20% - Cor4 2 3 3" xfId="1785" xr:uid="{00000000-0005-0000-0000-000023030000}"/>
    <cellStyle name="20% - Cor4 2 3 3 2" xfId="5806" xr:uid="{00000000-0005-0000-0000-000024030000}"/>
    <cellStyle name="20% - Cor4 2 3 3 3" xfId="7032" xr:uid="{00000000-0005-0000-0000-000025030000}"/>
    <cellStyle name="20% - Cor4 2 3 4" xfId="1974" xr:uid="{00000000-0005-0000-0000-000026030000}"/>
    <cellStyle name="20% - Cor4 2 3 4 2" xfId="5993" xr:uid="{00000000-0005-0000-0000-000027030000}"/>
    <cellStyle name="20% - Cor4 2 3 4 3" xfId="7221" xr:uid="{00000000-0005-0000-0000-000028030000}"/>
    <cellStyle name="20% - Cor4 2 3 5" xfId="5348" xr:uid="{00000000-0005-0000-0000-000029030000}"/>
    <cellStyle name="20% - Cor4 2 3 6" xfId="6564" xr:uid="{00000000-0005-0000-0000-00002A030000}"/>
    <cellStyle name="20% - Cor4 2 4" xfId="1461" xr:uid="{00000000-0005-0000-0000-00002B030000}"/>
    <cellStyle name="20% - Cor4 2 4 2" xfId="5489" xr:uid="{00000000-0005-0000-0000-00002C030000}"/>
    <cellStyle name="20% - Cor4 2 4 3" xfId="6713" xr:uid="{00000000-0005-0000-0000-00002D030000}"/>
    <cellStyle name="20% - Cor4 2 5" xfId="1407" xr:uid="{00000000-0005-0000-0000-00002E030000}"/>
    <cellStyle name="20% - Cor4 2 5 2" xfId="5438" xr:uid="{00000000-0005-0000-0000-00002F030000}"/>
    <cellStyle name="20% - Cor4 2 5 3" xfId="6659" xr:uid="{00000000-0005-0000-0000-000030030000}"/>
    <cellStyle name="20% - Cor4 2 6" xfId="1725" xr:uid="{00000000-0005-0000-0000-000031030000}"/>
    <cellStyle name="20% - Cor4 2 6 2" xfId="5747" xr:uid="{00000000-0005-0000-0000-000032030000}"/>
    <cellStyle name="20% - Cor4 2 6 3" xfId="6972" xr:uid="{00000000-0005-0000-0000-000033030000}"/>
    <cellStyle name="20% - Cor4 2 7" xfId="5234" xr:uid="{00000000-0005-0000-0000-000034030000}"/>
    <cellStyle name="20% - Cor4 2 8" xfId="6444" xr:uid="{00000000-0005-0000-0000-000035030000}"/>
    <cellStyle name="20% - Cor4 2 9" xfId="1192" xr:uid="{00000000-0005-0000-0000-000036030000}"/>
    <cellStyle name="20% - Cor4 3" xfId="53" xr:uid="{00000000-0005-0000-0000-000037030000}"/>
    <cellStyle name="20% - Cor4 3 2" xfId="1346" xr:uid="{00000000-0005-0000-0000-000038030000}"/>
    <cellStyle name="20% - Cor4 3 2 2" xfId="1614" xr:uid="{00000000-0005-0000-0000-000039030000}"/>
    <cellStyle name="20% - Cor4 3 2 2 2" xfId="5640" xr:uid="{00000000-0005-0000-0000-00003A030000}"/>
    <cellStyle name="20% - Cor4 3 2 2 3" xfId="6865" xr:uid="{00000000-0005-0000-0000-00003B030000}"/>
    <cellStyle name="20% - Cor4 3 2 3" xfId="1815" xr:uid="{00000000-0005-0000-0000-00003C030000}"/>
    <cellStyle name="20% - Cor4 3 2 3 2" xfId="5836" xr:uid="{00000000-0005-0000-0000-00003D030000}"/>
    <cellStyle name="20% - Cor4 3 2 3 3" xfId="7062" xr:uid="{00000000-0005-0000-0000-00003E030000}"/>
    <cellStyle name="20% - Cor4 3 2 4" xfId="1962" xr:uid="{00000000-0005-0000-0000-00003F030000}"/>
    <cellStyle name="20% - Cor4 3 2 4 2" xfId="5982" xr:uid="{00000000-0005-0000-0000-000040030000}"/>
    <cellStyle name="20% - Cor4 3 2 4 3" xfId="7209" xr:uid="{00000000-0005-0000-0000-000041030000}"/>
    <cellStyle name="20% - Cor4 3 2 5" xfId="5380" xr:uid="{00000000-0005-0000-0000-000042030000}"/>
    <cellStyle name="20% - Cor4 3 2 6" xfId="6598" xr:uid="{00000000-0005-0000-0000-000043030000}"/>
    <cellStyle name="20% - Cor4 3 3" xfId="1504" xr:uid="{00000000-0005-0000-0000-000044030000}"/>
    <cellStyle name="20% - Cor4 3 3 2" xfId="5532" xr:uid="{00000000-0005-0000-0000-000045030000}"/>
    <cellStyle name="20% - Cor4 3 3 3" xfId="6756" xr:uid="{00000000-0005-0000-0000-000046030000}"/>
    <cellStyle name="20% - Cor4 3 4" xfId="1711" xr:uid="{00000000-0005-0000-0000-000047030000}"/>
    <cellStyle name="20% - Cor4 3 4 2" xfId="5733" xr:uid="{00000000-0005-0000-0000-000048030000}"/>
    <cellStyle name="20% - Cor4 3 4 3" xfId="6958" xr:uid="{00000000-0005-0000-0000-000049030000}"/>
    <cellStyle name="20% - Cor4 3 5" xfId="1686" xr:uid="{00000000-0005-0000-0000-00004A030000}"/>
    <cellStyle name="20% - Cor4 3 5 2" xfId="5708" xr:uid="{00000000-0005-0000-0000-00004B030000}"/>
    <cellStyle name="20% - Cor4 3 5 3" xfId="6933" xr:uid="{00000000-0005-0000-0000-00004C030000}"/>
    <cellStyle name="20% - Cor4 3 6" xfId="5273" xr:uid="{00000000-0005-0000-0000-00004D030000}"/>
    <cellStyle name="20% - Cor4 3 7" xfId="6486" xr:uid="{00000000-0005-0000-0000-00004E030000}"/>
    <cellStyle name="20% - Cor4 3 8" xfId="1234" xr:uid="{00000000-0005-0000-0000-00004F030000}"/>
    <cellStyle name="20% - Cor4 4" xfId="54" xr:uid="{00000000-0005-0000-0000-000050030000}"/>
    <cellStyle name="20% - Cor4 4 2" xfId="1489" xr:uid="{00000000-0005-0000-0000-000051030000}"/>
    <cellStyle name="20% - Cor4 4 2 2" xfId="5517" xr:uid="{00000000-0005-0000-0000-000052030000}"/>
    <cellStyle name="20% - Cor4 4 2 3" xfId="6741" xr:uid="{00000000-0005-0000-0000-000053030000}"/>
    <cellStyle name="20% - Cor4 4 3" xfId="1696" xr:uid="{00000000-0005-0000-0000-000054030000}"/>
    <cellStyle name="20% - Cor4 4 3 2" xfId="5718" xr:uid="{00000000-0005-0000-0000-000055030000}"/>
    <cellStyle name="20% - Cor4 4 3 3" xfId="6943" xr:uid="{00000000-0005-0000-0000-000056030000}"/>
    <cellStyle name="20% - Cor4 4 4" xfId="1957" xr:uid="{00000000-0005-0000-0000-000057030000}"/>
    <cellStyle name="20% - Cor4 4 4 2" xfId="5977" xr:uid="{00000000-0005-0000-0000-000058030000}"/>
    <cellStyle name="20% - Cor4 4 4 3" xfId="7204" xr:uid="{00000000-0005-0000-0000-000059030000}"/>
    <cellStyle name="20% - Cor4 4 5" xfId="5258" xr:uid="{00000000-0005-0000-0000-00005A030000}"/>
    <cellStyle name="20% - Cor4 4 6" xfId="6471" xr:uid="{00000000-0005-0000-0000-00005B030000}"/>
    <cellStyle name="20% - Cor4 4 7" xfId="1219" xr:uid="{00000000-0005-0000-0000-00005C030000}"/>
    <cellStyle name="20% - Cor4 5" xfId="1383" xr:uid="{00000000-0005-0000-0000-00005D030000}"/>
    <cellStyle name="20% - Cor4 5 2" xfId="1653" xr:uid="{00000000-0005-0000-0000-00005E030000}"/>
    <cellStyle name="20% - Cor4 5 2 2" xfId="5677" xr:uid="{00000000-0005-0000-0000-00005F030000}"/>
    <cellStyle name="20% - Cor4 5 2 3" xfId="6902" xr:uid="{00000000-0005-0000-0000-000060030000}"/>
    <cellStyle name="20% - Cor4 5 3" xfId="1849" xr:uid="{00000000-0005-0000-0000-000061030000}"/>
    <cellStyle name="20% - Cor4 5 3 2" xfId="5870" xr:uid="{00000000-0005-0000-0000-000062030000}"/>
    <cellStyle name="20% - Cor4 5 3 3" xfId="7096" xr:uid="{00000000-0005-0000-0000-000063030000}"/>
    <cellStyle name="20% - Cor4 5 4" xfId="2034" xr:uid="{00000000-0005-0000-0000-000064030000}"/>
    <cellStyle name="20% - Cor4 5 4 2" xfId="6053" xr:uid="{00000000-0005-0000-0000-000065030000}"/>
    <cellStyle name="20% - Cor4 5 4 3" xfId="7281" xr:uid="{00000000-0005-0000-0000-000066030000}"/>
    <cellStyle name="20% - Cor4 5 5" xfId="5414" xr:uid="{00000000-0005-0000-0000-000067030000}"/>
    <cellStyle name="20% - Cor4 5 6" xfId="6635" xr:uid="{00000000-0005-0000-0000-000068030000}"/>
    <cellStyle name="20% - Cor4 6" xfId="1397" xr:uid="{00000000-0005-0000-0000-000069030000}"/>
    <cellStyle name="20% - Cor4 6 2" xfId="1667" xr:uid="{00000000-0005-0000-0000-00006A030000}"/>
    <cellStyle name="20% - Cor4 6 2 2" xfId="5691" xr:uid="{00000000-0005-0000-0000-00006B030000}"/>
    <cellStyle name="20% - Cor4 6 2 3" xfId="6916" xr:uid="{00000000-0005-0000-0000-00006C030000}"/>
    <cellStyle name="20% - Cor4 6 3" xfId="1863" xr:uid="{00000000-0005-0000-0000-00006D030000}"/>
    <cellStyle name="20% - Cor4 6 3 2" xfId="5884" xr:uid="{00000000-0005-0000-0000-00006E030000}"/>
    <cellStyle name="20% - Cor4 6 3 3" xfId="7110" xr:uid="{00000000-0005-0000-0000-00006F030000}"/>
    <cellStyle name="20% - Cor4 6 4" xfId="2048" xr:uid="{00000000-0005-0000-0000-000070030000}"/>
    <cellStyle name="20% - Cor4 6 4 2" xfId="6067" xr:uid="{00000000-0005-0000-0000-000071030000}"/>
    <cellStyle name="20% - Cor4 6 4 3" xfId="7295" xr:uid="{00000000-0005-0000-0000-000072030000}"/>
    <cellStyle name="20% - Cor4 6 5" xfId="5428" xr:uid="{00000000-0005-0000-0000-000073030000}"/>
    <cellStyle name="20% - Cor4 6 6" xfId="6649" xr:uid="{00000000-0005-0000-0000-000074030000}"/>
    <cellStyle name="20% - Cor4 7" xfId="1429" xr:uid="{00000000-0005-0000-0000-000075030000}"/>
    <cellStyle name="20% - Cor4 7 2" xfId="1887" xr:uid="{00000000-0005-0000-0000-000076030000}"/>
    <cellStyle name="20% - Cor4 7 2 2" xfId="5907" xr:uid="{00000000-0005-0000-0000-000077030000}"/>
    <cellStyle name="20% - Cor4 7 2 3" xfId="7134" xr:uid="{00000000-0005-0000-0000-000078030000}"/>
    <cellStyle name="20% - Cor4 7 3" xfId="2060" xr:uid="{00000000-0005-0000-0000-000079030000}"/>
    <cellStyle name="20% - Cor4 7 3 2" xfId="6079" xr:uid="{00000000-0005-0000-0000-00007A030000}"/>
    <cellStyle name="20% - Cor4 7 3 3" xfId="7307" xr:uid="{00000000-0005-0000-0000-00007B030000}"/>
    <cellStyle name="20% - Cor4 7 4" xfId="5459" xr:uid="{00000000-0005-0000-0000-00007C030000}"/>
    <cellStyle name="20% - Cor4 7 5" xfId="6681" xr:uid="{00000000-0005-0000-0000-00007D030000}"/>
    <cellStyle name="20% - Cor4 8" xfId="1630" xr:uid="{00000000-0005-0000-0000-00007E030000}"/>
    <cellStyle name="20% - Cor4 8 2" xfId="2081" xr:uid="{00000000-0005-0000-0000-00007F030000}"/>
    <cellStyle name="20% - Cor4 8 2 2" xfId="6100" xr:uid="{00000000-0005-0000-0000-000080030000}"/>
    <cellStyle name="20% - Cor4 8 2 3" xfId="7328" xr:uid="{00000000-0005-0000-0000-000081030000}"/>
    <cellStyle name="20% - Cor4 8 3" xfId="5656" xr:uid="{00000000-0005-0000-0000-000082030000}"/>
    <cellStyle name="20% - Cor4 8 4" xfId="6881" xr:uid="{00000000-0005-0000-0000-000083030000}"/>
    <cellStyle name="20% - Cor4 9" xfId="1993" xr:uid="{00000000-0005-0000-0000-000084030000}"/>
    <cellStyle name="20% - Cor4 9 2" xfId="6012" xr:uid="{00000000-0005-0000-0000-000085030000}"/>
    <cellStyle name="20% - Cor4 9 3" xfId="7240" xr:uid="{00000000-0005-0000-0000-000086030000}"/>
    <cellStyle name="20% - Cor5 10" xfId="6314" xr:uid="{00000000-0005-0000-0000-000087030000}"/>
    <cellStyle name="20% - Cor5 11" xfId="1032" xr:uid="{00000000-0005-0000-0000-000088030000}"/>
    <cellStyle name="20% - Cor5 2" xfId="55" xr:uid="{00000000-0005-0000-0000-000089030000}"/>
    <cellStyle name="20% - Cor5 2 2" xfId="1267" xr:uid="{00000000-0005-0000-0000-00008A030000}"/>
    <cellStyle name="20% - Cor5 2 2 2" xfId="1538" xr:uid="{00000000-0005-0000-0000-00008B030000}"/>
    <cellStyle name="20% - Cor5 2 2 2 2" xfId="5565" xr:uid="{00000000-0005-0000-0000-00008C030000}"/>
    <cellStyle name="20% - Cor5 2 2 2 3" xfId="6790" xr:uid="{00000000-0005-0000-0000-00008D030000}"/>
    <cellStyle name="20% - Cor5 2 2 3" xfId="1743" xr:uid="{00000000-0005-0000-0000-00008E030000}"/>
    <cellStyle name="20% - Cor5 2 2 3 2" xfId="5765" xr:uid="{00000000-0005-0000-0000-00008F030000}"/>
    <cellStyle name="20% - Cor5 2 2 3 3" xfId="6990" xr:uid="{00000000-0005-0000-0000-000090030000}"/>
    <cellStyle name="20% - Cor5 2 2 4" xfId="1557" xr:uid="{00000000-0005-0000-0000-000091030000}"/>
    <cellStyle name="20% - Cor5 2 2 4 2" xfId="5583" xr:uid="{00000000-0005-0000-0000-000092030000}"/>
    <cellStyle name="20% - Cor5 2 2 4 3" xfId="6808" xr:uid="{00000000-0005-0000-0000-000093030000}"/>
    <cellStyle name="20% - Cor5 2 2 5" xfId="5304" xr:uid="{00000000-0005-0000-0000-000094030000}"/>
    <cellStyle name="20% - Cor5 2 2 6" xfId="6519" xr:uid="{00000000-0005-0000-0000-000095030000}"/>
    <cellStyle name="20% - Cor5 2 3" xfId="1314" xr:uid="{00000000-0005-0000-0000-000096030000}"/>
    <cellStyle name="20% - Cor5 2 3 2" xfId="1583" xr:uid="{00000000-0005-0000-0000-000097030000}"/>
    <cellStyle name="20% - Cor5 2 3 2 2" xfId="5609" xr:uid="{00000000-0005-0000-0000-000098030000}"/>
    <cellStyle name="20% - Cor5 2 3 2 3" xfId="6834" xr:uid="{00000000-0005-0000-0000-000099030000}"/>
    <cellStyle name="20% - Cor5 2 3 3" xfId="1787" xr:uid="{00000000-0005-0000-0000-00009A030000}"/>
    <cellStyle name="20% - Cor5 2 3 3 2" xfId="5808" xr:uid="{00000000-0005-0000-0000-00009B030000}"/>
    <cellStyle name="20% - Cor5 2 3 3 3" xfId="7034" xr:uid="{00000000-0005-0000-0000-00009C030000}"/>
    <cellStyle name="20% - Cor5 2 3 4" xfId="1960" xr:uid="{00000000-0005-0000-0000-00009D030000}"/>
    <cellStyle name="20% - Cor5 2 3 4 2" xfId="5980" xr:uid="{00000000-0005-0000-0000-00009E030000}"/>
    <cellStyle name="20% - Cor5 2 3 4 3" xfId="7207" xr:uid="{00000000-0005-0000-0000-00009F030000}"/>
    <cellStyle name="20% - Cor5 2 3 5" xfId="5350" xr:uid="{00000000-0005-0000-0000-0000A0030000}"/>
    <cellStyle name="20% - Cor5 2 3 6" xfId="6566" xr:uid="{00000000-0005-0000-0000-0000A1030000}"/>
    <cellStyle name="20% - Cor5 2 4" xfId="1463" xr:uid="{00000000-0005-0000-0000-0000A2030000}"/>
    <cellStyle name="20% - Cor5 2 4 2" xfId="5491" xr:uid="{00000000-0005-0000-0000-0000A3030000}"/>
    <cellStyle name="20% - Cor5 2 4 3" xfId="6715" xr:uid="{00000000-0005-0000-0000-0000A4030000}"/>
    <cellStyle name="20% - Cor5 2 5" xfId="1405" xr:uid="{00000000-0005-0000-0000-0000A5030000}"/>
    <cellStyle name="20% - Cor5 2 5 2" xfId="5436" xr:uid="{00000000-0005-0000-0000-0000A6030000}"/>
    <cellStyle name="20% - Cor5 2 5 3" xfId="6657" xr:uid="{00000000-0005-0000-0000-0000A7030000}"/>
    <cellStyle name="20% - Cor5 2 6" xfId="1802" xr:uid="{00000000-0005-0000-0000-0000A8030000}"/>
    <cellStyle name="20% - Cor5 2 6 2" xfId="5823" xr:uid="{00000000-0005-0000-0000-0000A9030000}"/>
    <cellStyle name="20% - Cor5 2 6 3" xfId="7049" xr:uid="{00000000-0005-0000-0000-0000AA030000}"/>
    <cellStyle name="20% - Cor5 2 7" xfId="5236" xr:uid="{00000000-0005-0000-0000-0000AB030000}"/>
    <cellStyle name="20% - Cor5 2 8" xfId="6446" xr:uid="{00000000-0005-0000-0000-0000AC030000}"/>
    <cellStyle name="20% - Cor5 2 9" xfId="1194" xr:uid="{00000000-0005-0000-0000-0000AD030000}"/>
    <cellStyle name="20% - Cor5 3" xfId="56" xr:uid="{00000000-0005-0000-0000-0000AE030000}"/>
    <cellStyle name="20% - Cor5 3 2" xfId="1348" xr:uid="{00000000-0005-0000-0000-0000AF030000}"/>
    <cellStyle name="20% - Cor5 3 2 2" xfId="1616" xr:uid="{00000000-0005-0000-0000-0000B0030000}"/>
    <cellStyle name="20% - Cor5 3 2 2 2" xfId="5642" xr:uid="{00000000-0005-0000-0000-0000B1030000}"/>
    <cellStyle name="20% - Cor5 3 2 2 3" xfId="6867" xr:uid="{00000000-0005-0000-0000-0000B2030000}"/>
    <cellStyle name="20% - Cor5 3 2 3" xfId="1817" xr:uid="{00000000-0005-0000-0000-0000B3030000}"/>
    <cellStyle name="20% - Cor5 3 2 3 2" xfId="5838" xr:uid="{00000000-0005-0000-0000-0000B4030000}"/>
    <cellStyle name="20% - Cor5 3 2 3 3" xfId="7064" xr:uid="{00000000-0005-0000-0000-0000B5030000}"/>
    <cellStyle name="20% - Cor5 3 2 4" xfId="2008" xr:uid="{00000000-0005-0000-0000-0000B6030000}"/>
    <cellStyle name="20% - Cor5 3 2 4 2" xfId="6027" xr:uid="{00000000-0005-0000-0000-0000B7030000}"/>
    <cellStyle name="20% - Cor5 3 2 4 3" xfId="7255" xr:uid="{00000000-0005-0000-0000-0000B8030000}"/>
    <cellStyle name="20% - Cor5 3 2 5" xfId="5382" xr:uid="{00000000-0005-0000-0000-0000B9030000}"/>
    <cellStyle name="20% - Cor5 3 2 6" xfId="6600" xr:uid="{00000000-0005-0000-0000-0000BA030000}"/>
    <cellStyle name="20% - Cor5 3 3" xfId="1507" xr:uid="{00000000-0005-0000-0000-0000BB030000}"/>
    <cellStyle name="20% - Cor5 3 3 2" xfId="5535" xr:uid="{00000000-0005-0000-0000-0000BC030000}"/>
    <cellStyle name="20% - Cor5 3 3 3" xfId="6759" xr:uid="{00000000-0005-0000-0000-0000BD030000}"/>
    <cellStyle name="20% - Cor5 3 4" xfId="1714" xr:uid="{00000000-0005-0000-0000-0000BE030000}"/>
    <cellStyle name="20% - Cor5 3 4 2" xfId="5736" xr:uid="{00000000-0005-0000-0000-0000BF030000}"/>
    <cellStyle name="20% - Cor5 3 4 3" xfId="6961" xr:uid="{00000000-0005-0000-0000-0000C0030000}"/>
    <cellStyle name="20% - Cor5 3 5" xfId="1959" xr:uid="{00000000-0005-0000-0000-0000C1030000}"/>
    <cellStyle name="20% - Cor5 3 5 2" xfId="5979" xr:uid="{00000000-0005-0000-0000-0000C2030000}"/>
    <cellStyle name="20% - Cor5 3 5 3" xfId="7206" xr:uid="{00000000-0005-0000-0000-0000C3030000}"/>
    <cellStyle name="20% - Cor5 3 6" xfId="5276" xr:uid="{00000000-0005-0000-0000-0000C4030000}"/>
    <cellStyle name="20% - Cor5 3 7" xfId="6489" xr:uid="{00000000-0005-0000-0000-0000C5030000}"/>
    <cellStyle name="20% - Cor5 3 8" xfId="1237" xr:uid="{00000000-0005-0000-0000-0000C6030000}"/>
    <cellStyle name="20% - Cor5 4" xfId="57" xr:uid="{00000000-0005-0000-0000-0000C7030000}"/>
    <cellStyle name="20% - Cor5 4 2" xfId="1506" xr:uid="{00000000-0005-0000-0000-0000C8030000}"/>
    <cellStyle name="20% - Cor5 4 2 2" xfId="5534" xr:uid="{00000000-0005-0000-0000-0000C9030000}"/>
    <cellStyle name="20% - Cor5 4 2 3" xfId="6758" xr:uid="{00000000-0005-0000-0000-0000CA030000}"/>
    <cellStyle name="20% - Cor5 4 3" xfId="1713" xr:uid="{00000000-0005-0000-0000-0000CB030000}"/>
    <cellStyle name="20% - Cor5 4 3 2" xfId="5735" xr:uid="{00000000-0005-0000-0000-0000CC030000}"/>
    <cellStyle name="20% - Cor5 4 3 3" xfId="6960" xr:uid="{00000000-0005-0000-0000-0000CD030000}"/>
    <cellStyle name="20% - Cor5 4 4" xfId="1900" xr:uid="{00000000-0005-0000-0000-0000CE030000}"/>
    <cellStyle name="20% - Cor5 4 4 2" xfId="5920" xr:uid="{00000000-0005-0000-0000-0000CF030000}"/>
    <cellStyle name="20% - Cor5 4 4 3" xfId="7147" xr:uid="{00000000-0005-0000-0000-0000D0030000}"/>
    <cellStyle name="20% - Cor5 4 5" xfId="5275" xr:uid="{00000000-0005-0000-0000-0000D1030000}"/>
    <cellStyle name="20% - Cor5 4 6" xfId="6488" xr:uid="{00000000-0005-0000-0000-0000D2030000}"/>
    <cellStyle name="20% - Cor5 4 7" xfId="1236" xr:uid="{00000000-0005-0000-0000-0000D3030000}"/>
    <cellStyle name="20% - Cor5 5" xfId="1385" xr:uid="{00000000-0005-0000-0000-0000D4030000}"/>
    <cellStyle name="20% - Cor5 5 2" xfId="1655" xr:uid="{00000000-0005-0000-0000-0000D5030000}"/>
    <cellStyle name="20% - Cor5 5 2 2" xfId="5679" xr:uid="{00000000-0005-0000-0000-0000D6030000}"/>
    <cellStyle name="20% - Cor5 5 2 3" xfId="6904" xr:uid="{00000000-0005-0000-0000-0000D7030000}"/>
    <cellStyle name="20% - Cor5 5 3" xfId="1851" xr:uid="{00000000-0005-0000-0000-0000D8030000}"/>
    <cellStyle name="20% - Cor5 5 3 2" xfId="5872" xr:uid="{00000000-0005-0000-0000-0000D9030000}"/>
    <cellStyle name="20% - Cor5 5 3 3" xfId="7098" xr:uid="{00000000-0005-0000-0000-0000DA030000}"/>
    <cellStyle name="20% - Cor5 5 4" xfId="2036" xr:uid="{00000000-0005-0000-0000-0000DB030000}"/>
    <cellStyle name="20% - Cor5 5 4 2" xfId="6055" xr:uid="{00000000-0005-0000-0000-0000DC030000}"/>
    <cellStyle name="20% - Cor5 5 4 3" xfId="7283" xr:uid="{00000000-0005-0000-0000-0000DD030000}"/>
    <cellStyle name="20% - Cor5 5 5" xfId="5416" xr:uid="{00000000-0005-0000-0000-0000DE030000}"/>
    <cellStyle name="20% - Cor5 5 6" xfId="6637" xr:uid="{00000000-0005-0000-0000-0000DF030000}"/>
    <cellStyle name="20% - Cor5 6" xfId="1399" xr:uid="{00000000-0005-0000-0000-0000E0030000}"/>
    <cellStyle name="20% - Cor5 6 2" xfId="1669" xr:uid="{00000000-0005-0000-0000-0000E1030000}"/>
    <cellStyle name="20% - Cor5 6 2 2" xfId="5693" xr:uid="{00000000-0005-0000-0000-0000E2030000}"/>
    <cellStyle name="20% - Cor5 6 2 3" xfId="6918" xr:uid="{00000000-0005-0000-0000-0000E3030000}"/>
    <cellStyle name="20% - Cor5 6 3" xfId="1865" xr:uid="{00000000-0005-0000-0000-0000E4030000}"/>
    <cellStyle name="20% - Cor5 6 3 2" xfId="5886" xr:uid="{00000000-0005-0000-0000-0000E5030000}"/>
    <cellStyle name="20% - Cor5 6 3 3" xfId="7112" xr:uid="{00000000-0005-0000-0000-0000E6030000}"/>
    <cellStyle name="20% - Cor5 6 4" xfId="2050" xr:uid="{00000000-0005-0000-0000-0000E7030000}"/>
    <cellStyle name="20% - Cor5 6 4 2" xfId="6069" xr:uid="{00000000-0005-0000-0000-0000E8030000}"/>
    <cellStyle name="20% - Cor5 6 4 3" xfId="7297" xr:uid="{00000000-0005-0000-0000-0000E9030000}"/>
    <cellStyle name="20% - Cor5 6 5" xfId="5430" xr:uid="{00000000-0005-0000-0000-0000EA030000}"/>
    <cellStyle name="20% - Cor5 6 6" xfId="6651" xr:uid="{00000000-0005-0000-0000-0000EB030000}"/>
    <cellStyle name="20% - Cor5 7" xfId="1433" xr:uid="{00000000-0005-0000-0000-0000EC030000}"/>
    <cellStyle name="20% - Cor5 7 2" xfId="1889" xr:uid="{00000000-0005-0000-0000-0000ED030000}"/>
    <cellStyle name="20% - Cor5 7 2 2" xfId="5909" xr:uid="{00000000-0005-0000-0000-0000EE030000}"/>
    <cellStyle name="20% - Cor5 7 2 3" xfId="7136" xr:uid="{00000000-0005-0000-0000-0000EF030000}"/>
    <cellStyle name="20% - Cor5 7 3" xfId="2062" xr:uid="{00000000-0005-0000-0000-0000F0030000}"/>
    <cellStyle name="20% - Cor5 7 3 2" xfId="6081" xr:uid="{00000000-0005-0000-0000-0000F1030000}"/>
    <cellStyle name="20% - Cor5 7 3 3" xfId="7309" xr:uid="{00000000-0005-0000-0000-0000F2030000}"/>
    <cellStyle name="20% - Cor5 7 4" xfId="5463" xr:uid="{00000000-0005-0000-0000-0000F3030000}"/>
    <cellStyle name="20% - Cor5 7 5" xfId="6685" xr:uid="{00000000-0005-0000-0000-0000F4030000}"/>
    <cellStyle name="20% - Cor5 8" xfId="1621" xr:uid="{00000000-0005-0000-0000-0000F5030000}"/>
    <cellStyle name="20% - Cor5 8 2" xfId="2077" xr:uid="{00000000-0005-0000-0000-0000F6030000}"/>
    <cellStyle name="20% - Cor5 8 2 2" xfId="6096" xr:uid="{00000000-0005-0000-0000-0000F7030000}"/>
    <cellStyle name="20% - Cor5 8 2 3" xfId="7324" xr:uid="{00000000-0005-0000-0000-0000F8030000}"/>
    <cellStyle name="20% - Cor5 8 3" xfId="5647" xr:uid="{00000000-0005-0000-0000-0000F9030000}"/>
    <cellStyle name="20% - Cor5 8 4" xfId="6872" xr:uid="{00000000-0005-0000-0000-0000FA030000}"/>
    <cellStyle name="20% - Cor5 9" xfId="1720" xr:uid="{00000000-0005-0000-0000-0000FB030000}"/>
    <cellStyle name="20% - Cor5 9 2" xfId="5742" xr:uid="{00000000-0005-0000-0000-0000FC030000}"/>
    <cellStyle name="20% - Cor5 9 3" xfId="6967" xr:uid="{00000000-0005-0000-0000-0000FD030000}"/>
    <cellStyle name="20% - Cor6 10" xfId="6318" xr:uid="{00000000-0005-0000-0000-0000FE030000}"/>
    <cellStyle name="20% - Cor6 11" xfId="1036" xr:uid="{00000000-0005-0000-0000-0000FF030000}"/>
    <cellStyle name="20% - Cor6 2" xfId="58" xr:uid="{00000000-0005-0000-0000-000000040000}"/>
    <cellStyle name="20% - Cor6 2 2" xfId="1269" xr:uid="{00000000-0005-0000-0000-000001040000}"/>
    <cellStyle name="20% - Cor6 2 2 2" xfId="1540" xr:uid="{00000000-0005-0000-0000-000002040000}"/>
    <cellStyle name="20% - Cor6 2 2 2 2" xfId="5567" xr:uid="{00000000-0005-0000-0000-000003040000}"/>
    <cellStyle name="20% - Cor6 2 2 2 3" xfId="6792" xr:uid="{00000000-0005-0000-0000-000004040000}"/>
    <cellStyle name="20% - Cor6 2 2 3" xfId="1745" xr:uid="{00000000-0005-0000-0000-000005040000}"/>
    <cellStyle name="20% - Cor6 2 2 3 2" xfId="5767" xr:uid="{00000000-0005-0000-0000-000006040000}"/>
    <cellStyle name="20% - Cor6 2 2 3 3" xfId="6992" xr:uid="{00000000-0005-0000-0000-000007040000}"/>
    <cellStyle name="20% - Cor6 2 2 4" xfId="1478" xr:uid="{00000000-0005-0000-0000-000008040000}"/>
    <cellStyle name="20% - Cor6 2 2 4 2" xfId="5506" xr:uid="{00000000-0005-0000-0000-000009040000}"/>
    <cellStyle name="20% - Cor6 2 2 4 3" xfId="6730" xr:uid="{00000000-0005-0000-0000-00000A040000}"/>
    <cellStyle name="20% - Cor6 2 2 5" xfId="5306" xr:uid="{00000000-0005-0000-0000-00000B040000}"/>
    <cellStyle name="20% - Cor6 2 2 6" xfId="6521" xr:uid="{00000000-0005-0000-0000-00000C040000}"/>
    <cellStyle name="20% - Cor6 2 3" xfId="1316" xr:uid="{00000000-0005-0000-0000-00000D040000}"/>
    <cellStyle name="20% - Cor6 2 3 2" xfId="1585" xr:uid="{00000000-0005-0000-0000-00000E040000}"/>
    <cellStyle name="20% - Cor6 2 3 2 2" xfId="5611" xr:uid="{00000000-0005-0000-0000-00000F040000}"/>
    <cellStyle name="20% - Cor6 2 3 2 3" xfId="6836" xr:uid="{00000000-0005-0000-0000-000010040000}"/>
    <cellStyle name="20% - Cor6 2 3 3" xfId="1789" xr:uid="{00000000-0005-0000-0000-000011040000}"/>
    <cellStyle name="20% - Cor6 2 3 3 2" xfId="5810" xr:uid="{00000000-0005-0000-0000-000012040000}"/>
    <cellStyle name="20% - Cor6 2 3 3 3" xfId="7036" xr:uid="{00000000-0005-0000-0000-000013040000}"/>
    <cellStyle name="20% - Cor6 2 3 4" xfId="2014" xr:uid="{00000000-0005-0000-0000-000014040000}"/>
    <cellStyle name="20% - Cor6 2 3 4 2" xfId="6033" xr:uid="{00000000-0005-0000-0000-000015040000}"/>
    <cellStyle name="20% - Cor6 2 3 4 3" xfId="7261" xr:uid="{00000000-0005-0000-0000-000016040000}"/>
    <cellStyle name="20% - Cor6 2 3 5" xfId="5352" xr:uid="{00000000-0005-0000-0000-000017040000}"/>
    <cellStyle name="20% - Cor6 2 3 6" xfId="6568" xr:uid="{00000000-0005-0000-0000-000018040000}"/>
    <cellStyle name="20% - Cor6 2 4" xfId="1465" xr:uid="{00000000-0005-0000-0000-000019040000}"/>
    <cellStyle name="20% - Cor6 2 4 2" xfId="5493" xr:uid="{00000000-0005-0000-0000-00001A040000}"/>
    <cellStyle name="20% - Cor6 2 4 3" xfId="6717" xr:uid="{00000000-0005-0000-0000-00001B040000}"/>
    <cellStyle name="20% - Cor6 2 5" xfId="1439" xr:uid="{00000000-0005-0000-0000-00001C040000}"/>
    <cellStyle name="20% - Cor6 2 5 2" xfId="5469" xr:uid="{00000000-0005-0000-0000-00001D040000}"/>
    <cellStyle name="20% - Cor6 2 5 3" xfId="6691" xr:uid="{00000000-0005-0000-0000-00001E040000}"/>
    <cellStyle name="20% - Cor6 2 6" xfId="1829" xr:uid="{00000000-0005-0000-0000-00001F040000}"/>
    <cellStyle name="20% - Cor6 2 6 2" xfId="5850" xr:uid="{00000000-0005-0000-0000-000020040000}"/>
    <cellStyle name="20% - Cor6 2 6 3" xfId="7076" xr:uid="{00000000-0005-0000-0000-000021040000}"/>
    <cellStyle name="20% - Cor6 2 7" xfId="5238" xr:uid="{00000000-0005-0000-0000-000022040000}"/>
    <cellStyle name="20% - Cor6 2 8" xfId="6448" xr:uid="{00000000-0005-0000-0000-000023040000}"/>
    <cellStyle name="20% - Cor6 2 9" xfId="1196" xr:uid="{00000000-0005-0000-0000-000024040000}"/>
    <cellStyle name="20% - Cor6 3" xfId="59" xr:uid="{00000000-0005-0000-0000-000025040000}"/>
    <cellStyle name="20% - Cor6 3 2" xfId="1350" xr:uid="{00000000-0005-0000-0000-000026040000}"/>
    <cellStyle name="20% - Cor6 3 2 2" xfId="1618" xr:uid="{00000000-0005-0000-0000-000027040000}"/>
    <cellStyle name="20% - Cor6 3 2 2 2" xfId="5644" xr:uid="{00000000-0005-0000-0000-000028040000}"/>
    <cellStyle name="20% - Cor6 3 2 2 3" xfId="6869" xr:uid="{00000000-0005-0000-0000-000029040000}"/>
    <cellStyle name="20% - Cor6 3 2 3" xfId="1819" xr:uid="{00000000-0005-0000-0000-00002A040000}"/>
    <cellStyle name="20% - Cor6 3 2 3 2" xfId="5840" xr:uid="{00000000-0005-0000-0000-00002B040000}"/>
    <cellStyle name="20% - Cor6 3 2 3 3" xfId="7066" xr:uid="{00000000-0005-0000-0000-00002C040000}"/>
    <cellStyle name="20% - Cor6 3 2 4" xfId="1930" xr:uid="{00000000-0005-0000-0000-00002D040000}"/>
    <cellStyle name="20% - Cor6 3 2 4 2" xfId="5950" xr:uid="{00000000-0005-0000-0000-00002E040000}"/>
    <cellStyle name="20% - Cor6 3 2 4 3" xfId="7177" xr:uid="{00000000-0005-0000-0000-00002F040000}"/>
    <cellStyle name="20% - Cor6 3 2 5" xfId="5384" xr:uid="{00000000-0005-0000-0000-000030040000}"/>
    <cellStyle name="20% - Cor6 3 2 6" xfId="6602" xr:uid="{00000000-0005-0000-0000-000031040000}"/>
    <cellStyle name="20% - Cor6 3 3" xfId="1509" xr:uid="{00000000-0005-0000-0000-000032040000}"/>
    <cellStyle name="20% - Cor6 3 3 2" xfId="5537" xr:uid="{00000000-0005-0000-0000-000033040000}"/>
    <cellStyle name="20% - Cor6 3 3 3" xfId="6761" xr:uid="{00000000-0005-0000-0000-000034040000}"/>
    <cellStyle name="20% - Cor6 3 4" xfId="1716" xr:uid="{00000000-0005-0000-0000-000035040000}"/>
    <cellStyle name="20% - Cor6 3 4 2" xfId="5738" xr:uid="{00000000-0005-0000-0000-000036040000}"/>
    <cellStyle name="20% - Cor6 3 4 3" xfId="6963" xr:uid="{00000000-0005-0000-0000-000037040000}"/>
    <cellStyle name="20% - Cor6 3 5" xfId="1899" xr:uid="{00000000-0005-0000-0000-000038040000}"/>
    <cellStyle name="20% - Cor6 3 5 2" xfId="5919" xr:uid="{00000000-0005-0000-0000-000039040000}"/>
    <cellStyle name="20% - Cor6 3 5 3" xfId="7146" xr:uid="{00000000-0005-0000-0000-00003A040000}"/>
    <cellStyle name="20% - Cor6 3 6" xfId="5278" xr:uid="{00000000-0005-0000-0000-00003B040000}"/>
    <cellStyle name="20% - Cor6 3 7" xfId="6491" xr:uid="{00000000-0005-0000-0000-00003C040000}"/>
    <cellStyle name="20% - Cor6 3 8" xfId="1239" xr:uid="{00000000-0005-0000-0000-00003D040000}"/>
    <cellStyle name="20% - Cor6 4" xfId="60" xr:uid="{00000000-0005-0000-0000-00003E040000}"/>
    <cellStyle name="20% - Cor6 4 2" xfId="1543" xr:uid="{00000000-0005-0000-0000-00003F040000}"/>
    <cellStyle name="20% - Cor6 4 2 2" xfId="5570" xr:uid="{00000000-0005-0000-0000-000040040000}"/>
    <cellStyle name="20% - Cor6 4 2 3" xfId="6795" xr:uid="{00000000-0005-0000-0000-000041040000}"/>
    <cellStyle name="20% - Cor6 4 3" xfId="1748" xr:uid="{00000000-0005-0000-0000-000042040000}"/>
    <cellStyle name="20% - Cor6 4 3 2" xfId="5770" xr:uid="{00000000-0005-0000-0000-000043040000}"/>
    <cellStyle name="20% - Cor6 4 3 3" xfId="6995" xr:uid="{00000000-0005-0000-0000-000044040000}"/>
    <cellStyle name="20% - Cor6 4 4" xfId="1956" xr:uid="{00000000-0005-0000-0000-000045040000}"/>
    <cellStyle name="20% - Cor6 4 4 2" xfId="5976" xr:uid="{00000000-0005-0000-0000-000046040000}"/>
    <cellStyle name="20% - Cor6 4 4 3" xfId="7203" xr:uid="{00000000-0005-0000-0000-000047040000}"/>
    <cellStyle name="20% - Cor6 4 5" xfId="5308" xr:uid="{00000000-0005-0000-0000-000048040000}"/>
    <cellStyle name="20% - Cor6 4 6" xfId="6523" xr:uid="{00000000-0005-0000-0000-000049040000}"/>
    <cellStyle name="20% - Cor6 4 7" xfId="1271" xr:uid="{00000000-0005-0000-0000-00004A040000}"/>
    <cellStyle name="20% - Cor6 5" xfId="1387" xr:uid="{00000000-0005-0000-0000-00004B040000}"/>
    <cellStyle name="20% - Cor6 5 2" xfId="1657" xr:uid="{00000000-0005-0000-0000-00004C040000}"/>
    <cellStyle name="20% - Cor6 5 2 2" xfId="5681" xr:uid="{00000000-0005-0000-0000-00004D040000}"/>
    <cellStyle name="20% - Cor6 5 2 3" xfId="6906" xr:uid="{00000000-0005-0000-0000-00004E040000}"/>
    <cellStyle name="20% - Cor6 5 3" xfId="1853" xr:uid="{00000000-0005-0000-0000-00004F040000}"/>
    <cellStyle name="20% - Cor6 5 3 2" xfId="5874" xr:uid="{00000000-0005-0000-0000-000050040000}"/>
    <cellStyle name="20% - Cor6 5 3 3" xfId="7100" xr:uid="{00000000-0005-0000-0000-000051040000}"/>
    <cellStyle name="20% - Cor6 5 4" xfId="2038" xr:uid="{00000000-0005-0000-0000-000052040000}"/>
    <cellStyle name="20% - Cor6 5 4 2" xfId="6057" xr:uid="{00000000-0005-0000-0000-000053040000}"/>
    <cellStyle name="20% - Cor6 5 4 3" xfId="7285" xr:uid="{00000000-0005-0000-0000-000054040000}"/>
    <cellStyle name="20% - Cor6 5 5" xfId="5418" xr:uid="{00000000-0005-0000-0000-000055040000}"/>
    <cellStyle name="20% - Cor6 5 6" xfId="6639" xr:uid="{00000000-0005-0000-0000-000056040000}"/>
    <cellStyle name="20% - Cor6 6" xfId="1401" xr:uid="{00000000-0005-0000-0000-000057040000}"/>
    <cellStyle name="20% - Cor6 6 2" xfId="1671" xr:uid="{00000000-0005-0000-0000-000058040000}"/>
    <cellStyle name="20% - Cor6 6 2 2" xfId="5695" xr:uid="{00000000-0005-0000-0000-000059040000}"/>
    <cellStyle name="20% - Cor6 6 2 3" xfId="6920" xr:uid="{00000000-0005-0000-0000-00005A040000}"/>
    <cellStyle name="20% - Cor6 6 3" xfId="1867" xr:uid="{00000000-0005-0000-0000-00005B040000}"/>
    <cellStyle name="20% - Cor6 6 3 2" xfId="5888" xr:uid="{00000000-0005-0000-0000-00005C040000}"/>
    <cellStyle name="20% - Cor6 6 3 3" xfId="7114" xr:uid="{00000000-0005-0000-0000-00005D040000}"/>
    <cellStyle name="20% - Cor6 6 4" xfId="2052" xr:uid="{00000000-0005-0000-0000-00005E040000}"/>
    <cellStyle name="20% - Cor6 6 4 2" xfId="6071" xr:uid="{00000000-0005-0000-0000-00005F040000}"/>
    <cellStyle name="20% - Cor6 6 4 3" xfId="7299" xr:uid="{00000000-0005-0000-0000-000060040000}"/>
    <cellStyle name="20% - Cor6 6 5" xfId="5432" xr:uid="{00000000-0005-0000-0000-000061040000}"/>
    <cellStyle name="20% - Cor6 6 6" xfId="6653" xr:uid="{00000000-0005-0000-0000-000062040000}"/>
    <cellStyle name="20% - Cor6 7" xfId="1437" xr:uid="{00000000-0005-0000-0000-000063040000}"/>
    <cellStyle name="20% - Cor6 7 2" xfId="1891" xr:uid="{00000000-0005-0000-0000-000064040000}"/>
    <cellStyle name="20% - Cor6 7 2 2" xfId="5911" xr:uid="{00000000-0005-0000-0000-000065040000}"/>
    <cellStyle name="20% - Cor6 7 2 3" xfId="7138" xr:uid="{00000000-0005-0000-0000-000066040000}"/>
    <cellStyle name="20% - Cor6 7 3" xfId="2064" xr:uid="{00000000-0005-0000-0000-000067040000}"/>
    <cellStyle name="20% - Cor6 7 3 2" xfId="6083" xr:uid="{00000000-0005-0000-0000-000068040000}"/>
    <cellStyle name="20% - Cor6 7 3 3" xfId="7311" xr:uid="{00000000-0005-0000-0000-000069040000}"/>
    <cellStyle name="20% - Cor6 7 4" xfId="5467" xr:uid="{00000000-0005-0000-0000-00006A040000}"/>
    <cellStyle name="20% - Cor6 7 5" xfId="6689" xr:uid="{00000000-0005-0000-0000-00006B040000}"/>
    <cellStyle name="20% - Cor6 8" xfId="1605" xr:uid="{00000000-0005-0000-0000-00006C040000}"/>
    <cellStyle name="20% - Cor6 8 2" xfId="2076" xr:uid="{00000000-0005-0000-0000-00006D040000}"/>
    <cellStyle name="20% - Cor6 8 2 2" xfId="6095" xr:uid="{00000000-0005-0000-0000-00006E040000}"/>
    <cellStyle name="20% - Cor6 8 2 3" xfId="7323" xr:uid="{00000000-0005-0000-0000-00006F040000}"/>
    <cellStyle name="20% - Cor6 8 3" xfId="5631" xr:uid="{00000000-0005-0000-0000-000070040000}"/>
    <cellStyle name="20% - Cor6 8 4" xfId="6856" xr:uid="{00000000-0005-0000-0000-000071040000}"/>
    <cellStyle name="20% - Cor6 9" xfId="2005" xr:uid="{00000000-0005-0000-0000-000072040000}"/>
    <cellStyle name="20% - Cor6 9 2" xfId="6024" xr:uid="{00000000-0005-0000-0000-000073040000}"/>
    <cellStyle name="20% - Cor6 9 3" xfId="7252" xr:uid="{00000000-0005-0000-0000-000074040000}"/>
    <cellStyle name="40% - Accent1" xfId="61" xr:uid="{00000000-0005-0000-0000-000075040000}"/>
    <cellStyle name="40% - Accent1 10" xfId="2604" xr:uid="{00000000-0005-0000-0000-000076040000}"/>
    <cellStyle name="40% - Accent1 2" xfId="1054" xr:uid="{00000000-0005-0000-0000-000077040000}"/>
    <cellStyle name="40% - Accent1 2 2" xfId="2897" xr:uid="{00000000-0005-0000-0000-000078040000}"/>
    <cellStyle name="40% - Accent1 2 2 2" xfId="3826" xr:uid="{00000000-0005-0000-0000-000079040000}"/>
    <cellStyle name="40% - Accent1 2 2 2 2" xfId="6209" xr:uid="{00000000-0005-0000-0000-00007A040000}"/>
    <cellStyle name="40% - Accent1 2 2 2 3" xfId="8737" xr:uid="{00000000-0005-0000-0000-00007B040000}"/>
    <cellStyle name="40% - Accent1 2 2 3" xfId="4564" xr:uid="{00000000-0005-0000-0000-00007C040000}"/>
    <cellStyle name="40% - Accent1 2 2 4" xfId="7956" xr:uid="{00000000-0005-0000-0000-00007D040000}"/>
    <cellStyle name="40% - Accent1 2 3" xfId="2987" xr:uid="{00000000-0005-0000-0000-00007E040000}"/>
    <cellStyle name="40% - Accent1 2 3 2" xfId="4649" xr:uid="{00000000-0005-0000-0000-00007F040000}"/>
    <cellStyle name="40% - Accent1 2 3 3" xfId="8043" xr:uid="{00000000-0005-0000-0000-000080040000}"/>
    <cellStyle name="40% - Accent1 2 4" xfId="3108" xr:uid="{00000000-0005-0000-0000-000081040000}"/>
    <cellStyle name="40% - Accent1 2 4 2" xfId="4760" xr:uid="{00000000-0005-0000-0000-000082040000}"/>
    <cellStyle name="40% - Accent1 2 4 3" xfId="8164" xr:uid="{00000000-0005-0000-0000-000083040000}"/>
    <cellStyle name="40% - Accent1 2 5" xfId="2783" xr:uid="{00000000-0005-0000-0000-000084040000}"/>
    <cellStyle name="40% - Accent1 2 6" xfId="3920" xr:uid="{00000000-0005-0000-0000-000085040000}"/>
    <cellStyle name="40% - Accent1 2 7" xfId="6335" xr:uid="{00000000-0005-0000-0000-000086040000}"/>
    <cellStyle name="40% - Accent1 3" xfId="2896" xr:uid="{00000000-0005-0000-0000-000087040000}"/>
    <cellStyle name="40% - Accent1 3 2" xfId="3109" xr:uid="{00000000-0005-0000-0000-000088040000}"/>
    <cellStyle name="40% - Accent1 3 2 2" xfId="4761" xr:uid="{00000000-0005-0000-0000-000089040000}"/>
    <cellStyle name="40% - Accent1 3 2 3" xfId="8165" xr:uid="{00000000-0005-0000-0000-00008A040000}"/>
    <cellStyle name="40% - Accent1 3 3" xfId="4563" xr:uid="{00000000-0005-0000-0000-00008B040000}"/>
    <cellStyle name="40% - Accent1 3 4" xfId="7955" xr:uid="{00000000-0005-0000-0000-00008C040000}"/>
    <cellStyle name="40% - Accent1 4" xfId="2986" xr:uid="{00000000-0005-0000-0000-00008D040000}"/>
    <cellStyle name="40% - Accent1 4 2" xfId="3110" xr:uid="{00000000-0005-0000-0000-00008E040000}"/>
    <cellStyle name="40% - Accent1 4 2 2" xfId="4762" xr:uid="{00000000-0005-0000-0000-00008F040000}"/>
    <cellStyle name="40% - Accent1 4 2 3" xfId="8166" xr:uid="{00000000-0005-0000-0000-000090040000}"/>
    <cellStyle name="40% - Accent1 4 3" xfId="4648" xr:uid="{00000000-0005-0000-0000-000091040000}"/>
    <cellStyle name="40% - Accent1 4 4" xfId="8042" xr:uid="{00000000-0005-0000-0000-000092040000}"/>
    <cellStyle name="40% - Accent1 5" xfId="3111" xr:uid="{00000000-0005-0000-0000-000093040000}"/>
    <cellStyle name="40% - Accent1 5 2" xfId="4763" xr:uid="{00000000-0005-0000-0000-000094040000}"/>
    <cellStyle name="40% - Accent1 5 3" xfId="8167" xr:uid="{00000000-0005-0000-0000-000095040000}"/>
    <cellStyle name="40% - Accent1 6" xfId="3112" xr:uid="{00000000-0005-0000-0000-000096040000}"/>
    <cellStyle name="40% - Accent1 6 2" xfId="4764" xr:uid="{00000000-0005-0000-0000-000097040000}"/>
    <cellStyle name="40% - Accent1 6 3" xfId="8168" xr:uid="{00000000-0005-0000-0000-000098040000}"/>
    <cellStyle name="40% - Accent1 7" xfId="2782" xr:uid="{00000000-0005-0000-0000-000099040000}"/>
    <cellStyle name="40% - Accent1 8" xfId="3919" xr:uid="{00000000-0005-0000-0000-00009A040000}"/>
    <cellStyle name="40% - Accent1 9" xfId="7822" xr:uid="{00000000-0005-0000-0000-00009B040000}"/>
    <cellStyle name="40% - Accent2" xfId="62" xr:uid="{00000000-0005-0000-0000-00009C040000}"/>
    <cellStyle name="40% - Accent2 10" xfId="2603" xr:uid="{00000000-0005-0000-0000-00009D040000}"/>
    <cellStyle name="40% - Accent2 2" xfId="1055" xr:uid="{00000000-0005-0000-0000-00009E040000}"/>
    <cellStyle name="40% - Accent2 2 2" xfId="2899" xr:uid="{00000000-0005-0000-0000-00009F040000}"/>
    <cellStyle name="40% - Accent2 2 2 2" xfId="3590" xr:uid="{00000000-0005-0000-0000-0000A0040000}"/>
    <cellStyle name="40% - Accent2 2 2 2 2" xfId="5202" xr:uid="{00000000-0005-0000-0000-0000A1040000}"/>
    <cellStyle name="40% - Accent2 2 2 2 3" xfId="8574" xr:uid="{00000000-0005-0000-0000-0000A2040000}"/>
    <cellStyle name="40% - Accent2 2 2 3" xfId="4566" xr:uid="{00000000-0005-0000-0000-0000A3040000}"/>
    <cellStyle name="40% - Accent2 2 2 4" xfId="7958" xr:uid="{00000000-0005-0000-0000-0000A4040000}"/>
    <cellStyle name="40% - Accent2 2 3" xfId="2989" xr:uid="{00000000-0005-0000-0000-0000A5040000}"/>
    <cellStyle name="40% - Accent2 2 3 2" xfId="4651" xr:uid="{00000000-0005-0000-0000-0000A6040000}"/>
    <cellStyle name="40% - Accent2 2 3 3" xfId="8045" xr:uid="{00000000-0005-0000-0000-0000A7040000}"/>
    <cellStyle name="40% - Accent2 2 4" xfId="3113" xr:uid="{00000000-0005-0000-0000-0000A8040000}"/>
    <cellStyle name="40% - Accent2 2 4 2" xfId="4765" xr:uid="{00000000-0005-0000-0000-0000A9040000}"/>
    <cellStyle name="40% - Accent2 2 4 3" xfId="8169" xr:uid="{00000000-0005-0000-0000-0000AA040000}"/>
    <cellStyle name="40% - Accent2 2 5" xfId="2785" xr:uid="{00000000-0005-0000-0000-0000AB040000}"/>
    <cellStyle name="40% - Accent2 2 6" xfId="3922" xr:uid="{00000000-0005-0000-0000-0000AC040000}"/>
    <cellStyle name="40% - Accent2 2 7" xfId="6336" xr:uid="{00000000-0005-0000-0000-0000AD040000}"/>
    <cellStyle name="40% - Accent2 3" xfId="2898" xr:uid="{00000000-0005-0000-0000-0000AE040000}"/>
    <cellStyle name="40% - Accent2 3 2" xfId="3114" xr:uid="{00000000-0005-0000-0000-0000AF040000}"/>
    <cellStyle name="40% - Accent2 3 2 2" xfId="4766" xr:uid="{00000000-0005-0000-0000-0000B0040000}"/>
    <cellStyle name="40% - Accent2 3 2 3" xfId="8170" xr:uid="{00000000-0005-0000-0000-0000B1040000}"/>
    <cellStyle name="40% - Accent2 3 3" xfId="3776" xr:uid="{00000000-0005-0000-0000-0000B2040000}"/>
    <cellStyle name="40% - Accent2 3 3 2" xfId="6170" xr:uid="{00000000-0005-0000-0000-0000B3040000}"/>
    <cellStyle name="40% - Accent2 3 3 3" xfId="8687" xr:uid="{00000000-0005-0000-0000-0000B4040000}"/>
    <cellStyle name="40% - Accent2 3 4" xfId="4565" xr:uid="{00000000-0005-0000-0000-0000B5040000}"/>
    <cellStyle name="40% - Accent2 3 5" xfId="7957" xr:uid="{00000000-0005-0000-0000-0000B6040000}"/>
    <cellStyle name="40% - Accent2 4" xfId="2988" xr:uid="{00000000-0005-0000-0000-0000B7040000}"/>
    <cellStyle name="40% - Accent2 4 2" xfId="3115" xr:uid="{00000000-0005-0000-0000-0000B8040000}"/>
    <cellStyle name="40% - Accent2 4 2 2" xfId="4767" xr:uid="{00000000-0005-0000-0000-0000B9040000}"/>
    <cellStyle name="40% - Accent2 4 2 3" xfId="8171" xr:uid="{00000000-0005-0000-0000-0000BA040000}"/>
    <cellStyle name="40% - Accent2 4 3" xfId="4650" xr:uid="{00000000-0005-0000-0000-0000BB040000}"/>
    <cellStyle name="40% - Accent2 4 4" xfId="8044" xr:uid="{00000000-0005-0000-0000-0000BC040000}"/>
    <cellStyle name="40% - Accent2 5" xfId="3116" xr:uid="{00000000-0005-0000-0000-0000BD040000}"/>
    <cellStyle name="40% - Accent2 5 2" xfId="4768" xr:uid="{00000000-0005-0000-0000-0000BE040000}"/>
    <cellStyle name="40% - Accent2 5 3" xfId="8172" xr:uid="{00000000-0005-0000-0000-0000BF040000}"/>
    <cellStyle name="40% - Accent2 6" xfId="3117" xr:uid="{00000000-0005-0000-0000-0000C0040000}"/>
    <cellStyle name="40% - Accent2 6 2" xfId="4769" xr:uid="{00000000-0005-0000-0000-0000C1040000}"/>
    <cellStyle name="40% - Accent2 6 3" xfId="8173" xr:uid="{00000000-0005-0000-0000-0000C2040000}"/>
    <cellStyle name="40% - Accent2 7" xfId="2784" xr:uid="{00000000-0005-0000-0000-0000C3040000}"/>
    <cellStyle name="40% - Accent2 8" xfId="3921" xr:uid="{00000000-0005-0000-0000-0000C4040000}"/>
    <cellStyle name="40% - Accent2 9" xfId="7821" xr:uid="{00000000-0005-0000-0000-0000C5040000}"/>
    <cellStyle name="40% - Accent3" xfId="63" xr:uid="{00000000-0005-0000-0000-0000C6040000}"/>
    <cellStyle name="40% - Accent3 10" xfId="2602" xr:uid="{00000000-0005-0000-0000-0000C7040000}"/>
    <cellStyle name="40% - Accent3 2" xfId="1056" xr:uid="{00000000-0005-0000-0000-0000C8040000}"/>
    <cellStyle name="40% - Accent3 2 2" xfId="2901" xr:uid="{00000000-0005-0000-0000-0000C9040000}"/>
    <cellStyle name="40% - Accent3 2 2 2" xfId="3594" xr:uid="{00000000-0005-0000-0000-0000CA040000}"/>
    <cellStyle name="40% - Accent3 2 2 2 2" xfId="5206" xr:uid="{00000000-0005-0000-0000-0000CB040000}"/>
    <cellStyle name="40% - Accent3 2 2 2 3" xfId="8578" xr:uid="{00000000-0005-0000-0000-0000CC040000}"/>
    <cellStyle name="40% - Accent3 2 2 3" xfId="4568" xr:uid="{00000000-0005-0000-0000-0000CD040000}"/>
    <cellStyle name="40% - Accent3 2 2 4" xfId="7960" xr:uid="{00000000-0005-0000-0000-0000CE040000}"/>
    <cellStyle name="40% - Accent3 2 3" xfId="2991" xr:uid="{00000000-0005-0000-0000-0000CF040000}"/>
    <cellStyle name="40% - Accent3 2 3 2" xfId="4653" xr:uid="{00000000-0005-0000-0000-0000D0040000}"/>
    <cellStyle name="40% - Accent3 2 3 3" xfId="8047" xr:uid="{00000000-0005-0000-0000-0000D1040000}"/>
    <cellStyle name="40% - Accent3 2 4" xfId="3118" xr:uid="{00000000-0005-0000-0000-0000D2040000}"/>
    <cellStyle name="40% - Accent3 2 4 2" xfId="4770" xr:uid="{00000000-0005-0000-0000-0000D3040000}"/>
    <cellStyle name="40% - Accent3 2 4 3" xfId="8174" xr:uid="{00000000-0005-0000-0000-0000D4040000}"/>
    <cellStyle name="40% - Accent3 2 5" xfId="2787" xr:uid="{00000000-0005-0000-0000-0000D5040000}"/>
    <cellStyle name="40% - Accent3 2 6" xfId="3924" xr:uid="{00000000-0005-0000-0000-0000D6040000}"/>
    <cellStyle name="40% - Accent3 2 7" xfId="6337" xr:uid="{00000000-0005-0000-0000-0000D7040000}"/>
    <cellStyle name="40% - Accent3 3" xfId="2900" xr:uid="{00000000-0005-0000-0000-0000D8040000}"/>
    <cellStyle name="40% - Accent3 3 2" xfId="3119" xr:uid="{00000000-0005-0000-0000-0000D9040000}"/>
    <cellStyle name="40% - Accent3 3 2 2" xfId="4771" xr:uid="{00000000-0005-0000-0000-0000DA040000}"/>
    <cellStyle name="40% - Accent3 3 2 3" xfId="8175" xr:uid="{00000000-0005-0000-0000-0000DB040000}"/>
    <cellStyle name="40% - Accent3 3 3" xfId="3801" xr:uid="{00000000-0005-0000-0000-0000DC040000}"/>
    <cellStyle name="40% - Accent3 3 3 2" xfId="6191" xr:uid="{00000000-0005-0000-0000-0000DD040000}"/>
    <cellStyle name="40% - Accent3 3 3 3" xfId="8712" xr:uid="{00000000-0005-0000-0000-0000DE040000}"/>
    <cellStyle name="40% - Accent3 3 4" xfId="4567" xr:uid="{00000000-0005-0000-0000-0000DF040000}"/>
    <cellStyle name="40% - Accent3 3 5" xfId="7959" xr:uid="{00000000-0005-0000-0000-0000E0040000}"/>
    <cellStyle name="40% - Accent3 4" xfId="2990" xr:uid="{00000000-0005-0000-0000-0000E1040000}"/>
    <cellStyle name="40% - Accent3 4 2" xfId="3120" xr:uid="{00000000-0005-0000-0000-0000E2040000}"/>
    <cellStyle name="40% - Accent3 4 2 2" xfId="4772" xr:uid="{00000000-0005-0000-0000-0000E3040000}"/>
    <cellStyle name="40% - Accent3 4 2 3" xfId="8176" xr:uid="{00000000-0005-0000-0000-0000E4040000}"/>
    <cellStyle name="40% - Accent3 4 3" xfId="4652" xr:uid="{00000000-0005-0000-0000-0000E5040000}"/>
    <cellStyle name="40% - Accent3 4 4" xfId="8046" xr:uid="{00000000-0005-0000-0000-0000E6040000}"/>
    <cellStyle name="40% - Accent3 5" xfId="3121" xr:uid="{00000000-0005-0000-0000-0000E7040000}"/>
    <cellStyle name="40% - Accent3 5 2" xfId="4773" xr:uid="{00000000-0005-0000-0000-0000E8040000}"/>
    <cellStyle name="40% - Accent3 5 3" xfId="8177" xr:uid="{00000000-0005-0000-0000-0000E9040000}"/>
    <cellStyle name="40% - Accent3 6" xfId="3122" xr:uid="{00000000-0005-0000-0000-0000EA040000}"/>
    <cellStyle name="40% - Accent3 6 2" xfId="4774" xr:uid="{00000000-0005-0000-0000-0000EB040000}"/>
    <cellStyle name="40% - Accent3 6 3" xfId="8178" xr:uid="{00000000-0005-0000-0000-0000EC040000}"/>
    <cellStyle name="40% - Accent3 7" xfId="2786" xr:uid="{00000000-0005-0000-0000-0000ED040000}"/>
    <cellStyle name="40% - Accent3 8" xfId="3923" xr:uid="{00000000-0005-0000-0000-0000EE040000}"/>
    <cellStyle name="40% - Accent3 9" xfId="7820" xr:uid="{00000000-0005-0000-0000-0000EF040000}"/>
    <cellStyle name="40% - Accent4" xfId="64" xr:uid="{00000000-0005-0000-0000-0000F0040000}"/>
    <cellStyle name="40% - Accent4 10" xfId="2601" xr:uid="{00000000-0005-0000-0000-0000F1040000}"/>
    <cellStyle name="40% - Accent4 2" xfId="1057" xr:uid="{00000000-0005-0000-0000-0000F2040000}"/>
    <cellStyle name="40% - Accent4 2 2" xfId="2903" xr:uid="{00000000-0005-0000-0000-0000F3040000}"/>
    <cellStyle name="40% - Accent4 2 2 2" xfId="3598" xr:uid="{00000000-0005-0000-0000-0000F4040000}"/>
    <cellStyle name="40% - Accent4 2 2 2 2" xfId="5210" xr:uid="{00000000-0005-0000-0000-0000F5040000}"/>
    <cellStyle name="40% - Accent4 2 2 2 3" xfId="8582" xr:uid="{00000000-0005-0000-0000-0000F6040000}"/>
    <cellStyle name="40% - Accent4 2 2 3" xfId="4570" xr:uid="{00000000-0005-0000-0000-0000F7040000}"/>
    <cellStyle name="40% - Accent4 2 2 4" xfId="7962" xr:uid="{00000000-0005-0000-0000-0000F8040000}"/>
    <cellStyle name="40% - Accent4 2 3" xfId="2993" xr:uid="{00000000-0005-0000-0000-0000F9040000}"/>
    <cellStyle name="40% - Accent4 2 3 2" xfId="4655" xr:uid="{00000000-0005-0000-0000-0000FA040000}"/>
    <cellStyle name="40% - Accent4 2 3 3" xfId="8049" xr:uid="{00000000-0005-0000-0000-0000FB040000}"/>
    <cellStyle name="40% - Accent4 2 4" xfId="3123" xr:uid="{00000000-0005-0000-0000-0000FC040000}"/>
    <cellStyle name="40% - Accent4 2 4 2" xfId="4775" xr:uid="{00000000-0005-0000-0000-0000FD040000}"/>
    <cellStyle name="40% - Accent4 2 4 3" xfId="8179" xr:uid="{00000000-0005-0000-0000-0000FE040000}"/>
    <cellStyle name="40% - Accent4 2 5" xfId="2789" xr:uid="{00000000-0005-0000-0000-0000FF040000}"/>
    <cellStyle name="40% - Accent4 2 6" xfId="3926" xr:uid="{00000000-0005-0000-0000-000000050000}"/>
    <cellStyle name="40% - Accent4 2 7" xfId="6338" xr:uid="{00000000-0005-0000-0000-000001050000}"/>
    <cellStyle name="40% - Accent4 3" xfId="2902" xr:uid="{00000000-0005-0000-0000-000002050000}"/>
    <cellStyle name="40% - Accent4 3 2" xfId="3124" xr:uid="{00000000-0005-0000-0000-000003050000}"/>
    <cellStyle name="40% - Accent4 3 2 2" xfId="4776" xr:uid="{00000000-0005-0000-0000-000004050000}"/>
    <cellStyle name="40% - Accent4 3 2 3" xfId="8180" xr:uid="{00000000-0005-0000-0000-000005050000}"/>
    <cellStyle name="40% - Accent4 3 3" xfId="3820" xr:uid="{00000000-0005-0000-0000-000006050000}"/>
    <cellStyle name="40% - Accent4 3 3 2" xfId="6205" xr:uid="{00000000-0005-0000-0000-000007050000}"/>
    <cellStyle name="40% - Accent4 3 3 3" xfId="8731" xr:uid="{00000000-0005-0000-0000-000008050000}"/>
    <cellStyle name="40% - Accent4 3 4" xfId="4569" xr:uid="{00000000-0005-0000-0000-000009050000}"/>
    <cellStyle name="40% - Accent4 3 5" xfId="7961" xr:uid="{00000000-0005-0000-0000-00000A050000}"/>
    <cellStyle name="40% - Accent4 4" xfId="2992" xr:uid="{00000000-0005-0000-0000-00000B050000}"/>
    <cellStyle name="40% - Accent4 4 2" xfId="3125" xr:uid="{00000000-0005-0000-0000-00000C050000}"/>
    <cellStyle name="40% - Accent4 4 2 2" xfId="4777" xr:uid="{00000000-0005-0000-0000-00000D050000}"/>
    <cellStyle name="40% - Accent4 4 2 3" xfId="8181" xr:uid="{00000000-0005-0000-0000-00000E050000}"/>
    <cellStyle name="40% - Accent4 4 3" xfId="4654" xr:uid="{00000000-0005-0000-0000-00000F050000}"/>
    <cellStyle name="40% - Accent4 4 4" xfId="8048" xr:uid="{00000000-0005-0000-0000-000010050000}"/>
    <cellStyle name="40% - Accent4 5" xfId="3126" xr:uid="{00000000-0005-0000-0000-000011050000}"/>
    <cellStyle name="40% - Accent4 5 2" xfId="4778" xr:uid="{00000000-0005-0000-0000-000012050000}"/>
    <cellStyle name="40% - Accent4 5 3" xfId="8182" xr:uid="{00000000-0005-0000-0000-000013050000}"/>
    <cellStyle name="40% - Accent4 6" xfId="3127" xr:uid="{00000000-0005-0000-0000-000014050000}"/>
    <cellStyle name="40% - Accent4 6 2" xfId="4779" xr:uid="{00000000-0005-0000-0000-000015050000}"/>
    <cellStyle name="40% - Accent4 6 3" xfId="8183" xr:uid="{00000000-0005-0000-0000-000016050000}"/>
    <cellStyle name="40% - Accent4 7" xfId="2788" xr:uid="{00000000-0005-0000-0000-000017050000}"/>
    <cellStyle name="40% - Accent4 8" xfId="3925" xr:uid="{00000000-0005-0000-0000-000018050000}"/>
    <cellStyle name="40% - Accent4 9" xfId="7819" xr:uid="{00000000-0005-0000-0000-000019050000}"/>
    <cellStyle name="40% - Accent5" xfId="65" xr:uid="{00000000-0005-0000-0000-00001A050000}"/>
    <cellStyle name="40% - Accent5 10" xfId="2600" xr:uid="{00000000-0005-0000-0000-00001B050000}"/>
    <cellStyle name="40% - Accent5 2" xfId="1058" xr:uid="{00000000-0005-0000-0000-00001C050000}"/>
    <cellStyle name="40% - Accent5 2 2" xfId="2905" xr:uid="{00000000-0005-0000-0000-00001D050000}"/>
    <cellStyle name="40% - Accent5 2 2 2" xfId="3602" xr:uid="{00000000-0005-0000-0000-00001E050000}"/>
    <cellStyle name="40% - Accent5 2 2 2 2" xfId="5214" xr:uid="{00000000-0005-0000-0000-00001F050000}"/>
    <cellStyle name="40% - Accent5 2 2 2 3" xfId="8586" xr:uid="{00000000-0005-0000-0000-000020050000}"/>
    <cellStyle name="40% - Accent5 2 2 3" xfId="4572" xr:uid="{00000000-0005-0000-0000-000021050000}"/>
    <cellStyle name="40% - Accent5 2 2 4" xfId="7964" xr:uid="{00000000-0005-0000-0000-000022050000}"/>
    <cellStyle name="40% - Accent5 2 3" xfId="2995" xr:uid="{00000000-0005-0000-0000-000023050000}"/>
    <cellStyle name="40% - Accent5 2 3 2" xfId="4657" xr:uid="{00000000-0005-0000-0000-000024050000}"/>
    <cellStyle name="40% - Accent5 2 3 3" xfId="8051" xr:uid="{00000000-0005-0000-0000-000025050000}"/>
    <cellStyle name="40% - Accent5 2 4" xfId="3128" xr:uid="{00000000-0005-0000-0000-000026050000}"/>
    <cellStyle name="40% - Accent5 2 4 2" xfId="4780" xr:uid="{00000000-0005-0000-0000-000027050000}"/>
    <cellStyle name="40% - Accent5 2 4 3" xfId="8184" xr:uid="{00000000-0005-0000-0000-000028050000}"/>
    <cellStyle name="40% - Accent5 2 5" xfId="2791" xr:uid="{00000000-0005-0000-0000-000029050000}"/>
    <cellStyle name="40% - Accent5 2 6" xfId="3928" xr:uid="{00000000-0005-0000-0000-00002A050000}"/>
    <cellStyle name="40% - Accent5 2 7" xfId="6339" xr:uid="{00000000-0005-0000-0000-00002B050000}"/>
    <cellStyle name="40% - Accent5 3" xfId="2904" xr:uid="{00000000-0005-0000-0000-00002C050000}"/>
    <cellStyle name="40% - Accent5 3 2" xfId="3129" xr:uid="{00000000-0005-0000-0000-00002D050000}"/>
    <cellStyle name="40% - Accent5 3 2 2" xfId="4781" xr:uid="{00000000-0005-0000-0000-00002E050000}"/>
    <cellStyle name="40% - Accent5 3 2 3" xfId="8185" xr:uid="{00000000-0005-0000-0000-00002F050000}"/>
    <cellStyle name="40% - Accent5 3 3" xfId="3840" xr:uid="{00000000-0005-0000-0000-000030050000}"/>
    <cellStyle name="40% - Accent5 3 3 2" xfId="6221" xr:uid="{00000000-0005-0000-0000-000031050000}"/>
    <cellStyle name="40% - Accent5 3 3 3" xfId="8751" xr:uid="{00000000-0005-0000-0000-000032050000}"/>
    <cellStyle name="40% - Accent5 3 4" xfId="4571" xr:uid="{00000000-0005-0000-0000-000033050000}"/>
    <cellStyle name="40% - Accent5 3 5" xfId="7963" xr:uid="{00000000-0005-0000-0000-000034050000}"/>
    <cellStyle name="40% - Accent5 4" xfId="2994" xr:uid="{00000000-0005-0000-0000-000035050000}"/>
    <cellStyle name="40% - Accent5 4 2" xfId="3130" xr:uid="{00000000-0005-0000-0000-000036050000}"/>
    <cellStyle name="40% - Accent5 4 2 2" xfId="4782" xr:uid="{00000000-0005-0000-0000-000037050000}"/>
    <cellStyle name="40% - Accent5 4 2 3" xfId="8186" xr:uid="{00000000-0005-0000-0000-000038050000}"/>
    <cellStyle name="40% - Accent5 4 3" xfId="4656" xr:uid="{00000000-0005-0000-0000-000039050000}"/>
    <cellStyle name="40% - Accent5 4 4" xfId="8050" xr:uid="{00000000-0005-0000-0000-00003A050000}"/>
    <cellStyle name="40% - Accent5 5" xfId="3131" xr:uid="{00000000-0005-0000-0000-00003B050000}"/>
    <cellStyle name="40% - Accent5 5 2" xfId="4783" xr:uid="{00000000-0005-0000-0000-00003C050000}"/>
    <cellStyle name="40% - Accent5 5 3" xfId="8187" xr:uid="{00000000-0005-0000-0000-00003D050000}"/>
    <cellStyle name="40% - Accent5 6" xfId="3132" xr:uid="{00000000-0005-0000-0000-00003E050000}"/>
    <cellStyle name="40% - Accent5 6 2" xfId="4784" xr:uid="{00000000-0005-0000-0000-00003F050000}"/>
    <cellStyle name="40% - Accent5 6 3" xfId="8188" xr:uid="{00000000-0005-0000-0000-000040050000}"/>
    <cellStyle name="40% - Accent5 7" xfId="2790" xr:uid="{00000000-0005-0000-0000-000041050000}"/>
    <cellStyle name="40% - Accent5 8" xfId="3927" xr:uid="{00000000-0005-0000-0000-000042050000}"/>
    <cellStyle name="40% - Accent5 9" xfId="7818" xr:uid="{00000000-0005-0000-0000-000043050000}"/>
    <cellStyle name="40% - Accent6" xfId="66" xr:uid="{00000000-0005-0000-0000-000044050000}"/>
    <cellStyle name="40% - Accent6 10" xfId="2599" xr:uid="{00000000-0005-0000-0000-000045050000}"/>
    <cellStyle name="40% - Accent6 2" xfId="1059" xr:uid="{00000000-0005-0000-0000-000046050000}"/>
    <cellStyle name="40% - Accent6 2 2" xfId="2907" xr:uid="{00000000-0005-0000-0000-000047050000}"/>
    <cellStyle name="40% - Accent6 2 2 2" xfId="3606" xr:uid="{00000000-0005-0000-0000-000048050000}"/>
    <cellStyle name="40% - Accent6 2 2 2 2" xfId="5218" xr:uid="{00000000-0005-0000-0000-000049050000}"/>
    <cellStyle name="40% - Accent6 2 2 2 3" xfId="8590" xr:uid="{00000000-0005-0000-0000-00004A050000}"/>
    <cellStyle name="40% - Accent6 2 2 3" xfId="4574" xr:uid="{00000000-0005-0000-0000-00004B050000}"/>
    <cellStyle name="40% - Accent6 2 2 4" xfId="7966" xr:uid="{00000000-0005-0000-0000-00004C050000}"/>
    <cellStyle name="40% - Accent6 2 3" xfId="2997" xr:uid="{00000000-0005-0000-0000-00004D050000}"/>
    <cellStyle name="40% - Accent6 2 3 2" xfId="4659" xr:uid="{00000000-0005-0000-0000-00004E050000}"/>
    <cellStyle name="40% - Accent6 2 3 3" xfId="8053" xr:uid="{00000000-0005-0000-0000-00004F050000}"/>
    <cellStyle name="40% - Accent6 2 4" xfId="3133" xr:uid="{00000000-0005-0000-0000-000050050000}"/>
    <cellStyle name="40% - Accent6 2 4 2" xfId="4785" xr:uid="{00000000-0005-0000-0000-000051050000}"/>
    <cellStyle name="40% - Accent6 2 4 3" xfId="8189" xr:uid="{00000000-0005-0000-0000-000052050000}"/>
    <cellStyle name="40% - Accent6 2 5" xfId="2793" xr:uid="{00000000-0005-0000-0000-000053050000}"/>
    <cellStyle name="40% - Accent6 2 6" xfId="3930" xr:uid="{00000000-0005-0000-0000-000054050000}"/>
    <cellStyle name="40% - Accent6 2 7" xfId="6340" xr:uid="{00000000-0005-0000-0000-000055050000}"/>
    <cellStyle name="40% - Accent6 3" xfId="2906" xr:uid="{00000000-0005-0000-0000-000056050000}"/>
    <cellStyle name="40% - Accent6 3 2" xfId="3134" xr:uid="{00000000-0005-0000-0000-000057050000}"/>
    <cellStyle name="40% - Accent6 3 2 2" xfId="4786" xr:uid="{00000000-0005-0000-0000-000058050000}"/>
    <cellStyle name="40% - Accent6 3 2 3" xfId="8190" xr:uid="{00000000-0005-0000-0000-000059050000}"/>
    <cellStyle name="40% - Accent6 3 3" xfId="3779" xr:uid="{00000000-0005-0000-0000-00005A050000}"/>
    <cellStyle name="40% - Accent6 3 3 2" xfId="6172" xr:uid="{00000000-0005-0000-0000-00005B050000}"/>
    <cellStyle name="40% - Accent6 3 3 3" xfId="8690" xr:uid="{00000000-0005-0000-0000-00005C050000}"/>
    <cellStyle name="40% - Accent6 3 4" xfId="4573" xr:uid="{00000000-0005-0000-0000-00005D050000}"/>
    <cellStyle name="40% - Accent6 3 5" xfId="7965" xr:uid="{00000000-0005-0000-0000-00005E050000}"/>
    <cellStyle name="40% - Accent6 4" xfId="2996" xr:uid="{00000000-0005-0000-0000-00005F050000}"/>
    <cellStyle name="40% - Accent6 4 2" xfId="3135" xr:uid="{00000000-0005-0000-0000-000060050000}"/>
    <cellStyle name="40% - Accent6 4 2 2" xfId="4787" xr:uid="{00000000-0005-0000-0000-000061050000}"/>
    <cellStyle name="40% - Accent6 4 2 3" xfId="8191" xr:uid="{00000000-0005-0000-0000-000062050000}"/>
    <cellStyle name="40% - Accent6 4 3" xfId="4658" xr:uid="{00000000-0005-0000-0000-000063050000}"/>
    <cellStyle name="40% - Accent6 4 4" xfId="8052" xr:uid="{00000000-0005-0000-0000-000064050000}"/>
    <cellStyle name="40% - Accent6 5" xfId="3136" xr:uid="{00000000-0005-0000-0000-000065050000}"/>
    <cellStyle name="40% - Accent6 5 2" xfId="4788" xr:uid="{00000000-0005-0000-0000-000066050000}"/>
    <cellStyle name="40% - Accent6 5 3" xfId="8192" xr:uid="{00000000-0005-0000-0000-000067050000}"/>
    <cellStyle name="40% - Accent6 6" xfId="3137" xr:uid="{00000000-0005-0000-0000-000068050000}"/>
    <cellStyle name="40% - Accent6 6 2" xfId="4789" xr:uid="{00000000-0005-0000-0000-000069050000}"/>
    <cellStyle name="40% - Accent6 6 3" xfId="8193" xr:uid="{00000000-0005-0000-0000-00006A050000}"/>
    <cellStyle name="40% - Accent6 7" xfId="2792" xr:uid="{00000000-0005-0000-0000-00006B050000}"/>
    <cellStyle name="40% - Accent6 8" xfId="3929" xr:uid="{00000000-0005-0000-0000-00006C050000}"/>
    <cellStyle name="40% - Accent6 9" xfId="7817" xr:uid="{00000000-0005-0000-0000-00006D050000}"/>
    <cellStyle name="40% - Cor1 10" xfId="6299" xr:uid="{00000000-0005-0000-0000-00006E050000}"/>
    <cellStyle name="40% - Cor1 11" xfId="1017" xr:uid="{00000000-0005-0000-0000-00006F050000}"/>
    <cellStyle name="40% - Cor1 2" xfId="67" xr:uid="{00000000-0005-0000-0000-000070050000}"/>
    <cellStyle name="40% - Cor1 2 2" xfId="1260" xr:uid="{00000000-0005-0000-0000-000071050000}"/>
    <cellStyle name="40% - Cor1 2 2 2" xfId="1531" xr:uid="{00000000-0005-0000-0000-000072050000}"/>
    <cellStyle name="40% - Cor1 2 2 2 2" xfId="5558" xr:uid="{00000000-0005-0000-0000-000073050000}"/>
    <cellStyle name="40% - Cor1 2 2 2 3" xfId="6783" xr:uid="{00000000-0005-0000-0000-000074050000}"/>
    <cellStyle name="40% - Cor1 2 2 3" xfId="1736" xr:uid="{00000000-0005-0000-0000-000075050000}"/>
    <cellStyle name="40% - Cor1 2 2 3 2" xfId="5758" xr:uid="{00000000-0005-0000-0000-000076050000}"/>
    <cellStyle name="40% - Cor1 2 2 3 3" xfId="6983" xr:uid="{00000000-0005-0000-0000-000077050000}"/>
    <cellStyle name="40% - Cor1 2 2 4" xfId="1639" xr:uid="{00000000-0005-0000-0000-000078050000}"/>
    <cellStyle name="40% - Cor1 2 2 4 2" xfId="5664" xr:uid="{00000000-0005-0000-0000-000079050000}"/>
    <cellStyle name="40% - Cor1 2 2 4 3" xfId="6889" xr:uid="{00000000-0005-0000-0000-00007A050000}"/>
    <cellStyle name="40% - Cor1 2 2 5" xfId="5297" xr:uid="{00000000-0005-0000-0000-00007B050000}"/>
    <cellStyle name="40% - Cor1 2 2 6" xfId="6512" xr:uid="{00000000-0005-0000-0000-00007C050000}"/>
    <cellStyle name="40% - Cor1 2 3" xfId="1307" xr:uid="{00000000-0005-0000-0000-00007D050000}"/>
    <cellStyle name="40% - Cor1 2 3 2" xfId="1576" xr:uid="{00000000-0005-0000-0000-00007E050000}"/>
    <cellStyle name="40% - Cor1 2 3 2 2" xfId="5602" xr:uid="{00000000-0005-0000-0000-00007F050000}"/>
    <cellStyle name="40% - Cor1 2 3 2 3" xfId="6827" xr:uid="{00000000-0005-0000-0000-000080050000}"/>
    <cellStyle name="40% - Cor1 2 3 3" xfId="1780" xr:uid="{00000000-0005-0000-0000-000081050000}"/>
    <cellStyle name="40% - Cor1 2 3 3 2" xfId="5801" xr:uid="{00000000-0005-0000-0000-000082050000}"/>
    <cellStyle name="40% - Cor1 2 3 3 3" xfId="7027" xr:uid="{00000000-0005-0000-0000-000083050000}"/>
    <cellStyle name="40% - Cor1 2 3 4" xfId="1942" xr:uid="{00000000-0005-0000-0000-000084050000}"/>
    <cellStyle name="40% - Cor1 2 3 4 2" xfId="5962" xr:uid="{00000000-0005-0000-0000-000085050000}"/>
    <cellStyle name="40% - Cor1 2 3 4 3" xfId="7189" xr:uid="{00000000-0005-0000-0000-000086050000}"/>
    <cellStyle name="40% - Cor1 2 3 5" xfId="5343" xr:uid="{00000000-0005-0000-0000-000087050000}"/>
    <cellStyle name="40% - Cor1 2 3 6" xfId="6559" xr:uid="{00000000-0005-0000-0000-000088050000}"/>
    <cellStyle name="40% - Cor1 2 4" xfId="1456" xr:uid="{00000000-0005-0000-0000-000089050000}"/>
    <cellStyle name="40% - Cor1 2 4 2" xfId="5484" xr:uid="{00000000-0005-0000-0000-00008A050000}"/>
    <cellStyle name="40% - Cor1 2 4 3" xfId="6708" xr:uid="{00000000-0005-0000-0000-00008B050000}"/>
    <cellStyle name="40% - Cor1 2 5" xfId="1424" xr:uid="{00000000-0005-0000-0000-00008C050000}"/>
    <cellStyle name="40% - Cor1 2 5 2" xfId="5454" xr:uid="{00000000-0005-0000-0000-00008D050000}"/>
    <cellStyle name="40% - Cor1 2 5 3" xfId="6676" xr:uid="{00000000-0005-0000-0000-00008E050000}"/>
    <cellStyle name="40% - Cor1 2 6" xfId="1805" xr:uid="{00000000-0005-0000-0000-00008F050000}"/>
    <cellStyle name="40% - Cor1 2 6 2" xfId="5826" xr:uid="{00000000-0005-0000-0000-000090050000}"/>
    <cellStyle name="40% - Cor1 2 6 3" xfId="7052" xr:uid="{00000000-0005-0000-0000-000091050000}"/>
    <cellStyle name="40% - Cor1 2 7" xfId="5229" xr:uid="{00000000-0005-0000-0000-000092050000}"/>
    <cellStyle name="40% - Cor1 2 8" xfId="6439" xr:uid="{00000000-0005-0000-0000-000093050000}"/>
    <cellStyle name="40% - Cor1 2 9" xfId="1187" xr:uid="{00000000-0005-0000-0000-000094050000}"/>
    <cellStyle name="40% - Cor1 3" xfId="68" xr:uid="{00000000-0005-0000-0000-000095050000}"/>
    <cellStyle name="40% - Cor1 3 2" xfId="1341" xr:uid="{00000000-0005-0000-0000-000096050000}"/>
    <cellStyle name="40% - Cor1 3 2 2" xfId="1609" xr:uid="{00000000-0005-0000-0000-000097050000}"/>
    <cellStyle name="40% - Cor1 3 2 2 2" xfId="5635" xr:uid="{00000000-0005-0000-0000-000098050000}"/>
    <cellStyle name="40% - Cor1 3 2 2 3" xfId="6860" xr:uid="{00000000-0005-0000-0000-000099050000}"/>
    <cellStyle name="40% - Cor1 3 2 3" xfId="1810" xr:uid="{00000000-0005-0000-0000-00009A050000}"/>
    <cellStyle name="40% - Cor1 3 2 3 2" xfId="5831" xr:uid="{00000000-0005-0000-0000-00009B050000}"/>
    <cellStyle name="40% - Cor1 3 2 3 3" xfId="7057" xr:uid="{00000000-0005-0000-0000-00009C050000}"/>
    <cellStyle name="40% - Cor1 3 2 4" xfId="1999" xr:uid="{00000000-0005-0000-0000-00009D050000}"/>
    <cellStyle name="40% - Cor1 3 2 4 2" xfId="6018" xr:uid="{00000000-0005-0000-0000-00009E050000}"/>
    <cellStyle name="40% - Cor1 3 2 4 3" xfId="7246" xr:uid="{00000000-0005-0000-0000-00009F050000}"/>
    <cellStyle name="40% - Cor1 3 2 5" xfId="5375" xr:uid="{00000000-0005-0000-0000-0000A0050000}"/>
    <cellStyle name="40% - Cor1 3 2 6" xfId="6593" xr:uid="{00000000-0005-0000-0000-0000A1050000}"/>
    <cellStyle name="40% - Cor1 3 3" xfId="1496" xr:uid="{00000000-0005-0000-0000-0000A2050000}"/>
    <cellStyle name="40% - Cor1 3 3 2" xfId="5524" xr:uid="{00000000-0005-0000-0000-0000A3050000}"/>
    <cellStyle name="40% - Cor1 3 3 3" xfId="6748" xr:uid="{00000000-0005-0000-0000-0000A4050000}"/>
    <cellStyle name="40% - Cor1 3 4" xfId="1703" xr:uid="{00000000-0005-0000-0000-0000A5050000}"/>
    <cellStyle name="40% - Cor1 3 4 2" xfId="5725" xr:uid="{00000000-0005-0000-0000-0000A6050000}"/>
    <cellStyle name="40% - Cor1 3 4 3" xfId="6950" xr:uid="{00000000-0005-0000-0000-0000A7050000}"/>
    <cellStyle name="40% - Cor1 3 5" xfId="1970" xr:uid="{00000000-0005-0000-0000-0000A8050000}"/>
    <cellStyle name="40% - Cor1 3 5 2" xfId="5990" xr:uid="{00000000-0005-0000-0000-0000A9050000}"/>
    <cellStyle name="40% - Cor1 3 5 3" xfId="7217" xr:uid="{00000000-0005-0000-0000-0000AA050000}"/>
    <cellStyle name="40% - Cor1 3 6" xfId="5265" xr:uid="{00000000-0005-0000-0000-0000AB050000}"/>
    <cellStyle name="40% - Cor1 3 7" xfId="6478" xr:uid="{00000000-0005-0000-0000-0000AC050000}"/>
    <cellStyle name="40% - Cor1 3 8" xfId="1226" xr:uid="{00000000-0005-0000-0000-0000AD050000}"/>
    <cellStyle name="40% - Cor1 4" xfId="69" xr:uid="{00000000-0005-0000-0000-0000AE050000}"/>
    <cellStyle name="40% - Cor1 4 2" xfId="1490" xr:uid="{00000000-0005-0000-0000-0000AF050000}"/>
    <cellStyle name="40% - Cor1 4 2 2" xfId="5518" xr:uid="{00000000-0005-0000-0000-0000B0050000}"/>
    <cellStyle name="40% - Cor1 4 2 3" xfId="6742" xr:uid="{00000000-0005-0000-0000-0000B1050000}"/>
    <cellStyle name="40% - Cor1 4 3" xfId="1697" xr:uid="{00000000-0005-0000-0000-0000B2050000}"/>
    <cellStyle name="40% - Cor1 4 3 2" xfId="5719" xr:uid="{00000000-0005-0000-0000-0000B3050000}"/>
    <cellStyle name="40% - Cor1 4 3 3" xfId="6944" xr:uid="{00000000-0005-0000-0000-0000B4050000}"/>
    <cellStyle name="40% - Cor1 4 4" xfId="1971" xr:uid="{00000000-0005-0000-0000-0000B5050000}"/>
    <cellStyle name="40% - Cor1 4 4 2" xfId="5991" xr:uid="{00000000-0005-0000-0000-0000B6050000}"/>
    <cellStyle name="40% - Cor1 4 4 3" xfId="7218" xr:uid="{00000000-0005-0000-0000-0000B7050000}"/>
    <cellStyle name="40% - Cor1 4 5" xfId="5259" xr:uid="{00000000-0005-0000-0000-0000B8050000}"/>
    <cellStyle name="40% - Cor1 4 6" xfId="6472" xr:uid="{00000000-0005-0000-0000-0000B9050000}"/>
    <cellStyle name="40% - Cor1 4 7" xfId="1220" xr:uid="{00000000-0005-0000-0000-0000BA050000}"/>
    <cellStyle name="40% - Cor1 5" xfId="1378" xr:uid="{00000000-0005-0000-0000-0000BB050000}"/>
    <cellStyle name="40% - Cor1 5 2" xfId="1648" xr:uid="{00000000-0005-0000-0000-0000BC050000}"/>
    <cellStyle name="40% - Cor1 5 2 2" xfId="5672" xr:uid="{00000000-0005-0000-0000-0000BD050000}"/>
    <cellStyle name="40% - Cor1 5 2 3" xfId="6897" xr:uid="{00000000-0005-0000-0000-0000BE050000}"/>
    <cellStyle name="40% - Cor1 5 3" xfId="1844" xr:uid="{00000000-0005-0000-0000-0000BF050000}"/>
    <cellStyle name="40% - Cor1 5 3 2" xfId="5865" xr:uid="{00000000-0005-0000-0000-0000C0050000}"/>
    <cellStyle name="40% - Cor1 5 3 3" xfId="7091" xr:uid="{00000000-0005-0000-0000-0000C1050000}"/>
    <cellStyle name="40% - Cor1 5 4" xfId="2029" xr:uid="{00000000-0005-0000-0000-0000C2050000}"/>
    <cellStyle name="40% - Cor1 5 4 2" xfId="6048" xr:uid="{00000000-0005-0000-0000-0000C3050000}"/>
    <cellStyle name="40% - Cor1 5 4 3" xfId="7276" xr:uid="{00000000-0005-0000-0000-0000C4050000}"/>
    <cellStyle name="40% - Cor1 5 5" xfId="5409" xr:uid="{00000000-0005-0000-0000-0000C5050000}"/>
    <cellStyle name="40% - Cor1 5 6" xfId="6630" xr:uid="{00000000-0005-0000-0000-0000C6050000}"/>
    <cellStyle name="40% - Cor1 6" xfId="1392" xr:uid="{00000000-0005-0000-0000-0000C7050000}"/>
    <cellStyle name="40% - Cor1 6 2" xfId="1662" xr:uid="{00000000-0005-0000-0000-0000C8050000}"/>
    <cellStyle name="40% - Cor1 6 2 2" xfId="5686" xr:uid="{00000000-0005-0000-0000-0000C9050000}"/>
    <cellStyle name="40% - Cor1 6 2 3" xfId="6911" xr:uid="{00000000-0005-0000-0000-0000CA050000}"/>
    <cellStyle name="40% - Cor1 6 3" xfId="1858" xr:uid="{00000000-0005-0000-0000-0000CB050000}"/>
    <cellStyle name="40% - Cor1 6 3 2" xfId="5879" xr:uid="{00000000-0005-0000-0000-0000CC050000}"/>
    <cellStyle name="40% - Cor1 6 3 3" xfId="7105" xr:uid="{00000000-0005-0000-0000-0000CD050000}"/>
    <cellStyle name="40% - Cor1 6 4" xfId="2043" xr:uid="{00000000-0005-0000-0000-0000CE050000}"/>
    <cellStyle name="40% - Cor1 6 4 2" xfId="6062" xr:uid="{00000000-0005-0000-0000-0000CF050000}"/>
    <cellStyle name="40% - Cor1 6 4 3" xfId="7290" xr:uid="{00000000-0005-0000-0000-0000D0050000}"/>
    <cellStyle name="40% - Cor1 6 5" xfId="5423" xr:uid="{00000000-0005-0000-0000-0000D1050000}"/>
    <cellStyle name="40% - Cor1 6 6" xfId="6644" xr:uid="{00000000-0005-0000-0000-0000D2050000}"/>
    <cellStyle name="40% - Cor1 7" xfId="1419" xr:uid="{00000000-0005-0000-0000-0000D3050000}"/>
    <cellStyle name="40% - Cor1 7 2" xfId="1882" xr:uid="{00000000-0005-0000-0000-0000D4050000}"/>
    <cellStyle name="40% - Cor1 7 2 2" xfId="5902" xr:uid="{00000000-0005-0000-0000-0000D5050000}"/>
    <cellStyle name="40% - Cor1 7 2 3" xfId="7129" xr:uid="{00000000-0005-0000-0000-0000D6050000}"/>
    <cellStyle name="40% - Cor1 7 3" xfId="2055" xr:uid="{00000000-0005-0000-0000-0000D7050000}"/>
    <cellStyle name="40% - Cor1 7 3 2" xfId="6074" xr:uid="{00000000-0005-0000-0000-0000D8050000}"/>
    <cellStyle name="40% - Cor1 7 3 3" xfId="7302" xr:uid="{00000000-0005-0000-0000-0000D9050000}"/>
    <cellStyle name="40% - Cor1 7 4" xfId="5449" xr:uid="{00000000-0005-0000-0000-0000DA050000}"/>
    <cellStyle name="40% - Cor1 7 5" xfId="6671" xr:uid="{00000000-0005-0000-0000-0000DB050000}"/>
    <cellStyle name="40% - Cor1 8" xfId="1517" xr:uid="{00000000-0005-0000-0000-0000DC050000}"/>
    <cellStyle name="40% - Cor1 8 2" xfId="2071" xr:uid="{00000000-0005-0000-0000-0000DD050000}"/>
    <cellStyle name="40% - Cor1 8 2 2" xfId="6090" xr:uid="{00000000-0005-0000-0000-0000DE050000}"/>
    <cellStyle name="40% - Cor1 8 2 3" xfId="7318" xr:uid="{00000000-0005-0000-0000-0000DF050000}"/>
    <cellStyle name="40% - Cor1 8 3" xfId="5545" xr:uid="{00000000-0005-0000-0000-0000E0050000}"/>
    <cellStyle name="40% - Cor1 8 4" xfId="6769" xr:uid="{00000000-0005-0000-0000-0000E1050000}"/>
    <cellStyle name="40% - Cor1 9" xfId="1913" xr:uid="{00000000-0005-0000-0000-0000E2050000}"/>
    <cellStyle name="40% - Cor1 9 2" xfId="5933" xr:uid="{00000000-0005-0000-0000-0000E3050000}"/>
    <cellStyle name="40% - Cor1 9 3" xfId="7160" xr:uid="{00000000-0005-0000-0000-0000E4050000}"/>
    <cellStyle name="40% - Cor2 10" xfId="6303" xr:uid="{00000000-0005-0000-0000-0000E5050000}"/>
    <cellStyle name="40% - Cor2 11" xfId="1021" xr:uid="{00000000-0005-0000-0000-0000E6050000}"/>
    <cellStyle name="40% - Cor2 2" xfId="70" xr:uid="{00000000-0005-0000-0000-0000E7050000}"/>
    <cellStyle name="40% - Cor2 2 2" xfId="1262" xr:uid="{00000000-0005-0000-0000-0000E8050000}"/>
    <cellStyle name="40% - Cor2 2 2 2" xfId="1533" xr:uid="{00000000-0005-0000-0000-0000E9050000}"/>
    <cellStyle name="40% - Cor2 2 2 2 2" xfId="5560" xr:uid="{00000000-0005-0000-0000-0000EA050000}"/>
    <cellStyle name="40% - Cor2 2 2 2 3" xfId="6785" xr:uid="{00000000-0005-0000-0000-0000EB050000}"/>
    <cellStyle name="40% - Cor2 2 2 3" xfId="1738" xr:uid="{00000000-0005-0000-0000-0000EC050000}"/>
    <cellStyle name="40% - Cor2 2 2 3 2" xfId="5760" xr:uid="{00000000-0005-0000-0000-0000ED050000}"/>
    <cellStyle name="40% - Cor2 2 2 3 3" xfId="6985" xr:uid="{00000000-0005-0000-0000-0000EE050000}"/>
    <cellStyle name="40% - Cor2 2 2 4" xfId="1416" xr:uid="{00000000-0005-0000-0000-0000EF050000}"/>
    <cellStyle name="40% - Cor2 2 2 4 2" xfId="5446" xr:uid="{00000000-0005-0000-0000-0000F0050000}"/>
    <cellStyle name="40% - Cor2 2 2 4 3" xfId="6668" xr:uid="{00000000-0005-0000-0000-0000F1050000}"/>
    <cellStyle name="40% - Cor2 2 2 5" xfId="5299" xr:uid="{00000000-0005-0000-0000-0000F2050000}"/>
    <cellStyle name="40% - Cor2 2 2 6" xfId="6514" xr:uid="{00000000-0005-0000-0000-0000F3050000}"/>
    <cellStyle name="40% - Cor2 2 3" xfId="1309" xr:uid="{00000000-0005-0000-0000-0000F4050000}"/>
    <cellStyle name="40% - Cor2 2 3 2" xfId="1578" xr:uid="{00000000-0005-0000-0000-0000F5050000}"/>
    <cellStyle name="40% - Cor2 2 3 2 2" xfId="5604" xr:uid="{00000000-0005-0000-0000-0000F6050000}"/>
    <cellStyle name="40% - Cor2 2 3 2 3" xfId="6829" xr:uid="{00000000-0005-0000-0000-0000F7050000}"/>
    <cellStyle name="40% - Cor2 2 3 3" xfId="1782" xr:uid="{00000000-0005-0000-0000-0000F8050000}"/>
    <cellStyle name="40% - Cor2 2 3 3 2" xfId="5803" xr:uid="{00000000-0005-0000-0000-0000F9050000}"/>
    <cellStyle name="40% - Cor2 2 3 3 3" xfId="7029" xr:uid="{00000000-0005-0000-0000-0000FA050000}"/>
    <cellStyle name="40% - Cor2 2 3 4" xfId="1996" xr:uid="{00000000-0005-0000-0000-0000FB050000}"/>
    <cellStyle name="40% - Cor2 2 3 4 2" xfId="6015" xr:uid="{00000000-0005-0000-0000-0000FC050000}"/>
    <cellStyle name="40% - Cor2 2 3 4 3" xfId="7243" xr:uid="{00000000-0005-0000-0000-0000FD050000}"/>
    <cellStyle name="40% - Cor2 2 3 5" xfId="5345" xr:uid="{00000000-0005-0000-0000-0000FE050000}"/>
    <cellStyle name="40% - Cor2 2 3 6" xfId="6561" xr:uid="{00000000-0005-0000-0000-0000FF050000}"/>
    <cellStyle name="40% - Cor2 2 4" xfId="1458" xr:uid="{00000000-0005-0000-0000-000000060000}"/>
    <cellStyle name="40% - Cor2 2 4 2" xfId="5486" xr:uid="{00000000-0005-0000-0000-000001060000}"/>
    <cellStyle name="40% - Cor2 2 4 3" xfId="6710" xr:uid="{00000000-0005-0000-0000-000002060000}"/>
    <cellStyle name="40% - Cor2 2 5" xfId="1417" xr:uid="{00000000-0005-0000-0000-000003060000}"/>
    <cellStyle name="40% - Cor2 2 5 2" xfId="5447" xr:uid="{00000000-0005-0000-0000-000004060000}"/>
    <cellStyle name="40% - Cor2 2 5 3" xfId="6669" xr:uid="{00000000-0005-0000-0000-000005060000}"/>
    <cellStyle name="40% - Cor2 2 6" xfId="1768" xr:uid="{00000000-0005-0000-0000-000006060000}"/>
    <cellStyle name="40% - Cor2 2 6 2" xfId="5790" xr:uid="{00000000-0005-0000-0000-000007060000}"/>
    <cellStyle name="40% - Cor2 2 6 3" xfId="7015" xr:uid="{00000000-0005-0000-0000-000008060000}"/>
    <cellStyle name="40% - Cor2 2 7" xfId="5231" xr:uid="{00000000-0005-0000-0000-000009060000}"/>
    <cellStyle name="40% - Cor2 2 8" xfId="6441" xr:uid="{00000000-0005-0000-0000-00000A060000}"/>
    <cellStyle name="40% - Cor2 2 9" xfId="1189" xr:uid="{00000000-0005-0000-0000-00000B060000}"/>
    <cellStyle name="40% - Cor2 3" xfId="71" xr:uid="{00000000-0005-0000-0000-00000C060000}"/>
    <cellStyle name="40% - Cor2 3 2" xfId="1343" xr:uid="{00000000-0005-0000-0000-00000D060000}"/>
    <cellStyle name="40% - Cor2 3 2 2" xfId="1611" xr:uid="{00000000-0005-0000-0000-00000E060000}"/>
    <cellStyle name="40% - Cor2 3 2 2 2" xfId="5637" xr:uid="{00000000-0005-0000-0000-00000F060000}"/>
    <cellStyle name="40% - Cor2 3 2 2 3" xfId="6862" xr:uid="{00000000-0005-0000-0000-000010060000}"/>
    <cellStyle name="40% - Cor2 3 2 3" xfId="1812" xr:uid="{00000000-0005-0000-0000-000011060000}"/>
    <cellStyle name="40% - Cor2 3 2 3 2" xfId="5833" xr:uid="{00000000-0005-0000-0000-000012060000}"/>
    <cellStyle name="40% - Cor2 3 2 3 3" xfId="7059" xr:uid="{00000000-0005-0000-0000-000013060000}"/>
    <cellStyle name="40% - Cor2 3 2 4" xfId="1928" xr:uid="{00000000-0005-0000-0000-000014060000}"/>
    <cellStyle name="40% - Cor2 3 2 4 2" xfId="5948" xr:uid="{00000000-0005-0000-0000-000015060000}"/>
    <cellStyle name="40% - Cor2 3 2 4 3" xfId="7175" xr:uid="{00000000-0005-0000-0000-000016060000}"/>
    <cellStyle name="40% - Cor2 3 2 5" xfId="5377" xr:uid="{00000000-0005-0000-0000-000017060000}"/>
    <cellStyle name="40% - Cor2 3 2 6" xfId="6595" xr:uid="{00000000-0005-0000-0000-000018060000}"/>
    <cellStyle name="40% - Cor2 3 3" xfId="1498" xr:uid="{00000000-0005-0000-0000-000019060000}"/>
    <cellStyle name="40% - Cor2 3 3 2" xfId="5526" xr:uid="{00000000-0005-0000-0000-00001A060000}"/>
    <cellStyle name="40% - Cor2 3 3 3" xfId="6750" xr:uid="{00000000-0005-0000-0000-00001B060000}"/>
    <cellStyle name="40% - Cor2 3 4" xfId="1705" xr:uid="{00000000-0005-0000-0000-00001C060000}"/>
    <cellStyle name="40% - Cor2 3 4 2" xfId="5727" xr:uid="{00000000-0005-0000-0000-00001D060000}"/>
    <cellStyle name="40% - Cor2 3 4 3" xfId="6952" xr:uid="{00000000-0005-0000-0000-00001E060000}"/>
    <cellStyle name="40% - Cor2 3 5" xfId="1915" xr:uid="{00000000-0005-0000-0000-00001F060000}"/>
    <cellStyle name="40% - Cor2 3 5 2" xfId="5935" xr:uid="{00000000-0005-0000-0000-000020060000}"/>
    <cellStyle name="40% - Cor2 3 5 3" xfId="7162" xr:uid="{00000000-0005-0000-0000-000021060000}"/>
    <cellStyle name="40% - Cor2 3 6" xfId="5267" xr:uid="{00000000-0005-0000-0000-000022060000}"/>
    <cellStyle name="40% - Cor2 3 7" xfId="6480" xr:uid="{00000000-0005-0000-0000-000023060000}"/>
    <cellStyle name="40% - Cor2 3 8" xfId="1228" xr:uid="{00000000-0005-0000-0000-000024060000}"/>
    <cellStyle name="40% - Cor2 4" xfId="72" xr:uid="{00000000-0005-0000-0000-000025060000}"/>
    <cellStyle name="40% - Cor2 4 2" xfId="1499" xr:uid="{00000000-0005-0000-0000-000026060000}"/>
    <cellStyle name="40% - Cor2 4 2 2" xfId="5527" xr:uid="{00000000-0005-0000-0000-000027060000}"/>
    <cellStyle name="40% - Cor2 4 2 3" xfId="6751" xr:uid="{00000000-0005-0000-0000-000028060000}"/>
    <cellStyle name="40% - Cor2 4 3" xfId="1706" xr:uid="{00000000-0005-0000-0000-000029060000}"/>
    <cellStyle name="40% - Cor2 4 3 2" xfId="5728" xr:uid="{00000000-0005-0000-0000-00002A060000}"/>
    <cellStyle name="40% - Cor2 4 3 3" xfId="6953" xr:uid="{00000000-0005-0000-0000-00002B060000}"/>
    <cellStyle name="40% - Cor2 4 4" xfId="1969" xr:uid="{00000000-0005-0000-0000-00002C060000}"/>
    <cellStyle name="40% - Cor2 4 4 2" xfId="5989" xr:uid="{00000000-0005-0000-0000-00002D060000}"/>
    <cellStyle name="40% - Cor2 4 4 3" xfId="7216" xr:uid="{00000000-0005-0000-0000-00002E060000}"/>
    <cellStyle name="40% - Cor2 4 5" xfId="5268" xr:uid="{00000000-0005-0000-0000-00002F060000}"/>
    <cellStyle name="40% - Cor2 4 6" xfId="6481" xr:uid="{00000000-0005-0000-0000-000030060000}"/>
    <cellStyle name="40% - Cor2 4 7" xfId="1229" xr:uid="{00000000-0005-0000-0000-000031060000}"/>
    <cellStyle name="40% - Cor2 5" xfId="1380" xr:uid="{00000000-0005-0000-0000-000032060000}"/>
    <cellStyle name="40% - Cor2 5 2" xfId="1650" xr:uid="{00000000-0005-0000-0000-000033060000}"/>
    <cellStyle name="40% - Cor2 5 2 2" xfId="5674" xr:uid="{00000000-0005-0000-0000-000034060000}"/>
    <cellStyle name="40% - Cor2 5 2 3" xfId="6899" xr:uid="{00000000-0005-0000-0000-000035060000}"/>
    <cellStyle name="40% - Cor2 5 3" xfId="1846" xr:uid="{00000000-0005-0000-0000-000036060000}"/>
    <cellStyle name="40% - Cor2 5 3 2" xfId="5867" xr:uid="{00000000-0005-0000-0000-000037060000}"/>
    <cellStyle name="40% - Cor2 5 3 3" xfId="7093" xr:uid="{00000000-0005-0000-0000-000038060000}"/>
    <cellStyle name="40% - Cor2 5 4" xfId="2031" xr:uid="{00000000-0005-0000-0000-000039060000}"/>
    <cellStyle name="40% - Cor2 5 4 2" xfId="6050" xr:uid="{00000000-0005-0000-0000-00003A060000}"/>
    <cellStyle name="40% - Cor2 5 4 3" xfId="7278" xr:uid="{00000000-0005-0000-0000-00003B060000}"/>
    <cellStyle name="40% - Cor2 5 5" xfId="5411" xr:uid="{00000000-0005-0000-0000-00003C060000}"/>
    <cellStyle name="40% - Cor2 5 6" xfId="6632" xr:uid="{00000000-0005-0000-0000-00003D060000}"/>
    <cellStyle name="40% - Cor2 6" xfId="1394" xr:uid="{00000000-0005-0000-0000-00003E060000}"/>
    <cellStyle name="40% - Cor2 6 2" xfId="1664" xr:uid="{00000000-0005-0000-0000-00003F060000}"/>
    <cellStyle name="40% - Cor2 6 2 2" xfId="5688" xr:uid="{00000000-0005-0000-0000-000040060000}"/>
    <cellStyle name="40% - Cor2 6 2 3" xfId="6913" xr:uid="{00000000-0005-0000-0000-000041060000}"/>
    <cellStyle name="40% - Cor2 6 3" xfId="1860" xr:uid="{00000000-0005-0000-0000-000042060000}"/>
    <cellStyle name="40% - Cor2 6 3 2" xfId="5881" xr:uid="{00000000-0005-0000-0000-000043060000}"/>
    <cellStyle name="40% - Cor2 6 3 3" xfId="7107" xr:uid="{00000000-0005-0000-0000-000044060000}"/>
    <cellStyle name="40% - Cor2 6 4" xfId="2045" xr:uid="{00000000-0005-0000-0000-000045060000}"/>
    <cellStyle name="40% - Cor2 6 4 2" xfId="6064" xr:uid="{00000000-0005-0000-0000-000046060000}"/>
    <cellStyle name="40% - Cor2 6 4 3" xfId="7292" xr:uid="{00000000-0005-0000-0000-000047060000}"/>
    <cellStyle name="40% - Cor2 6 5" xfId="5425" xr:uid="{00000000-0005-0000-0000-000048060000}"/>
    <cellStyle name="40% - Cor2 6 6" xfId="6646" xr:uid="{00000000-0005-0000-0000-000049060000}"/>
    <cellStyle name="40% - Cor2 7" xfId="1423" xr:uid="{00000000-0005-0000-0000-00004A060000}"/>
    <cellStyle name="40% - Cor2 7 2" xfId="1884" xr:uid="{00000000-0005-0000-0000-00004B060000}"/>
    <cellStyle name="40% - Cor2 7 2 2" xfId="5904" xr:uid="{00000000-0005-0000-0000-00004C060000}"/>
    <cellStyle name="40% - Cor2 7 2 3" xfId="7131" xr:uid="{00000000-0005-0000-0000-00004D060000}"/>
    <cellStyle name="40% - Cor2 7 3" xfId="2057" xr:uid="{00000000-0005-0000-0000-00004E060000}"/>
    <cellStyle name="40% - Cor2 7 3 2" xfId="6076" xr:uid="{00000000-0005-0000-0000-00004F060000}"/>
    <cellStyle name="40% - Cor2 7 3 3" xfId="7304" xr:uid="{00000000-0005-0000-0000-000050060000}"/>
    <cellStyle name="40% - Cor2 7 4" xfId="5453" xr:uid="{00000000-0005-0000-0000-000051060000}"/>
    <cellStyle name="40% - Cor2 7 5" xfId="6675" xr:uid="{00000000-0005-0000-0000-000052060000}"/>
    <cellStyle name="40% - Cor2 8" xfId="1481" xr:uid="{00000000-0005-0000-0000-000053060000}"/>
    <cellStyle name="40% - Cor2 8 2" xfId="2069" xr:uid="{00000000-0005-0000-0000-000054060000}"/>
    <cellStyle name="40% - Cor2 8 2 2" xfId="6088" xr:uid="{00000000-0005-0000-0000-000055060000}"/>
    <cellStyle name="40% - Cor2 8 2 3" xfId="7316" xr:uid="{00000000-0005-0000-0000-000056060000}"/>
    <cellStyle name="40% - Cor2 8 3" xfId="5509" xr:uid="{00000000-0005-0000-0000-000057060000}"/>
    <cellStyle name="40% - Cor2 8 4" xfId="6733" xr:uid="{00000000-0005-0000-0000-000058060000}"/>
    <cellStyle name="40% - Cor2 9" xfId="1898" xr:uid="{00000000-0005-0000-0000-000059060000}"/>
    <cellStyle name="40% - Cor2 9 2" xfId="5918" xr:uid="{00000000-0005-0000-0000-00005A060000}"/>
    <cellStyle name="40% - Cor2 9 3" xfId="7145" xr:uid="{00000000-0005-0000-0000-00005B060000}"/>
    <cellStyle name="40% - Cor3 10" xfId="6307" xr:uid="{00000000-0005-0000-0000-00005C060000}"/>
    <cellStyle name="40% - Cor3 11" xfId="1025" xr:uid="{00000000-0005-0000-0000-00005D060000}"/>
    <cellStyle name="40% - Cor3 2" xfId="73" xr:uid="{00000000-0005-0000-0000-00005E060000}"/>
    <cellStyle name="40% - Cor3 2 2" xfId="1264" xr:uid="{00000000-0005-0000-0000-00005F060000}"/>
    <cellStyle name="40% - Cor3 2 2 2" xfId="1535" xr:uid="{00000000-0005-0000-0000-000060060000}"/>
    <cellStyle name="40% - Cor3 2 2 2 2" xfId="5562" xr:uid="{00000000-0005-0000-0000-000061060000}"/>
    <cellStyle name="40% - Cor3 2 2 2 3" xfId="6787" xr:uid="{00000000-0005-0000-0000-000062060000}"/>
    <cellStyle name="40% - Cor3 2 2 3" xfId="1740" xr:uid="{00000000-0005-0000-0000-000063060000}"/>
    <cellStyle name="40% - Cor3 2 2 3 2" xfId="5762" xr:uid="{00000000-0005-0000-0000-000064060000}"/>
    <cellStyle name="40% - Cor3 2 2 3 3" xfId="6987" xr:uid="{00000000-0005-0000-0000-000065060000}"/>
    <cellStyle name="40% - Cor3 2 2 4" xfId="1518" xr:uid="{00000000-0005-0000-0000-000066060000}"/>
    <cellStyle name="40% - Cor3 2 2 4 2" xfId="5546" xr:uid="{00000000-0005-0000-0000-000067060000}"/>
    <cellStyle name="40% - Cor3 2 2 4 3" xfId="6770" xr:uid="{00000000-0005-0000-0000-000068060000}"/>
    <cellStyle name="40% - Cor3 2 2 5" xfId="5301" xr:uid="{00000000-0005-0000-0000-000069060000}"/>
    <cellStyle name="40% - Cor3 2 2 6" xfId="6516" xr:uid="{00000000-0005-0000-0000-00006A060000}"/>
    <cellStyle name="40% - Cor3 2 3" xfId="1311" xr:uid="{00000000-0005-0000-0000-00006B060000}"/>
    <cellStyle name="40% - Cor3 2 3 2" xfId="1580" xr:uid="{00000000-0005-0000-0000-00006C060000}"/>
    <cellStyle name="40% - Cor3 2 3 2 2" xfId="5606" xr:uid="{00000000-0005-0000-0000-00006D060000}"/>
    <cellStyle name="40% - Cor3 2 3 2 3" xfId="6831" xr:uid="{00000000-0005-0000-0000-00006E060000}"/>
    <cellStyle name="40% - Cor3 2 3 3" xfId="1784" xr:uid="{00000000-0005-0000-0000-00006F060000}"/>
    <cellStyle name="40% - Cor3 2 3 3 2" xfId="5805" xr:uid="{00000000-0005-0000-0000-000070060000}"/>
    <cellStyle name="40% - Cor3 2 3 3 3" xfId="7031" xr:uid="{00000000-0005-0000-0000-000071060000}"/>
    <cellStyle name="40% - Cor3 2 3 4" xfId="1924" xr:uid="{00000000-0005-0000-0000-000072060000}"/>
    <cellStyle name="40% - Cor3 2 3 4 2" xfId="5944" xr:uid="{00000000-0005-0000-0000-000073060000}"/>
    <cellStyle name="40% - Cor3 2 3 4 3" xfId="7171" xr:uid="{00000000-0005-0000-0000-000074060000}"/>
    <cellStyle name="40% - Cor3 2 3 5" xfId="5347" xr:uid="{00000000-0005-0000-0000-000075060000}"/>
    <cellStyle name="40% - Cor3 2 3 6" xfId="6563" xr:uid="{00000000-0005-0000-0000-000076060000}"/>
    <cellStyle name="40% - Cor3 2 4" xfId="1460" xr:uid="{00000000-0005-0000-0000-000077060000}"/>
    <cellStyle name="40% - Cor3 2 4 2" xfId="5488" xr:uid="{00000000-0005-0000-0000-000078060000}"/>
    <cellStyle name="40% - Cor3 2 4 3" xfId="6712" xr:uid="{00000000-0005-0000-0000-000079060000}"/>
    <cellStyle name="40% - Cor3 2 5" xfId="1413" xr:uid="{00000000-0005-0000-0000-00007A060000}"/>
    <cellStyle name="40% - Cor3 2 5 2" xfId="5443" xr:uid="{00000000-0005-0000-0000-00007B060000}"/>
    <cellStyle name="40% - Cor3 2 5 3" xfId="6665" xr:uid="{00000000-0005-0000-0000-00007C060000}"/>
    <cellStyle name="40% - Cor3 2 6" xfId="1762" xr:uid="{00000000-0005-0000-0000-00007D060000}"/>
    <cellStyle name="40% - Cor3 2 6 2" xfId="5784" xr:uid="{00000000-0005-0000-0000-00007E060000}"/>
    <cellStyle name="40% - Cor3 2 6 3" xfId="7009" xr:uid="{00000000-0005-0000-0000-00007F060000}"/>
    <cellStyle name="40% - Cor3 2 7" xfId="5233" xr:uid="{00000000-0005-0000-0000-000080060000}"/>
    <cellStyle name="40% - Cor3 2 8" xfId="6443" xr:uid="{00000000-0005-0000-0000-000081060000}"/>
    <cellStyle name="40% - Cor3 2 9" xfId="1191" xr:uid="{00000000-0005-0000-0000-000082060000}"/>
    <cellStyle name="40% - Cor3 3" xfId="74" xr:uid="{00000000-0005-0000-0000-000083060000}"/>
    <cellStyle name="40% - Cor3 3 2" xfId="1345" xr:uid="{00000000-0005-0000-0000-000084060000}"/>
    <cellStyle name="40% - Cor3 3 2 2" xfId="1613" xr:uid="{00000000-0005-0000-0000-000085060000}"/>
    <cellStyle name="40% - Cor3 3 2 2 2" xfId="5639" xr:uid="{00000000-0005-0000-0000-000086060000}"/>
    <cellStyle name="40% - Cor3 3 2 2 3" xfId="6864" xr:uid="{00000000-0005-0000-0000-000087060000}"/>
    <cellStyle name="40% - Cor3 3 2 3" xfId="1814" xr:uid="{00000000-0005-0000-0000-000088060000}"/>
    <cellStyle name="40% - Cor3 3 2 3 2" xfId="5835" xr:uid="{00000000-0005-0000-0000-000089060000}"/>
    <cellStyle name="40% - Cor3 3 2 3 3" xfId="7061" xr:uid="{00000000-0005-0000-0000-00008A060000}"/>
    <cellStyle name="40% - Cor3 3 2 4" xfId="1904" xr:uid="{00000000-0005-0000-0000-00008B060000}"/>
    <cellStyle name="40% - Cor3 3 2 4 2" xfId="5924" xr:uid="{00000000-0005-0000-0000-00008C060000}"/>
    <cellStyle name="40% - Cor3 3 2 4 3" xfId="7151" xr:uid="{00000000-0005-0000-0000-00008D060000}"/>
    <cellStyle name="40% - Cor3 3 2 5" xfId="5379" xr:uid="{00000000-0005-0000-0000-00008E060000}"/>
    <cellStyle name="40% - Cor3 3 2 6" xfId="6597" xr:uid="{00000000-0005-0000-0000-00008F060000}"/>
    <cellStyle name="40% - Cor3 3 3" xfId="1501" xr:uid="{00000000-0005-0000-0000-000090060000}"/>
    <cellStyle name="40% - Cor3 3 3 2" xfId="5529" xr:uid="{00000000-0005-0000-0000-000091060000}"/>
    <cellStyle name="40% - Cor3 3 3 3" xfId="6753" xr:uid="{00000000-0005-0000-0000-000092060000}"/>
    <cellStyle name="40% - Cor3 3 4" xfId="1708" xr:uid="{00000000-0005-0000-0000-000093060000}"/>
    <cellStyle name="40% - Cor3 3 4 2" xfId="5730" xr:uid="{00000000-0005-0000-0000-000094060000}"/>
    <cellStyle name="40% - Cor3 3 4 3" xfId="6955" xr:uid="{00000000-0005-0000-0000-000095060000}"/>
    <cellStyle name="40% - Cor3 3 5" xfId="1914" xr:uid="{00000000-0005-0000-0000-000096060000}"/>
    <cellStyle name="40% - Cor3 3 5 2" xfId="5934" xr:uid="{00000000-0005-0000-0000-000097060000}"/>
    <cellStyle name="40% - Cor3 3 5 3" xfId="7161" xr:uid="{00000000-0005-0000-0000-000098060000}"/>
    <cellStyle name="40% - Cor3 3 6" xfId="5270" xr:uid="{00000000-0005-0000-0000-000099060000}"/>
    <cellStyle name="40% - Cor3 3 7" xfId="6483" xr:uid="{00000000-0005-0000-0000-00009A060000}"/>
    <cellStyle name="40% - Cor3 3 8" xfId="1231" xr:uid="{00000000-0005-0000-0000-00009B060000}"/>
    <cellStyle name="40% - Cor3 4" xfId="75" xr:uid="{00000000-0005-0000-0000-00009C060000}"/>
    <cellStyle name="40% - Cor3 4 2" xfId="1492" xr:uid="{00000000-0005-0000-0000-00009D060000}"/>
    <cellStyle name="40% - Cor3 4 2 2" xfId="5520" xr:uid="{00000000-0005-0000-0000-00009E060000}"/>
    <cellStyle name="40% - Cor3 4 2 3" xfId="6744" xr:uid="{00000000-0005-0000-0000-00009F060000}"/>
    <cellStyle name="40% - Cor3 4 3" xfId="1699" xr:uid="{00000000-0005-0000-0000-0000A0060000}"/>
    <cellStyle name="40% - Cor3 4 3 2" xfId="5721" xr:uid="{00000000-0005-0000-0000-0000A1060000}"/>
    <cellStyle name="40% - Cor3 4 3 3" xfId="6946" xr:uid="{00000000-0005-0000-0000-0000A2060000}"/>
    <cellStyle name="40% - Cor3 4 4" xfId="1989" xr:uid="{00000000-0005-0000-0000-0000A3060000}"/>
    <cellStyle name="40% - Cor3 4 4 2" xfId="6008" xr:uid="{00000000-0005-0000-0000-0000A4060000}"/>
    <cellStyle name="40% - Cor3 4 4 3" xfId="7236" xr:uid="{00000000-0005-0000-0000-0000A5060000}"/>
    <cellStyle name="40% - Cor3 4 5" xfId="5261" xr:uid="{00000000-0005-0000-0000-0000A6060000}"/>
    <cellStyle name="40% - Cor3 4 6" xfId="6474" xr:uid="{00000000-0005-0000-0000-0000A7060000}"/>
    <cellStyle name="40% - Cor3 4 7" xfId="1222" xr:uid="{00000000-0005-0000-0000-0000A8060000}"/>
    <cellStyle name="40% - Cor3 5" xfId="1382" xr:uid="{00000000-0005-0000-0000-0000A9060000}"/>
    <cellStyle name="40% - Cor3 5 2" xfId="1652" xr:uid="{00000000-0005-0000-0000-0000AA060000}"/>
    <cellStyle name="40% - Cor3 5 2 2" xfId="5676" xr:uid="{00000000-0005-0000-0000-0000AB060000}"/>
    <cellStyle name="40% - Cor3 5 2 3" xfId="6901" xr:uid="{00000000-0005-0000-0000-0000AC060000}"/>
    <cellStyle name="40% - Cor3 5 3" xfId="1848" xr:uid="{00000000-0005-0000-0000-0000AD060000}"/>
    <cellStyle name="40% - Cor3 5 3 2" xfId="5869" xr:uid="{00000000-0005-0000-0000-0000AE060000}"/>
    <cellStyle name="40% - Cor3 5 3 3" xfId="7095" xr:uid="{00000000-0005-0000-0000-0000AF060000}"/>
    <cellStyle name="40% - Cor3 5 4" xfId="2033" xr:uid="{00000000-0005-0000-0000-0000B0060000}"/>
    <cellStyle name="40% - Cor3 5 4 2" xfId="6052" xr:uid="{00000000-0005-0000-0000-0000B1060000}"/>
    <cellStyle name="40% - Cor3 5 4 3" xfId="7280" xr:uid="{00000000-0005-0000-0000-0000B2060000}"/>
    <cellStyle name="40% - Cor3 5 5" xfId="5413" xr:uid="{00000000-0005-0000-0000-0000B3060000}"/>
    <cellStyle name="40% - Cor3 5 6" xfId="6634" xr:uid="{00000000-0005-0000-0000-0000B4060000}"/>
    <cellStyle name="40% - Cor3 6" xfId="1396" xr:uid="{00000000-0005-0000-0000-0000B5060000}"/>
    <cellStyle name="40% - Cor3 6 2" xfId="1666" xr:uid="{00000000-0005-0000-0000-0000B6060000}"/>
    <cellStyle name="40% - Cor3 6 2 2" xfId="5690" xr:uid="{00000000-0005-0000-0000-0000B7060000}"/>
    <cellStyle name="40% - Cor3 6 2 3" xfId="6915" xr:uid="{00000000-0005-0000-0000-0000B8060000}"/>
    <cellStyle name="40% - Cor3 6 3" xfId="1862" xr:uid="{00000000-0005-0000-0000-0000B9060000}"/>
    <cellStyle name="40% - Cor3 6 3 2" xfId="5883" xr:uid="{00000000-0005-0000-0000-0000BA060000}"/>
    <cellStyle name="40% - Cor3 6 3 3" xfId="7109" xr:uid="{00000000-0005-0000-0000-0000BB060000}"/>
    <cellStyle name="40% - Cor3 6 4" xfId="2047" xr:uid="{00000000-0005-0000-0000-0000BC060000}"/>
    <cellStyle name="40% - Cor3 6 4 2" xfId="6066" xr:uid="{00000000-0005-0000-0000-0000BD060000}"/>
    <cellStyle name="40% - Cor3 6 4 3" xfId="7294" xr:uid="{00000000-0005-0000-0000-0000BE060000}"/>
    <cellStyle name="40% - Cor3 6 5" xfId="5427" xr:uid="{00000000-0005-0000-0000-0000BF060000}"/>
    <cellStyle name="40% - Cor3 6 6" xfId="6648" xr:uid="{00000000-0005-0000-0000-0000C0060000}"/>
    <cellStyle name="40% - Cor3 7" xfId="1426" xr:uid="{00000000-0005-0000-0000-0000C1060000}"/>
    <cellStyle name="40% - Cor3 7 2" xfId="1886" xr:uid="{00000000-0005-0000-0000-0000C2060000}"/>
    <cellStyle name="40% - Cor3 7 2 2" xfId="5906" xr:uid="{00000000-0005-0000-0000-0000C3060000}"/>
    <cellStyle name="40% - Cor3 7 2 3" xfId="7133" xr:uid="{00000000-0005-0000-0000-0000C4060000}"/>
    <cellStyle name="40% - Cor3 7 3" xfId="2059" xr:uid="{00000000-0005-0000-0000-0000C5060000}"/>
    <cellStyle name="40% - Cor3 7 3 2" xfId="6078" xr:uid="{00000000-0005-0000-0000-0000C6060000}"/>
    <cellStyle name="40% - Cor3 7 3 3" xfId="7306" xr:uid="{00000000-0005-0000-0000-0000C7060000}"/>
    <cellStyle name="40% - Cor3 7 4" xfId="5456" xr:uid="{00000000-0005-0000-0000-0000C8060000}"/>
    <cellStyle name="40% - Cor3 7 5" xfId="6678" xr:uid="{00000000-0005-0000-0000-0000C9060000}"/>
    <cellStyle name="40% - Cor3 8" xfId="1516" xr:uid="{00000000-0005-0000-0000-0000CA060000}"/>
    <cellStyle name="40% - Cor3 8 2" xfId="2070" xr:uid="{00000000-0005-0000-0000-0000CB060000}"/>
    <cellStyle name="40% - Cor3 8 2 2" xfId="6089" xr:uid="{00000000-0005-0000-0000-0000CC060000}"/>
    <cellStyle name="40% - Cor3 8 2 3" xfId="7317" xr:uid="{00000000-0005-0000-0000-0000CD060000}"/>
    <cellStyle name="40% - Cor3 8 3" xfId="5544" xr:uid="{00000000-0005-0000-0000-0000CE060000}"/>
    <cellStyle name="40% - Cor3 8 4" xfId="6768" xr:uid="{00000000-0005-0000-0000-0000CF060000}"/>
    <cellStyle name="40% - Cor3 9" xfId="1967" xr:uid="{00000000-0005-0000-0000-0000D0060000}"/>
    <cellStyle name="40% - Cor3 9 2" xfId="5987" xr:uid="{00000000-0005-0000-0000-0000D1060000}"/>
    <cellStyle name="40% - Cor3 9 3" xfId="7214" xr:uid="{00000000-0005-0000-0000-0000D2060000}"/>
    <cellStyle name="40% - Cor4 10" xfId="6311" xr:uid="{00000000-0005-0000-0000-0000D3060000}"/>
    <cellStyle name="40% - Cor4 11" xfId="1029" xr:uid="{00000000-0005-0000-0000-0000D4060000}"/>
    <cellStyle name="40% - Cor4 2" xfId="76" xr:uid="{00000000-0005-0000-0000-0000D5060000}"/>
    <cellStyle name="40% - Cor4 2 2" xfId="1266" xr:uid="{00000000-0005-0000-0000-0000D6060000}"/>
    <cellStyle name="40% - Cor4 2 2 2" xfId="1537" xr:uid="{00000000-0005-0000-0000-0000D7060000}"/>
    <cellStyle name="40% - Cor4 2 2 2 2" xfId="5564" xr:uid="{00000000-0005-0000-0000-0000D8060000}"/>
    <cellStyle name="40% - Cor4 2 2 2 3" xfId="6789" xr:uid="{00000000-0005-0000-0000-0000D9060000}"/>
    <cellStyle name="40% - Cor4 2 2 3" xfId="1742" xr:uid="{00000000-0005-0000-0000-0000DA060000}"/>
    <cellStyle name="40% - Cor4 2 2 3 2" xfId="5764" xr:uid="{00000000-0005-0000-0000-0000DB060000}"/>
    <cellStyle name="40% - Cor4 2 2 3 3" xfId="6989" xr:uid="{00000000-0005-0000-0000-0000DC060000}"/>
    <cellStyle name="40% - Cor4 2 2 4" xfId="1637" xr:uid="{00000000-0005-0000-0000-0000DD060000}"/>
    <cellStyle name="40% - Cor4 2 2 4 2" xfId="5663" xr:uid="{00000000-0005-0000-0000-0000DE060000}"/>
    <cellStyle name="40% - Cor4 2 2 4 3" xfId="6888" xr:uid="{00000000-0005-0000-0000-0000DF060000}"/>
    <cellStyle name="40% - Cor4 2 2 5" xfId="5303" xr:uid="{00000000-0005-0000-0000-0000E0060000}"/>
    <cellStyle name="40% - Cor4 2 2 6" xfId="6518" xr:uid="{00000000-0005-0000-0000-0000E1060000}"/>
    <cellStyle name="40% - Cor4 2 3" xfId="1313" xr:uid="{00000000-0005-0000-0000-0000E2060000}"/>
    <cellStyle name="40% - Cor4 2 3 2" xfId="1582" xr:uid="{00000000-0005-0000-0000-0000E3060000}"/>
    <cellStyle name="40% - Cor4 2 3 2 2" xfId="5608" xr:uid="{00000000-0005-0000-0000-0000E4060000}"/>
    <cellStyle name="40% - Cor4 2 3 2 3" xfId="6833" xr:uid="{00000000-0005-0000-0000-0000E5060000}"/>
    <cellStyle name="40% - Cor4 2 3 3" xfId="1786" xr:uid="{00000000-0005-0000-0000-0000E6060000}"/>
    <cellStyle name="40% - Cor4 2 3 3 2" xfId="5807" xr:uid="{00000000-0005-0000-0000-0000E7060000}"/>
    <cellStyle name="40% - Cor4 2 3 3 3" xfId="7033" xr:uid="{00000000-0005-0000-0000-0000E8060000}"/>
    <cellStyle name="40% - Cor4 2 3 4" xfId="1902" xr:uid="{00000000-0005-0000-0000-0000E9060000}"/>
    <cellStyle name="40% - Cor4 2 3 4 2" xfId="5922" xr:uid="{00000000-0005-0000-0000-0000EA060000}"/>
    <cellStyle name="40% - Cor4 2 3 4 3" xfId="7149" xr:uid="{00000000-0005-0000-0000-0000EB060000}"/>
    <cellStyle name="40% - Cor4 2 3 5" xfId="5349" xr:uid="{00000000-0005-0000-0000-0000EC060000}"/>
    <cellStyle name="40% - Cor4 2 3 6" xfId="6565" xr:uid="{00000000-0005-0000-0000-0000ED060000}"/>
    <cellStyle name="40% - Cor4 2 4" xfId="1462" xr:uid="{00000000-0005-0000-0000-0000EE060000}"/>
    <cellStyle name="40% - Cor4 2 4 2" xfId="5490" xr:uid="{00000000-0005-0000-0000-0000EF060000}"/>
    <cellStyle name="40% - Cor4 2 4 3" xfId="6714" xr:uid="{00000000-0005-0000-0000-0000F0060000}"/>
    <cellStyle name="40% - Cor4 2 5" xfId="1406" xr:uid="{00000000-0005-0000-0000-0000F1060000}"/>
    <cellStyle name="40% - Cor4 2 5 2" xfId="5437" xr:uid="{00000000-0005-0000-0000-0000F2060000}"/>
    <cellStyle name="40% - Cor4 2 5 3" xfId="6658" xr:uid="{00000000-0005-0000-0000-0000F3060000}"/>
    <cellStyle name="40% - Cor4 2 6" xfId="1831" xr:uid="{00000000-0005-0000-0000-0000F4060000}"/>
    <cellStyle name="40% - Cor4 2 6 2" xfId="5852" xr:uid="{00000000-0005-0000-0000-0000F5060000}"/>
    <cellStyle name="40% - Cor4 2 6 3" xfId="7078" xr:uid="{00000000-0005-0000-0000-0000F6060000}"/>
    <cellStyle name="40% - Cor4 2 7" xfId="5235" xr:uid="{00000000-0005-0000-0000-0000F7060000}"/>
    <cellStyle name="40% - Cor4 2 8" xfId="6445" xr:uid="{00000000-0005-0000-0000-0000F8060000}"/>
    <cellStyle name="40% - Cor4 2 9" xfId="1193" xr:uid="{00000000-0005-0000-0000-0000F9060000}"/>
    <cellStyle name="40% - Cor4 3" xfId="77" xr:uid="{00000000-0005-0000-0000-0000FA060000}"/>
    <cellStyle name="40% - Cor4 3 2" xfId="1347" xr:uid="{00000000-0005-0000-0000-0000FB060000}"/>
    <cellStyle name="40% - Cor4 3 2 2" xfId="1615" xr:uid="{00000000-0005-0000-0000-0000FC060000}"/>
    <cellStyle name="40% - Cor4 3 2 2 2" xfId="5641" xr:uid="{00000000-0005-0000-0000-0000FD060000}"/>
    <cellStyle name="40% - Cor4 3 2 2 3" xfId="6866" xr:uid="{00000000-0005-0000-0000-0000FE060000}"/>
    <cellStyle name="40% - Cor4 3 2 3" xfId="1816" xr:uid="{00000000-0005-0000-0000-0000FF060000}"/>
    <cellStyle name="40% - Cor4 3 2 3 2" xfId="5837" xr:uid="{00000000-0005-0000-0000-000000070000}"/>
    <cellStyle name="40% - Cor4 3 2 3 3" xfId="7063" xr:uid="{00000000-0005-0000-0000-000001070000}"/>
    <cellStyle name="40% - Cor4 3 2 4" xfId="1943" xr:uid="{00000000-0005-0000-0000-000002070000}"/>
    <cellStyle name="40% - Cor4 3 2 4 2" xfId="5963" xr:uid="{00000000-0005-0000-0000-000003070000}"/>
    <cellStyle name="40% - Cor4 3 2 4 3" xfId="7190" xr:uid="{00000000-0005-0000-0000-000004070000}"/>
    <cellStyle name="40% - Cor4 3 2 5" xfId="5381" xr:uid="{00000000-0005-0000-0000-000005070000}"/>
    <cellStyle name="40% - Cor4 3 2 6" xfId="6599" xr:uid="{00000000-0005-0000-0000-000006070000}"/>
    <cellStyle name="40% - Cor4 3 3" xfId="1505" xr:uid="{00000000-0005-0000-0000-000007070000}"/>
    <cellStyle name="40% - Cor4 3 3 2" xfId="5533" xr:uid="{00000000-0005-0000-0000-000008070000}"/>
    <cellStyle name="40% - Cor4 3 3 3" xfId="6757" xr:uid="{00000000-0005-0000-0000-000009070000}"/>
    <cellStyle name="40% - Cor4 3 4" xfId="1712" xr:uid="{00000000-0005-0000-0000-00000A070000}"/>
    <cellStyle name="40% - Cor4 3 4 2" xfId="5734" xr:uid="{00000000-0005-0000-0000-00000B070000}"/>
    <cellStyle name="40% - Cor4 3 4 3" xfId="6959" xr:uid="{00000000-0005-0000-0000-00000C070000}"/>
    <cellStyle name="40% - Cor4 3 5" xfId="1689" xr:uid="{00000000-0005-0000-0000-00000D070000}"/>
    <cellStyle name="40% - Cor4 3 5 2" xfId="5711" xr:uid="{00000000-0005-0000-0000-00000E070000}"/>
    <cellStyle name="40% - Cor4 3 5 3" xfId="6936" xr:uid="{00000000-0005-0000-0000-00000F070000}"/>
    <cellStyle name="40% - Cor4 3 6" xfId="5274" xr:uid="{00000000-0005-0000-0000-000010070000}"/>
    <cellStyle name="40% - Cor4 3 7" xfId="6487" xr:uid="{00000000-0005-0000-0000-000011070000}"/>
    <cellStyle name="40% - Cor4 3 8" xfId="1235" xr:uid="{00000000-0005-0000-0000-000012070000}"/>
    <cellStyle name="40% - Cor4 4" xfId="78" xr:uid="{00000000-0005-0000-0000-000013070000}"/>
    <cellStyle name="40% - Cor4 4 2" xfId="1488" xr:uid="{00000000-0005-0000-0000-000014070000}"/>
    <cellStyle name="40% - Cor4 4 2 2" xfId="5516" xr:uid="{00000000-0005-0000-0000-000015070000}"/>
    <cellStyle name="40% - Cor4 4 2 3" xfId="6740" xr:uid="{00000000-0005-0000-0000-000016070000}"/>
    <cellStyle name="40% - Cor4 4 3" xfId="1695" xr:uid="{00000000-0005-0000-0000-000017070000}"/>
    <cellStyle name="40% - Cor4 4 3 2" xfId="5717" xr:uid="{00000000-0005-0000-0000-000018070000}"/>
    <cellStyle name="40% - Cor4 4 3 3" xfId="6942" xr:uid="{00000000-0005-0000-0000-000019070000}"/>
    <cellStyle name="40% - Cor4 4 4" xfId="1917" xr:uid="{00000000-0005-0000-0000-00001A070000}"/>
    <cellStyle name="40% - Cor4 4 4 2" xfId="5937" xr:uid="{00000000-0005-0000-0000-00001B070000}"/>
    <cellStyle name="40% - Cor4 4 4 3" xfId="7164" xr:uid="{00000000-0005-0000-0000-00001C070000}"/>
    <cellStyle name="40% - Cor4 4 5" xfId="5257" xr:uid="{00000000-0005-0000-0000-00001D070000}"/>
    <cellStyle name="40% - Cor4 4 6" xfId="6470" xr:uid="{00000000-0005-0000-0000-00001E070000}"/>
    <cellStyle name="40% - Cor4 4 7" xfId="1218" xr:uid="{00000000-0005-0000-0000-00001F070000}"/>
    <cellStyle name="40% - Cor4 5" xfId="1384" xr:uid="{00000000-0005-0000-0000-000020070000}"/>
    <cellStyle name="40% - Cor4 5 2" xfId="1654" xr:uid="{00000000-0005-0000-0000-000021070000}"/>
    <cellStyle name="40% - Cor4 5 2 2" xfId="5678" xr:uid="{00000000-0005-0000-0000-000022070000}"/>
    <cellStyle name="40% - Cor4 5 2 3" xfId="6903" xr:uid="{00000000-0005-0000-0000-000023070000}"/>
    <cellStyle name="40% - Cor4 5 3" xfId="1850" xr:uid="{00000000-0005-0000-0000-000024070000}"/>
    <cellStyle name="40% - Cor4 5 3 2" xfId="5871" xr:uid="{00000000-0005-0000-0000-000025070000}"/>
    <cellStyle name="40% - Cor4 5 3 3" xfId="7097" xr:uid="{00000000-0005-0000-0000-000026070000}"/>
    <cellStyle name="40% - Cor4 5 4" xfId="2035" xr:uid="{00000000-0005-0000-0000-000027070000}"/>
    <cellStyle name="40% - Cor4 5 4 2" xfId="6054" xr:uid="{00000000-0005-0000-0000-000028070000}"/>
    <cellStyle name="40% - Cor4 5 4 3" xfId="7282" xr:uid="{00000000-0005-0000-0000-000029070000}"/>
    <cellStyle name="40% - Cor4 5 5" xfId="5415" xr:uid="{00000000-0005-0000-0000-00002A070000}"/>
    <cellStyle name="40% - Cor4 5 6" xfId="6636" xr:uid="{00000000-0005-0000-0000-00002B070000}"/>
    <cellStyle name="40% - Cor4 6" xfId="1398" xr:uid="{00000000-0005-0000-0000-00002C070000}"/>
    <cellStyle name="40% - Cor4 6 2" xfId="1668" xr:uid="{00000000-0005-0000-0000-00002D070000}"/>
    <cellStyle name="40% - Cor4 6 2 2" xfId="5692" xr:uid="{00000000-0005-0000-0000-00002E070000}"/>
    <cellStyle name="40% - Cor4 6 2 3" xfId="6917" xr:uid="{00000000-0005-0000-0000-00002F070000}"/>
    <cellStyle name="40% - Cor4 6 3" xfId="1864" xr:uid="{00000000-0005-0000-0000-000030070000}"/>
    <cellStyle name="40% - Cor4 6 3 2" xfId="5885" xr:uid="{00000000-0005-0000-0000-000031070000}"/>
    <cellStyle name="40% - Cor4 6 3 3" xfId="7111" xr:uid="{00000000-0005-0000-0000-000032070000}"/>
    <cellStyle name="40% - Cor4 6 4" xfId="2049" xr:uid="{00000000-0005-0000-0000-000033070000}"/>
    <cellStyle name="40% - Cor4 6 4 2" xfId="6068" xr:uid="{00000000-0005-0000-0000-000034070000}"/>
    <cellStyle name="40% - Cor4 6 4 3" xfId="7296" xr:uid="{00000000-0005-0000-0000-000035070000}"/>
    <cellStyle name="40% - Cor4 6 5" xfId="5429" xr:uid="{00000000-0005-0000-0000-000036070000}"/>
    <cellStyle name="40% - Cor4 6 6" xfId="6650" xr:uid="{00000000-0005-0000-0000-000037070000}"/>
    <cellStyle name="40% - Cor4 7" xfId="1430" xr:uid="{00000000-0005-0000-0000-000038070000}"/>
    <cellStyle name="40% - Cor4 7 2" xfId="1888" xr:uid="{00000000-0005-0000-0000-000039070000}"/>
    <cellStyle name="40% - Cor4 7 2 2" xfId="5908" xr:uid="{00000000-0005-0000-0000-00003A070000}"/>
    <cellStyle name="40% - Cor4 7 2 3" xfId="7135" xr:uid="{00000000-0005-0000-0000-00003B070000}"/>
    <cellStyle name="40% - Cor4 7 3" xfId="2061" xr:uid="{00000000-0005-0000-0000-00003C070000}"/>
    <cellStyle name="40% - Cor4 7 3 2" xfId="6080" xr:uid="{00000000-0005-0000-0000-00003D070000}"/>
    <cellStyle name="40% - Cor4 7 3 3" xfId="7308" xr:uid="{00000000-0005-0000-0000-00003E070000}"/>
    <cellStyle name="40% - Cor4 7 4" xfId="5460" xr:uid="{00000000-0005-0000-0000-00003F070000}"/>
    <cellStyle name="40% - Cor4 7 5" xfId="6682" xr:uid="{00000000-0005-0000-0000-000040070000}"/>
    <cellStyle name="40% - Cor4 8" xfId="1600" xr:uid="{00000000-0005-0000-0000-000041070000}"/>
    <cellStyle name="40% - Cor4 8 2" xfId="2075" xr:uid="{00000000-0005-0000-0000-000042070000}"/>
    <cellStyle name="40% - Cor4 8 2 2" xfId="6094" xr:uid="{00000000-0005-0000-0000-000043070000}"/>
    <cellStyle name="40% - Cor4 8 2 3" xfId="7322" xr:uid="{00000000-0005-0000-0000-000044070000}"/>
    <cellStyle name="40% - Cor4 8 3" xfId="5626" xr:uid="{00000000-0005-0000-0000-000045070000}"/>
    <cellStyle name="40% - Cor4 8 4" xfId="6851" xr:uid="{00000000-0005-0000-0000-000046070000}"/>
    <cellStyle name="40% - Cor4 9" xfId="1992" xr:uid="{00000000-0005-0000-0000-000047070000}"/>
    <cellStyle name="40% - Cor4 9 2" xfId="6011" xr:uid="{00000000-0005-0000-0000-000048070000}"/>
    <cellStyle name="40% - Cor4 9 3" xfId="7239" xr:uid="{00000000-0005-0000-0000-000049070000}"/>
    <cellStyle name="40% - Cor5 10" xfId="6315" xr:uid="{00000000-0005-0000-0000-00004A070000}"/>
    <cellStyle name="40% - Cor5 11" xfId="1033" xr:uid="{00000000-0005-0000-0000-00004B070000}"/>
    <cellStyle name="40% - Cor5 2" xfId="79" xr:uid="{00000000-0005-0000-0000-00004C070000}"/>
    <cellStyle name="40% - Cor5 2 2" xfId="1268" xr:uid="{00000000-0005-0000-0000-00004D070000}"/>
    <cellStyle name="40% - Cor5 2 2 2" xfId="1539" xr:uid="{00000000-0005-0000-0000-00004E070000}"/>
    <cellStyle name="40% - Cor5 2 2 2 2" xfId="5566" xr:uid="{00000000-0005-0000-0000-00004F070000}"/>
    <cellStyle name="40% - Cor5 2 2 2 3" xfId="6791" xr:uid="{00000000-0005-0000-0000-000050070000}"/>
    <cellStyle name="40% - Cor5 2 2 3" xfId="1744" xr:uid="{00000000-0005-0000-0000-000051070000}"/>
    <cellStyle name="40% - Cor5 2 2 3 2" xfId="5766" xr:uid="{00000000-0005-0000-0000-000052070000}"/>
    <cellStyle name="40% - Cor5 2 2 3 3" xfId="6991" xr:uid="{00000000-0005-0000-0000-000053070000}"/>
    <cellStyle name="40% - Cor5 2 2 4" xfId="1603" xr:uid="{00000000-0005-0000-0000-000054070000}"/>
    <cellStyle name="40% - Cor5 2 2 4 2" xfId="5629" xr:uid="{00000000-0005-0000-0000-000055070000}"/>
    <cellStyle name="40% - Cor5 2 2 4 3" xfId="6854" xr:uid="{00000000-0005-0000-0000-000056070000}"/>
    <cellStyle name="40% - Cor5 2 2 5" xfId="5305" xr:uid="{00000000-0005-0000-0000-000057070000}"/>
    <cellStyle name="40% - Cor5 2 2 6" xfId="6520" xr:uid="{00000000-0005-0000-0000-000058070000}"/>
    <cellStyle name="40% - Cor5 2 3" xfId="1315" xr:uid="{00000000-0005-0000-0000-000059070000}"/>
    <cellStyle name="40% - Cor5 2 3 2" xfId="1584" xr:uid="{00000000-0005-0000-0000-00005A070000}"/>
    <cellStyle name="40% - Cor5 2 3 2 2" xfId="5610" xr:uid="{00000000-0005-0000-0000-00005B070000}"/>
    <cellStyle name="40% - Cor5 2 3 2 3" xfId="6835" xr:uid="{00000000-0005-0000-0000-00005C070000}"/>
    <cellStyle name="40% - Cor5 2 3 3" xfId="1788" xr:uid="{00000000-0005-0000-0000-00005D070000}"/>
    <cellStyle name="40% - Cor5 2 3 3 2" xfId="5809" xr:uid="{00000000-0005-0000-0000-00005E070000}"/>
    <cellStyle name="40% - Cor5 2 3 3 3" xfId="7035" xr:uid="{00000000-0005-0000-0000-00005F070000}"/>
    <cellStyle name="40% - Cor5 2 3 4" xfId="1940" xr:uid="{00000000-0005-0000-0000-000060070000}"/>
    <cellStyle name="40% - Cor5 2 3 4 2" xfId="5960" xr:uid="{00000000-0005-0000-0000-000061070000}"/>
    <cellStyle name="40% - Cor5 2 3 4 3" xfId="7187" xr:uid="{00000000-0005-0000-0000-000062070000}"/>
    <cellStyle name="40% - Cor5 2 3 5" xfId="5351" xr:uid="{00000000-0005-0000-0000-000063070000}"/>
    <cellStyle name="40% - Cor5 2 3 6" xfId="6567" xr:uid="{00000000-0005-0000-0000-000064070000}"/>
    <cellStyle name="40% - Cor5 2 4" xfId="1464" xr:uid="{00000000-0005-0000-0000-000065070000}"/>
    <cellStyle name="40% - Cor5 2 4 2" xfId="5492" xr:uid="{00000000-0005-0000-0000-000066070000}"/>
    <cellStyle name="40% - Cor5 2 4 3" xfId="6716" xr:uid="{00000000-0005-0000-0000-000067070000}"/>
    <cellStyle name="40% - Cor5 2 5" xfId="1404" xr:uid="{00000000-0005-0000-0000-000068070000}"/>
    <cellStyle name="40% - Cor5 2 5 2" xfId="5435" xr:uid="{00000000-0005-0000-0000-000069070000}"/>
    <cellStyle name="40% - Cor5 2 5 3" xfId="6656" xr:uid="{00000000-0005-0000-0000-00006A070000}"/>
    <cellStyle name="40% - Cor5 2 6" xfId="1836" xr:uid="{00000000-0005-0000-0000-00006B070000}"/>
    <cellStyle name="40% - Cor5 2 6 2" xfId="5857" xr:uid="{00000000-0005-0000-0000-00006C070000}"/>
    <cellStyle name="40% - Cor5 2 6 3" xfId="7083" xr:uid="{00000000-0005-0000-0000-00006D070000}"/>
    <cellStyle name="40% - Cor5 2 7" xfId="5237" xr:uid="{00000000-0005-0000-0000-00006E070000}"/>
    <cellStyle name="40% - Cor5 2 8" xfId="6447" xr:uid="{00000000-0005-0000-0000-00006F070000}"/>
    <cellStyle name="40% - Cor5 2 9" xfId="1195" xr:uid="{00000000-0005-0000-0000-000070070000}"/>
    <cellStyle name="40% - Cor5 3" xfId="80" xr:uid="{00000000-0005-0000-0000-000071070000}"/>
    <cellStyle name="40% - Cor5 3 2" xfId="1349" xr:uid="{00000000-0005-0000-0000-000072070000}"/>
    <cellStyle name="40% - Cor5 3 2 2" xfId="1617" xr:uid="{00000000-0005-0000-0000-000073070000}"/>
    <cellStyle name="40% - Cor5 3 2 2 2" xfId="5643" xr:uid="{00000000-0005-0000-0000-000074070000}"/>
    <cellStyle name="40% - Cor5 3 2 2 3" xfId="6868" xr:uid="{00000000-0005-0000-0000-000075070000}"/>
    <cellStyle name="40% - Cor5 3 2 3" xfId="1818" xr:uid="{00000000-0005-0000-0000-000076070000}"/>
    <cellStyle name="40% - Cor5 3 2 3 2" xfId="5839" xr:uid="{00000000-0005-0000-0000-000077070000}"/>
    <cellStyle name="40% - Cor5 3 2 3 3" xfId="7065" xr:uid="{00000000-0005-0000-0000-000078070000}"/>
    <cellStyle name="40% - Cor5 3 2 4" xfId="1997" xr:uid="{00000000-0005-0000-0000-000079070000}"/>
    <cellStyle name="40% - Cor5 3 2 4 2" xfId="6016" xr:uid="{00000000-0005-0000-0000-00007A070000}"/>
    <cellStyle name="40% - Cor5 3 2 4 3" xfId="7244" xr:uid="{00000000-0005-0000-0000-00007B070000}"/>
    <cellStyle name="40% - Cor5 3 2 5" xfId="5383" xr:uid="{00000000-0005-0000-0000-00007C070000}"/>
    <cellStyle name="40% - Cor5 3 2 6" xfId="6601" xr:uid="{00000000-0005-0000-0000-00007D070000}"/>
    <cellStyle name="40% - Cor5 3 3" xfId="1508" xr:uid="{00000000-0005-0000-0000-00007E070000}"/>
    <cellStyle name="40% - Cor5 3 3 2" xfId="5536" xr:uid="{00000000-0005-0000-0000-00007F070000}"/>
    <cellStyle name="40% - Cor5 3 3 3" xfId="6760" xr:uid="{00000000-0005-0000-0000-000080070000}"/>
    <cellStyle name="40% - Cor5 3 4" xfId="1715" xr:uid="{00000000-0005-0000-0000-000081070000}"/>
    <cellStyle name="40% - Cor5 3 4 2" xfId="5737" xr:uid="{00000000-0005-0000-0000-000082070000}"/>
    <cellStyle name="40% - Cor5 3 4 3" xfId="6962" xr:uid="{00000000-0005-0000-0000-000083070000}"/>
    <cellStyle name="40% - Cor5 3 5" xfId="1939" xr:uid="{00000000-0005-0000-0000-000084070000}"/>
    <cellStyle name="40% - Cor5 3 5 2" xfId="5959" xr:uid="{00000000-0005-0000-0000-000085070000}"/>
    <cellStyle name="40% - Cor5 3 5 3" xfId="7186" xr:uid="{00000000-0005-0000-0000-000086070000}"/>
    <cellStyle name="40% - Cor5 3 6" xfId="5277" xr:uid="{00000000-0005-0000-0000-000087070000}"/>
    <cellStyle name="40% - Cor5 3 7" xfId="6490" xr:uid="{00000000-0005-0000-0000-000088070000}"/>
    <cellStyle name="40% - Cor5 3 8" xfId="1238" xr:uid="{00000000-0005-0000-0000-000089070000}"/>
    <cellStyle name="40% - Cor5 4" xfId="81" xr:uid="{00000000-0005-0000-0000-00008A070000}"/>
    <cellStyle name="40% - Cor5 4 2" xfId="1502" xr:uid="{00000000-0005-0000-0000-00008B070000}"/>
    <cellStyle name="40% - Cor5 4 2 2" xfId="5530" xr:uid="{00000000-0005-0000-0000-00008C070000}"/>
    <cellStyle name="40% - Cor5 4 2 3" xfId="6754" xr:uid="{00000000-0005-0000-0000-00008D070000}"/>
    <cellStyle name="40% - Cor5 4 3" xfId="1709" xr:uid="{00000000-0005-0000-0000-00008E070000}"/>
    <cellStyle name="40% - Cor5 4 3 2" xfId="5731" xr:uid="{00000000-0005-0000-0000-00008F070000}"/>
    <cellStyle name="40% - Cor5 4 3 3" xfId="6956" xr:uid="{00000000-0005-0000-0000-000090070000}"/>
    <cellStyle name="40% - Cor5 4 4" xfId="1968" xr:uid="{00000000-0005-0000-0000-000091070000}"/>
    <cellStyle name="40% - Cor5 4 4 2" xfId="5988" xr:uid="{00000000-0005-0000-0000-000092070000}"/>
    <cellStyle name="40% - Cor5 4 4 3" xfId="7215" xr:uid="{00000000-0005-0000-0000-000093070000}"/>
    <cellStyle name="40% - Cor5 4 5" xfId="5271" xr:uid="{00000000-0005-0000-0000-000094070000}"/>
    <cellStyle name="40% - Cor5 4 6" xfId="6484" xr:uid="{00000000-0005-0000-0000-000095070000}"/>
    <cellStyle name="40% - Cor5 4 7" xfId="1232" xr:uid="{00000000-0005-0000-0000-000096070000}"/>
    <cellStyle name="40% - Cor5 5" xfId="1386" xr:uid="{00000000-0005-0000-0000-000097070000}"/>
    <cellStyle name="40% - Cor5 5 2" xfId="1656" xr:uid="{00000000-0005-0000-0000-000098070000}"/>
    <cellStyle name="40% - Cor5 5 2 2" xfId="5680" xr:uid="{00000000-0005-0000-0000-000099070000}"/>
    <cellStyle name="40% - Cor5 5 2 3" xfId="6905" xr:uid="{00000000-0005-0000-0000-00009A070000}"/>
    <cellStyle name="40% - Cor5 5 3" xfId="1852" xr:uid="{00000000-0005-0000-0000-00009B070000}"/>
    <cellStyle name="40% - Cor5 5 3 2" xfId="5873" xr:uid="{00000000-0005-0000-0000-00009C070000}"/>
    <cellStyle name="40% - Cor5 5 3 3" xfId="7099" xr:uid="{00000000-0005-0000-0000-00009D070000}"/>
    <cellStyle name="40% - Cor5 5 4" xfId="2037" xr:uid="{00000000-0005-0000-0000-00009E070000}"/>
    <cellStyle name="40% - Cor5 5 4 2" xfId="6056" xr:uid="{00000000-0005-0000-0000-00009F070000}"/>
    <cellStyle name="40% - Cor5 5 4 3" xfId="7284" xr:uid="{00000000-0005-0000-0000-0000A0070000}"/>
    <cellStyle name="40% - Cor5 5 5" xfId="5417" xr:uid="{00000000-0005-0000-0000-0000A1070000}"/>
    <cellStyle name="40% - Cor5 5 6" xfId="6638" xr:uid="{00000000-0005-0000-0000-0000A2070000}"/>
    <cellStyle name="40% - Cor5 6" xfId="1400" xr:uid="{00000000-0005-0000-0000-0000A3070000}"/>
    <cellStyle name="40% - Cor5 6 2" xfId="1670" xr:uid="{00000000-0005-0000-0000-0000A4070000}"/>
    <cellStyle name="40% - Cor5 6 2 2" xfId="5694" xr:uid="{00000000-0005-0000-0000-0000A5070000}"/>
    <cellStyle name="40% - Cor5 6 2 3" xfId="6919" xr:uid="{00000000-0005-0000-0000-0000A6070000}"/>
    <cellStyle name="40% - Cor5 6 3" xfId="1866" xr:uid="{00000000-0005-0000-0000-0000A7070000}"/>
    <cellStyle name="40% - Cor5 6 3 2" xfId="5887" xr:uid="{00000000-0005-0000-0000-0000A8070000}"/>
    <cellStyle name="40% - Cor5 6 3 3" xfId="7113" xr:uid="{00000000-0005-0000-0000-0000A9070000}"/>
    <cellStyle name="40% - Cor5 6 4" xfId="2051" xr:uid="{00000000-0005-0000-0000-0000AA070000}"/>
    <cellStyle name="40% - Cor5 6 4 2" xfId="6070" xr:uid="{00000000-0005-0000-0000-0000AB070000}"/>
    <cellStyle name="40% - Cor5 6 4 3" xfId="7298" xr:uid="{00000000-0005-0000-0000-0000AC070000}"/>
    <cellStyle name="40% - Cor5 6 5" xfId="5431" xr:uid="{00000000-0005-0000-0000-0000AD070000}"/>
    <cellStyle name="40% - Cor5 6 6" xfId="6652" xr:uid="{00000000-0005-0000-0000-0000AE070000}"/>
    <cellStyle name="40% - Cor5 7" xfId="1434" xr:uid="{00000000-0005-0000-0000-0000AF070000}"/>
    <cellStyle name="40% - Cor5 7 2" xfId="1890" xr:uid="{00000000-0005-0000-0000-0000B0070000}"/>
    <cellStyle name="40% - Cor5 7 2 2" xfId="5910" xr:uid="{00000000-0005-0000-0000-0000B1070000}"/>
    <cellStyle name="40% - Cor5 7 2 3" xfId="7137" xr:uid="{00000000-0005-0000-0000-0000B2070000}"/>
    <cellStyle name="40% - Cor5 7 3" xfId="2063" xr:uid="{00000000-0005-0000-0000-0000B3070000}"/>
    <cellStyle name="40% - Cor5 7 3 2" xfId="6082" xr:uid="{00000000-0005-0000-0000-0000B4070000}"/>
    <cellStyle name="40% - Cor5 7 3 3" xfId="7310" xr:uid="{00000000-0005-0000-0000-0000B5070000}"/>
    <cellStyle name="40% - Cor5 7 4" xfId="5464" xr:uid="{00000000-0005-0000-0000-0000B6070000}"/>
    <cellStyle name="40% - Cor5 7 5" xfId="6686" xr:uid="{00000000-0005-0000-0000-0000B7070000}"/>
    <cellStyle name="40% - Cor5 8" xfId="1558" xr:uid="{00000000-0005-0000-0000-0000B8070000}"/>
    <cellStyle name="40% - Cor5 8 2" xfId="2072" xr:uid="{00000000-0005-0000-0000-0000B9070000}"/>
    <cellStyle name="40% - Cor5 8 2 2" xfId="6091" xr:uid="{00000000-0005-0000-0000-0000BA070000}"/>
    <cellStyle name="40% - Cor5 8 2 3" xfId="7319" xr:uid="{00000000-0005-0000-0000-0000BB070000}"/>
    <cellStyle name="40% - Cor5 8 3" xfId="5584" xr:uid="{00000000-0005-0000-0000-0000BC070000}"/>
    <cellStyle name="40% - Cor5 8 4" xfId="6809" xr:uid="{00000000-0005-0000-0000-0000BD070000}"/>
    <cellStyle name="40% - Cor5 9" xfId="1563" xr:uid="{00000000-0005-0000-0000-0000BE070000}"/>
    <cellStyle name="40% - Cor5 9 2" xfId="5589" xr:uid="{00000000-0005-0000-0000-0000BF070000}"/>
    <cellStyle name="40% - Cor5 9 3" xfId="6814" xr:uid="{00000000-0005-0000-0000-0000C0070000}"/>
    <cellStyle name="40% - Cor6 10" xfId="6319" xr:uid="{00000000-0005-0000-0000-0000C1070000}"/>
    <cellStyle name="40% - Cor6 11" xfId="1037" xr:uid="{00000000-0005-0000-0000-0000C2070000}"/>
    <cellStyle name="40% - Cor6 2" xfId="82" xr:uid="{00000000-0005-0000-0000-0000C3070000}"/>
    <cellStyle name="40% - Cor6 2 2" xfId="1270" xr:uid="{00000000-0005-0000-0000-0000C4070000}"/>
    <cellStyle name="40% - Cor6 2 2 2" xfId="1541" xr:uid="{00000000-0005-0000-0000-0000C5070000}"/>
    <cellStyle name="40% - Cor6 2 2 2 2" xfId="5568" xr:uid="{00000000-0005-0000-0000-0000C6070000}"/>
    <cellStyle name="40% - Cor6 2 2 2 3" xfId="6793" xr:uid="{00000000-0005-0000-0000-0000C7070000}"/>
    <cellStyle name="40% - Cor6 2 2 3" xfId="1746" xr:uid="{00000000-0005-0000-0000-0000C8070000}"/>
    <cellStyle name="40% - Cor6 2 2 3 2" xfId="5768" xr:uid="{00000000-0005-0000-0000-0000C9070000}"/>
    <cellStyle name="40% - Cor6 2 2 3 3" xfId="6993" xr:uid="{00000000-0005-0000-0000-0000CA070000}"/>
    <cellStyle name="40% - Cor6 2 2 4" xfId="2015" xr:uid="{00000000-0005-0000-0000-0000CB070000}"/>
    <cellStyle name="40% - Cor6 2 2 4 2" xfId="6034" xr:uid="{00000000-0005-0000-0000-0000CC070000}"/>
    <cellStyle name="40% - Cor6 2 2 4 3" xfId="7262" xr:uid="{00000000-0005-0000-0000-0000CD070000}"/>
    <cellStyle name="40% - Cor6 2 2 5" xfId="5307" xr:uid="{00000000-0005-0000-0000-0000CE070000}"/>
    <cellStyle name="40% - Cor6 2 2 6" xfId="6522" xr:uid="{00000000-0005-0000-0000-0000CF070000}"/>
    <cellStyle name="40% - Cor6 2 3" xfId="1317" xr:uid="{00000000-0005-0000-0000-0000D0070000}"/>
    <cellStyle name="40% - Cor6 2 3 2" xfId="1586" xr:uid="{00000000-0005-0000-0000-0000D1070000}"/>
    <cellStyle name="40% - Cor6 2 3 2 2" xfId="5612" xr:uid="{00000000-0005-0000-0000-0000D2070000}"/>
    <cellStyle name="40% - Cor6 2 3 2 3" xfId="6837" xr:uid="{00000000-0005-0000-0000-0000D3070000}"/>
    <cellStyle name="40% - Cor6 2 3 3" xfId="1790" xr:uid="{00000000-0005-0000-0000-0000D4070000}"/>
    <cellStyle name="40% - Cor6 2 3 3 2" xfId="5811" xr:uid="{00000000-0005-0000-0000-0000D5070000}"/>
    <cellStyle name="40% - Cor6 2 3 3 3" xfId="7037" xr:uid="{00000000-0005-0000-0000-0000D6070000}"/>
    <cellStyle name="40% - Cor6 2 3 4" xfId="2003" xr:uid="{00000000-0005-0000-0000-0000D7070000}"/>
    <cellStyle name="40% - Cor6 2 3 4 2" xfId="6022" xr:uid="{00000000-0005-0000-0000-0000D8070000}"/>
    <cellStyle name="40% - Cor6 2 3 4 3" xfId="7250" xr:uid="{00000000-0005-0000-0000-0000D9070000}"/>
    <cellStyle name="40% - Cor6 2 3 5" xfId="5353" xr:uid="{00000000-0005-0000-0000-0000DA070000}"/>
    <cellStyle name="40% - Cor6 2 3 6" xfId="6569" xr:uid="{00000000-0005-0000-0000-0000DB070000}"/>
    <cellStyle name="40% - Cor6 2 4" xfId="1466" xr:uid="{00000000-0005-0000-0000-0000DC070000}"/>
    <cellStyle name="40% - Cor6 2 4 2" xfId="5494" xr:uid="{00000000-0005-0000-0000-0000DD070000}"/>
    <cellStyle name="40% - Cor6 2 4 3" xfId="6718" xr:uid="{00000000-0005-0000-0000-0000DE070000}"/>
    <cellStyle name="40% - Cor6 2 5" xfId="1435" xr:uid="{00000000-0005-0000-0000-0000DF070000}"/>
    <cellStyle name="40% - Cor6 2 5 2" xfId="5465" xr:uid="{00000000-0005-0000-0000-0000E0070000}"/>
    <cellStyle name="40% - Cor6 2 5 3" xfId="6687" xr:uid="{00000000-0005-0000-0000-0000E1070000}"/>
    <cellStyle name="40% - Cor6 2 6" xfId="1822" xr:uid="{00000000-0005-0000-0000-0000E2070000}"/>
    <cellStyle name="40% - Cor6 2 6 2" xfId="5843" xr:uid="{00000000-0005-0000-0000-0000E3070000}"/>
    <cellStyle name="40% - Cor6 2 6 3" xfId="7069" xr:uid="{00000000-0005-0000-0000-0000E4070000}"/>
    <cellStyle name="40% - Cor6 2 7" xfId="5239" xr:uid="{00000000-0005-0000-0000-0000E5070000}"/>
    <cellStyle name="40% - Cor6 2 8" xfId="6449" xr:uid="{00000000-0005-0000-0000-0000E6070000}"/>
    <cellStyle name="40% - Cor6 2 9" xfId="1197" xr:uid="{00000000-0005-0000-0000-0000E7070000}"/>
    <cellStyle name="40% - Cor6 3" xfId="83" xr:uid="{00000000-0005-0000-0000-0000E8070000}"/>
    <cellStyle name="40% - Cor6 3 2" xfId="1351" xr:uid="{00000000-0005-0000-0000-0000E9070000}"/>
    <cellStyle name="40% - Cor6 3 2 2" xfId="1619" xr:uid="{00000000-0005-0000-0000-0000EA070000}"/>
    <cellStyle name="40% - Cor6 3 2 2 2" xfId="5645" xr:uid="{00000000-0005-0000-0000-0000EB070000}"/>
    <cellStyle name="40% - Cor6 3 2 2 3" xfId="6870" xr:uid="{00000000-0005-0000-0000-0000EC070000}"/>
    <cellStyle name="40% - Cor6 3 2 3" xfId="1820" xr:uid="{00000000-0005-0000-0000-0000ED070000}"/>
    <cellStyle name="40% - Cor6 3 2 3 2" xfId="5841" xr:uid="{00000000-0005-0000-0000-0000EE070000}"/>
    <cellStyle name="40% - Cor6 3 2 3 3" xfId="7067" xr:uid="{00000000-0005-0000-0000-0000EF070000}"/>
    <cellStyle name="40% - Cor6 3 2 4" xfId="1925" xr:uid="{00000000-0005-0000-0000-0000F0070000}"/>
    <cellStyle name="40% - Cor6 3 2 4 2" xfId="5945" xr:uid="{00000000-0005-0000-0000-0000F1070000}"/>
    <cellStyle name="40% - Cor6 3 2 4 3" xfId="7172" xr:uid="{00000000-0005-0000-0000-0000F2070000}"/>
    <cellStyle name="40% - Cor6 3 2 5" xfId="5385" xr:uid="{00000000-0005-0000-0000-0000F3070000}"/>
    <cellStyle name="40% - Cor6 3 2 6" xfId="6603" xr:uid="{00000000-0005-0000-0000-0000F4070000}"/>
    <cellStyle name="40% - Cor6 3 3" xfId="1510" xr:uid="{00000000-0005-0000-0000-0000F5070000}"/>
    <cellStyle name="40% - Cor6 3 3 2" xfId="5538" xr:uid="{00000000-0005-0000-0000-0000F6070000}"/>
    <cellStyle name="40% - Cor6 3 3 3" xfId="6762" xr:uid="{00000000-0005-0000-0000-0000F7070000}"/>
    <cellStyle name="40% - Cor6 3 4" xfId="1717" xr:uid="{00000000-0005-0000-0000-0000F8070000}"/>
    <cellStyle name="40% - Cor6 3 4 2" xfId="5739" xr:uid="{00000000-0005-0000-0000-0000F9070000}"/>
    <cellStyle name="40% - Cor6 3 4 3" xfId="6964" xr:uid="{00000000-0005-0000-0000-0000FA070000}"/>
    <cellStyle name="40% - Cor6 3 5" xfId="1958" xr:uid="{00000000-0005-0000-0000-0000FB070000}"/>
    <cellStyle name="40% - Cor6 3 5 2" xfId="5978" xr:uid="{00000000-0005-0000-0000-0000FC070000}"/>
    <cellStyle name="40% - Cor6 3 5 3" xfId="7205" xr:uid="{00000000-0005-0000-0000-0000FD070000}"/>
    <cellStyle name="40% - Cor6 3 6" xfId="5279" xr:uid="{00000000-0005-0000-0000-0000FE070000}"/>
    <cellStyle name="40% - Cor6 3 7" xfId="6492" xr:uid="{00000000-0005-0000-0000-0000FF070000}"/>
    <cellStyle name="40% - Cor6 3 8" xfId="1240" xr:uid="{00000000-0005-0000-0000-000000080000}"/>
    <cellStyle name="40% - Cor6 4" xfId="84" xr:uid="{00000000-0005-0000-0000-000001080000}"/>
    <cellStyle name="40% - Cor6 4 2" xfId="1561" xr:uid="{00000000-0005-0000-0000-000002080000}"/>
    <cellStyle name="40% - Cor6 4 2 2" xfId="5587" xr:uid="{00000000-0005-0000-0000-000003080000}"/>
    <cellStyle name="40% - Cor6 4 2 3" xfId="6812" xr:uid="{00000000-0005-0000-0000-000004080000}"/>
    <cellStyle name="40% - Cor6 4 3" xfId="1766" xr:uid="{00000000-0005-0000-0000-000005080000}"/>
    <cellStyle name="40% - Cor6 4 3 2" xfId="5788" xr:uid="{00000000-0005-0000-0000-000006080000}"/>
    <cellStyle name="40% - Cor6 4 3 3" xfId="7013" xr:uid="{00000000-0005-0000-0000-000007080000}"/>
    <cellStyle name="40% - Cor6 4 4" xfId="1964" xr:uid="{00000000-0005-0000-0000-000008080000}"/>
    <cellStyle name="40% - Cor6 4 4 2" xfId="5984" xr:uid="{00000000-0005-0000-0000-000009080000}"/>
    <cellStyle name="40% - Cor6 4 4 3" xfId="7211" xr:uid="{00000000-0005-0000-0000-00000A080000}"/>
    <cellStyle name="40% - Cor6 4 5" xfId="5327" xr:uid="{00000000-0005-0000-0000-00000B080000}"/>
    <cellStyle name="40% - Cor6 4 6" xfId="6543" xr:uid="{00000000-0005-0000-0000-00000C080000}"/>
    <cellStyle name="40% - Cor6 4 7" xfId="1291" xr:uid="{00000000-0005-0000-0000-00000D080000}"/>
    <cellStyle name="40% - Cor6 5" xfId="1388" xr:uid="{00000000-0005-0000-0000-00000E080000}"/>
    <cellStyle name="40% - Cor6 5 2" xfId="1658" xr:uid="{00000000-0005-0000-0000-00000F080000}"/>
    <cellStyle name="40% - Cor6 5 2 2" xfId="5682" xr:uid="{00000000-0005-0000-0000-000010080000}"/>
    <cellStyle name="40% - Cor6 5 2 3" xfId="6907" xr:uid="{00000000-0005-0000-0000-000011080000}"/>
    <cellStyle name="40% - Cor6 5 3" xfId="1854" xr:uid="{00000000-0005-0000-0000-000012080000}"/>
    <cellStyle name="40% - Cor6 5 3 2" xfId="5875" xr:uid="{00000000-0005-0000-0000-000013080000}"/>
    <cellStyle name="40% - Cor6 5 3 3" xfId="7101" xr:uid="{00000000-0005-0000-0000-000014080000}"/>
    <cellStyle name="40% - Cor6 5 4" xfId="2039" xr:uid="{00000000-0005-0000-0000-000015080000}"/>
    <cellStyle name="40% - Cor6 5 4 2" xfId="6058" xr:uid="{00000000-0005-0000-0000-000016080000}"/>
    <cellStyle name="40% - Cor6 5 4 3" xfId="7286" xr:uid="{00000000-0005-0000-0000-000017080000}"/>
    <cellStyle name="40% - Cor6 5 5" xfId="5419" xr:uid="{00000000-0005-0000-0000-000018080000}"/>
    <cellStyle name="40% - Cor6 5 6" xfId="6640" xr:uid="{00000000-0005-0000-0000-000019080000}"/>
    <cellStyle name="40% - Cor6 6" xfId="1402" xr:uid="{00000000-0005-0000-0000-00001A080000}"/>
    <cellStyle name="40% - Cor6 6 2" xfId="1672" xr:uid="{00000000-0005-0000-0000-00001B080000}"/>
    <cellStyle name="40% - Cor6 6 2 2" xfId="5696" xr:uid="{00000000-0005-0000-0000-00001C080000}"/>
    <cellStyle name="40% - Cor6 6 2 3" xfId="6921" xr:uid="{00000000-0005-0000-0000-00001D080000}"/>
    <cellStyle name="40% - Cor6 6 3" xfId="1868" xr:uid="{00000000-0005-0000-0000-00001E080000}"/>
    <cellStyle name="40% - Cor6 6 3 2" xfId="5889" xr:uid="{00000000-0005-0000-0000-00001F080000}"/>
    <cellStyle name="40% - Cor6 6 3 3" xfId="7115" xr:uid="{00000000-0005-0000-0000-000020080000}"/>
    <cellStyle name="40% - Cor6 6 4" xfId="2053" xr:uid="{00000000-0005-0000-0000-000021080000}"/>
    <cellStyle name="40% - Cor6 6 4 2" xfId="6072" xr:uid="{00000000-0005-0000-0000-000022080000}"/>
    <cellStyle name="40% - Cor6 6 4 3" xfId="7300" xr:uid="{00000000-0005-0000-0000-000023080000}"/>
    <cellStyle name="40% - Cor6 6 5" xfId="5433" xr:uid="{00000000-0005-0000-0000-000024080000}"/>
    <cellStyle name="40% - Cor6 6 6" xfId="6654" xr:uid="{00000000-0005-0000-0000-000025080000}"/>
    <cellStyle name="40% - Cor6 7" xfId="1438" xr:uid="{00000000-0005-0000-0000-000026080000}"/>
    <cellStyle name="40% - Cor6 7 2" xfId="1892" xr:uid="{00000000-0005-0000-0000-000027080000}"/>
    <cellStyle name="40% - Cor6 7 2 2" xfId="5912" xr:uid="{00000000-0005-0000-0000-000028080000}"/>
    <cellStyle name="40% - Cor6 7 2 3" xfId="7139" xr:uid="{00000000-0005-0000-0000-000029080000}"/>
    <cellStyle name="40% - Cor6 7 3" xfId="2065" xr:uid="{00000000-0005-0000-0000-00002A080000}"/>
    <cellStyle name="40% - Cor6 7 3 2" xfId="6084" xr:uid="{00000000-0005-0000-0000-00002B080000}"/>
    <cellStyle name="40% - Cor6 7 3 3" xfId="7312" xr:uid="{00000000-0005-0000-0000-00002C080000}"/>
    <cellStyle name="40% - Cor6 7 4" xfId="5468" xr:uid="{00000000-0005-0000-0000-00002D080000}"/>
    <cellStyle name="40% - Cor6 7 5" xfId="6690" xr:uid="{00000000-0005-0000-0000-00002E080000}"/>
    <cellStyle name="40% - Cor6 8" xfId="1587" xr:uid="{00000000-0005-0000-0000-00002F080000}"/>
    <cellStyle name="40% - Cor6 8 2" xfId="2074" xr:uid="{00000000-0005-0000-0000-000030080000}"/>
    <cellStyle name="40% - Cor6 8 2 2" xfId="6093" xr:uid="{00000000-0005-0000-0000-000031080000}"/>
    <cellStyle name="40% - Cor6 8 2 3" xfId="7321" xr:uid="{00000000-0005-0000-0000-000032080000}"/>
    <cellStyle name="40% - Cor6 8 3" xfId="5613" xr:uid="{00000000-0005-0000-0000-000033080000}"/>
    <cellStyle name="40% - Cor6 8 4" xfId="6838" xr:uid="{00000000-0005-0000-0000-000034080000}"/>
    <cellStyle name="40% - Cor6 9" xfId="1994" xr:uid="{00000000-0005-0000-0000-000035080000}"/>
    <cellStyle name="40% - Cor6 9 2" xfId="6013" xr:uid="{00000000-0005-0000-0000-000036080000}"/>
    <cellStyle name="40% - Cor6 9 3" xfId="7241" xr:uid="{00000000-0005-0000-0000-000037080000}"/>
    <cellStyle name="60% - Accent1" xfId="85" xr:uid="{00000000-0005-0000-0000-000038080000}"/>
    <cellStyle name="60% - Accent1 2" xfId="1060" xr:uid="{00000000-0005-0000-0000-000039080000}"/>
    <cellStyle name="60% - Accent1 2 2" xfId="3587" xr:uid="{00000000-0005-0000-0000-00003A080000}"/>
    <cellStyle name="60% - Accent1 2 2 2" xfId="5199" xr:uid="{00000000-0005-0000-0000-00003B080000}"/>
    <cellStyle name="60% - Accent1 2 2 3" xfId="8571" xr:uid="{00000000-0005-0000-0000-00003C080000}"/>
    <cellStyle name="60% - Accent1 2 3" xfId="3138" xr:uid="{00000000-0005-0000-0000-00003D080000}"/>
    <cellStyle name="60% - Accent1 2 3 2" xfId="4790" xr:uid="{00000000-0005-0000-0000-00003E080000}"/>
    <cellStyle name="60% - Accent1 2 3 3" xfId="8194" xr:uid="{00000000-0005-0000-0000-00003F080000}"/>
    <cellStyle name="60% - Accent1 2 4" xfId="3932" xr:uid="{00000000-0005-0000-0000-000040080000}"/>
    <cellStyle name="60% - Accent1 2 5" xfId="6341" xr:uid="{00000000-0005-0000-0000-000041080000}"/>
    <cellStyle name="60% - Accent1 3" xfId="3139" xr:uid="{00000000-0005-0000-0000-000042080000}"/>
    <cellStyle name="60% - Accent1 3 2" xfId="4791" xr:uid="{00000000-0005-0000-0000-000043080000}"/>
    <cellStyle name="60% - Accent1 3 3" xfId="8195" xr:uid="{00000000-0005-0000-0000-000044080000}"/>
    <cellStyle name="60% - Accent1 4" xfId="3140" xr:uid="{00000000-0005-0000-0000-000045080000}"/>
    <cellStyle name="60% - Accent1 4 2" xfId="4792" xr:uid="{00000000-0005-0000-0000-000046080000}"/>
    <cellStyle name="60% - Accent1 4 3" xfId="8196" xr:uid="{00000000-0005-0000-0000-000047080000}"/>
    <cellStyle name="60% - Accent1 5" xfId="3141" xr:uid="{00000000-0005-0000-0000-000048080000}"/>
    <cellStyle name="60% - Accent1 5 2" xfId="4793" xr:uid="{00000000-0005-0000-0000-000049080000}"/>
    <cellStyle name="60% - Accent1 5 3" xfId="8197" xr:uid="{00000000-0005-0000-0000-00004A080000}"/>
    <cellStyle name="60% - Accent1 6" xfId="3142" xr:uid="{00000000-0005-0000-0000-00004B080000}"/>
    <cellStyle name="60% - Accent1 6 2" xfId="4794" xr:uid="{00000000-0005-0000-0000-00004C080000}"/>
    <cellStyle name="60% - Accent1 6 3" xfId="8198" xr:uid="{00000000-0005-0000-0000-00004D080000}"/>
    <cellStyle name="60% - Accent1 7" xfId="3931" xr:uid="{00000000-0005-0000-0000-00004E080000}"/>
    <cellStyle name="60% - Accent1 8" xfId="7816" xr:uid="{00000000-0005-0000-0000-00004F080000}"/>
    <cellStyle name="60% - Accent1 9" xfId="2598" xr:uid="{00000000-0005-0000-0000-000050080000}"/>
    <cellStyle name="60% - Accent2" xfId="86" xr:uid="{00000000-0005-0000-0000-000051080000}"/>
    <cellStyle name="60% - Accent2 2" xfId="1061" xr:uid="{00000000-0005-0000-0000-000052080000}"/>
    <cellStyle name="60% - Accent2 2 2" xfId="3591" xr:uid="{00000000-0005-0000-0000-000053080000}"/>
    <cellStyle name="60% - Accent2 2 2 2" xfId="5203" xr:uid="{00000000-0005-0000-0000-000054080000}"/>
    <cellStyle name="60% - Accent2 2 2 3" xfId="8575" xr:uid="{00000000-0005-0000-0000-000055080000}"/>
    <cellStyle name="60% - Accent2 2 3" xfId="3143" xr:uid="{00000000-0005-0000-0000-000056080000}"/>
    <cellStyle name="60% - Accent2 2 3 2" xfId="4795" xr:uid="{00000000-0005-0000-0000-000057080000}"/>
    <cellStyle name="60% - Accent2 2 3 3" xfId="8199" xr:uid="{00000000-0005-0000-0000-000058080000}"/>
    <cellStyle name="60% - Accent2 2 4" xfId="3934" xr:uid="{00000000-0005-0000-0000-000059080000}"/>
    <cellStyle name="60% - Accent2 2 5" xfId="6342" xr:uid="{00000000-0005-0000-0000-00005A080000}"/>
    <cellStyle name="60% - Accent2 3" xfId="3144" xr:uid="{00000000-0005-0000-0000-00005B080000}"/>
    <cellStyle name="60% - Accent2 3 2" xfId="4796" xr:uid="{00000000-0005-0000-0000-00005C080000}"/>
    <cellStyle name="60% - Accent2 3 3" xfId="8200" xr:uid="{00000000-0005-0000-0000-00005D080000}"/>
    <cellStyle name="60% - Accent2 4" xfId="3145" xr:uid="{00000000-0005-0000-0000-00005E080000}"/>
    <cellStyle name="60% - Accent2 4 2" xfId="4797" xr:uid="{00000000-0005-0000-0000-00005F080000}"/>
    <cellStyle name="60% - Accent2 4 3" xfId="8201" xr:uid="{00000000-0005-0000-0000-000060080000}"/>
    <cellStyle name="60% - Accent2 5" xfId="3146" xr:uid="{00000000-0005-0000-0000-000061080000}"/>
    <cellStyle name="60% - Accent2 5 2" xfId="4798" xr:uid="{00000000-0005-0000-0000-000062080000}"/>
    <cellStyle name="60% - Accent2 5 3" xfId="8202" xr:uid="{00000000-0005-0000-0000-000063080000}"/>
    <cellStyle name="60% - Accent2 6" xfId="3147" xr:uid="{00000000-0005-0000-0000-000064080000}"/>
    <cellStyle name="60% - Accent2 6 2" xfId="4799" xr:uid="{00000000-0005-0000-0000-000065080000}"/>
    <cellStyle name="60% - Accent2 6 3" xfId="8203" xr:uid="{00000000-0005-0000-0000-000066080000}"/>
    <cellStyle name="60% - Accent2 7" xfId="3933" xr:uid="{00000000-0005-0000-0000-000067080000}"/>
    <cellStyle name="60% - Accent2 8" xfId="7815" xr:uid="{00000000-0005-0000-0000-000068080000}"/>
    <cellStyle name="60% - Accent2 9" xfId="2597" xr:uid="{00000000-0005-0000-0000-000069080000}"/>
    <cellStyle name="60% - Accent3" xfId="87" xr:uid="{00000000-0005-0000-0000-00006A080000}"/>
    <cellStyle name="60% - Accent3 2" xfId="1062" xr:uid="{00000000-0005-0000-0000-00006B080000}"/>
    <cellStyle name="60% - Accent3 2 2" xfId="3595" xr:uid="{00000000-0005-0000-0000-00006C080000}"/>
    <cellStyle name="60% - Accent3 2 2 2" xfId="5207" xr:uid="{00000000-0005-0000-0000-00006D080000}"/>
    <cellStyle name="60% - Accent3 2 2 3" xfId="8579" xr:uid="{00000000-0005-0000-0000-00006E080000}"/>
    <cellStyle name="60% - Accent3 2 3" xfId="3148" xr:uid="{00000000-0005-0000-0000-00006F080000}"/>
    <cellStyle name="60% - Accent3 2 3 2" xfId="4800" xr:uid="{00000000-0005-0000-0000-000070080000}"/>
    <cellStyle name="60% - Accent3 2 3 3" xfId="8204" xr:uid="{00000000-0005-0000-0000-000071080000}"/>
    <cellStyle name="60% - Accent3 2 4" xfId="3936" xr:uid="{00000000-0005-0000-0000-000072080000}"/>
    <cellStyle name="60% - Accent3 2 5" xfId="6343" xr:uid="{00000000-0005-0000-0000-000073080000}"/>
    <cellStyle name="60% - Accent3 3" xfId="3149" xr:uid="{00000000-0005-0000-0000-000074080000}"/>
    <cellStyle name="60% - Accent3 3 2" xfId="4801" xr:uid="{00000000-0005-0000-0000-000075080000}"/>
    <cellStyle name="60% - Accent3 3 3" xfId="8205" xr:uid="{00000000-0005-0000-0000-000076080000}"/>
    <cellStyle name="60% - Accent3 4" xfId="3150" xr:uid="{00000000-0005-0000-0000-000077080000}"/>
    <cellStyle name="60% - Accent3 4 2" xfId="4802" xr:uid="{00000000-0005-0000-0000-000078080000}"/>
    <cellStyle name="60% - Accent3 4 3" xfId="8206" xr:uid="{00000000-0005-0000-0000-000079080000}"/>
    <cellStyle name="60% - Accent3 5" xfId="3151" xr:uid="{00000000-0005-0000-0000-00007A080000}"/>
    <cellStyle name="60% - Accent3 5 2" xfId="4803" xr:uid="{00000000-0005-0000-0000-00007B080000}"/>
    <cellStyle name="60% - Accent3 5 3" xfId="8207" xr:uid="{00000000-0005-0000-0000-00007C080000}"/>
    <cellStyle name="60% - Accent3 6" xfId="3152" xr:uid="{00000000-0005-0000-0000-00007D080000}"/>
    <cellStyle name="60% - Accent3 6 2" xfId="4804" xr:uid="{00000000-0005-0000-0000-00007E080000}"/>
    <cellStyle name="60% - Accent3 6 3" xfId="8208" xr:uid="{00000000-0005-0000-0000-00007F080000}"/>
    <cellStyle name="60% - Accent3 7" xfId="3935" xr:uid="{00000000-0005-0000-0000-000080080000}"/>
    <cellStyle name="60% - Accent3 8" xfId="7814" xr:uid="{00000000-0005-0000-0000-000081080000}"/>
    <cellStyle name="60% - Accent3 9" xfId="2596" xr:uid="{00000000-0005-0000-0000-000082080000}"/>
    <cellStyle name="60% - Accent4" xfId="88" xr:uid="{00000000-0005-0000-0000-000083080000}"/>
    <cellStyle name="60% - Accent4 2" xfId="1063" xr:uid="{00000000-0005-0000-0000-000084080000}"/>
    <cellStyle name="60% - Accent4 2 2" xfId="3599" xr:uid="{00000000-0005-0000-0000-000085080000}"/>
    <cellStyle name="60% - Accent4 2 2 2" xfId="5211" xr:uid="{00000000-0005-0000-0000-000086080000}"/>
    <cellStyle name="60% - Accent4 2 2 3" xfId="8583" xr:uid="{00000000-0005-0000-0000-000087080000}"/>
    <cellStyle name="60% - Accent4 2 3" xfId="3153" xr:uid="{00000000-0005-0000-0000-000088080000}"/>
    <cellStyle name="60% - Accent4 2 3 2" xfId="4805" xr:uid="{00000000-0005-0000-0000-000089080000}"/>
    <cellStyle name="60% - Accent4 2 3 3" xfId="8209" xr:uid="{00000000-0005-0000-0000-00008A080000}"/>
    <cellStyle name="60% - Accent4 2 4" xfId="3938" xr:uid="{00000000-0005-0000-0000-00008B080000}"/>
    <cellStyle name="60% - Accent4 2 5" xfId="6344" xr:uid="{00000000-0005-0000-0000-00008C080000}"/>
    <cellStyle name="60% - Accent4 3" xfId="3154" xr:uid="{00000000-0005-0000-0000-00008D080000}"/>
    <cellStyle name="60% - Accent4 3 2" xfId="4806" xr:uid="{00000000-0005-0000-0000-00008E080000}"/>
    <cellStyle name="60% - Accent4 3 3" xfId="8210" xr:uid="{00000000-0005-0000-0000-00008F080000}"/>
    <cellStyle name="60% - Accent4 4" xfId="3155" xr:uid="{00000000-0005-0000-0000-000090080000}"/>
    <cellStyle name="60% - Accent4 4 2" xfId="4807" xr:uid="{00000000-0005-0000-0000-000091080000}"/>
    <cellStyle name="60% - Accent4 4 3" xfId="8211" xr:uid="{00000000-0005-0000-0000-000092080000}"/>
    <cellStyle name="60% - Accent4 5" xfId="3156" xr:uid="{00000000-0005-0000-0000-000093080000}"/>
    <cellStyle name="60% - Accent4 5 2" xfId="4808" xr:uid="{00000000-0005-0000-0000-000094080000}"/>
    <cellStyle name="60% - Accent4 5 3" xfId="8212" xr:uid="{00000000-0005-0000-0000-000095080000}"/>
    <cellStyle name="60% - Accent4 6" xfId="3157" xr:uid="{00000000-0005-0000-0000-000096080000}"/>
    <cellStyle name="60% - Accent4 6 2" xfId="4809" xr:uid="{00000000-0005-0000-0000-000097080000}"/>
    <cellStyle name="60% - Accent4 6 3" xfId="8213" xr:uid="{00000000-0005-0000-0000-000098080000}"/>
    <cellStyle name="60% - Accent4 7" xfId="3937" xr:uid="{00000000-0005-0000-0000-000099080000}"/>
    <cellStyle name="60% - Accent4 8" xfId="7813" xr:uid="{00000000-0005-0000-0000-00009A080000}"/>
    <cellStyle name="60% - Accent4 9" xfId="2595" xr:uid="{00000000-0005-0000-0000-00009B080000}"/>
    <cellStyle name="60% - Accent5" xfId="89" xr:uid="{00000000-0005-0000-0000-00009C080000}"/>
    <cellStyle name="60% - Accent5 2" xfId="1064" xr:uid="{00000000-0005-0000-0000-00009D080000}"/>
    <cellStyle name="60% - Accent5 2 2" xfId="3603" xr:uid="{00000000-0005-0000-0000-00009E080000}"/>
    <cellStyle name="60% - Accent5 2 2 2" xfId="5215" xr:uid="{00000000-0005-0000-0000-00009F080000}"/>
    <cellStyle name="60% - Accent5 2 2 3" xfId="8587" xr:uid="{00000000-0005-0000-0000-0000A0080000}"/>
    <cellStyle name="60% - Accent5 2 3" xfId="3158" xr:uid="{00000000-0005-0000-0000-0000A1080000}"/>
    <cellStyle name="60% - Accent5 2 3 2" xfId="4810" xr:uid="{00000000-0005-0000-0000-0000A2080000}"/>
    <cellStyle name="60% - Accent5 2 3 3" xfId="8214" xr:uid="{00000000-0005-0000-0000-0000A3080000}"/>
    <cellStyle name="60% - Accent5 2 4" xfId="3940" xr:uid="{00000000-0005-0000-0000-0000A4080000}"/>
    <cellStyle name="60% - Accent5 2 5" xfId="6345" xr:uid="{00000000-0005-0000-0000-0000A5080000}"/>
    <cellStyle name="60% - Accent5 3" xfId="3159" xr:uid="{00000000-0005-0000-0000-0000A6080000}"/>
    <cellStyle name="60% - Accent5 3 2" xfId="4811" xr:uid="{00000000-0005-0000-0000-0000A7080000}"/>
    <cellStyle name="60% - Accent5 3 3" xfId="8215" xr:uid="{00000000-0005-0000-0000-0000A8080000}"/>
    <cellStyle name="60% - Accent5 4" xfId="3160" xr:uid="{00000000-0005-0000-0000-0000A9080000}"/>
    <cellStyle name="60% - Accent5 4 2" xfId="4812" xr:uid="{00000000-0005-0000-0000-0000AA080000}"/>
    <cellStyle name="60% - Accent5 4 3" xfId="8216" xr:uid="{00000000-0005-0000-0000-0000AB080000}"/>
    <cellStyle name="60% - Accent5 5" xfId="3161" xr:uid="{00000000-0005-0000-0000-0000AC080000}"/>
    <cellStyle name="60% - Accent5 5 2" xfId="4813" xr:uid="{00000000-0005-0000-0000-0000AD080000}"/>
    <cellStyle name="60% - Accent5 5 3" xfId="8217" xr:uid="{00000000-0005-0000-0000-0000AE080000}"/>
    <cellStyle name="60% - Accent5 6" xfId="3162" xr:uid="{00000000-0005-0000-0000-0000AF080000}"/>
    <cellStyle name="60% - Accent5 6 2" xfId="4814" xr:uid="{00000000-0005-0000-0000-0000B0080000}"/>
    <cellStyle name="60% - Accent5 6 3" xfId="8218" xr:uid="{00000000-0005-0000-0000-0000B1080000}"/>
    <cellStyle name="60% - Accent5 7" xfId="3939" xr:uid="{00000000-0005-0000-0000-0000B2080000}"/>
    <cellStyle name="60% - Accent5 8" xfId="7812" xr:uid="{00000000-0005-0000-0000-0000B3080000}"/>
    <cellStyle name="60% - Accent5 9" xfId="2594" xr:uid="{00000000-0005-0000-0000-0000B4080000}"/>
    <cellStyle name="60% - Accent6" xfId="90" xr:uid="{00000000-0005-0000-0000-0000B5080000}"/>
    <cellStyle name="60% - Accent6 2" xfId="1065" xr:uid="{00000000-0005-0000-0000-0000B6080000}"/>
    <cellStyle name="60% - Accent6 2 2" xfId="3607" xr:uid="{00000000-0005-0000-0000-0000B7080000}"/>
    <cellStyle name="60% - Accent6 2 2 2" xfId="5219" xr:uid="{00000000-0005-0000-0000-0000B8080000}"/>
    <cellStyle name="60% - Accent6 2 2 3" xfId="8591" xr:uid="{00000000-0005-0000-0000-0000B9080000}"/>
    <cellStyle name="60% - Accent6 2 3" xfId="3163" xr:uid="{00000000-0005-0000-0000-0000BA080000}"/>
    <cellStyle name="60% - Accent6 2 3 2" xfId="4815" xr:uid="{00000000-0005-0000-0000-0000BB080000}"/>
    <cellStyle name="60% - Accent6 2 3 3" xfId="8219" xr:uid="{00000000-0005-0000-0000-0000BC080000}"/>
    <cellStyle name="60% - Accent6 2 4" xfId="3942" xr:uid="{00000000-0005-0000-0000-0000BD080000}"/>
    <cellStyle name="60% - Accent6 2 5" xfId="6346" xr:uid="{00000000-0005-0000-0000-0000BE080000}"/>
    <cellStyle name="60% - Accent6 3" xfId="3164" xr:uid="{00000000-0005-0000-0000-0000BF080000}"/>
    <cellStyle name="60% - Accent6 3 2" xfId="4816" xr:uid="{00000000-0005-0000-0000-0000C0080000}"/>
    <cellStyle name="60% - Accent6 3 3" xfId="8220" xr:uid="{00000000-0005-0000-0000-0000C1080000}"/>
    <cellStyle name="60% - Accent6 4" xfId="3165" xr:uid="{00000000-0005-0000-0000-0000C2080000}"/>
    <cellStyle name="60% - Accent6 4 2" xfId="4817" xr:uid="{00000000-0005-0000-0000-0000C3080000}"/>
    <cellStyle name="60% - Accent6 4 3" xfId="8221" xr:uid="{00000000-0005-0000-0000-0000C4080000}"/>
    <cellStyle name="60% - Accent6 5" xfId="3166" xr:uid="{00000000-0005-0000-0000-0000C5080000}"/>
    <cellStyle name="60% - Accent6 5 2" xfId="4818" xr:uid="{00000000-0005-0000-0000-0000C6080000}"/>
    <cellStyle name="60% - Accent6 5 3" xfId="8222" xr:uid="{00000000-0005-0000-0000-0000C7080000}"/>
    <cellStyle name="60% - Accent6 6" xfId="3167" xr:uid="{00000000-0005-0000-0000-0000C8080000}"/>
    <cellStyle name="60% - Accent6 6 2" xfId="4819" xr:uid="{00000000-0005-0000-0000-0000C9080000}"/>
    <cellStyle name="60% - Accent6 6 3" xfId="8223" xr:uid="{00000000-0005-0000-0000-0000CA080000}"/>
    <cellStyle name="60% - Accent6 7" xfId="3941" xr:uid="{00000000-0005-0000-0000-0000CB080000}"/>
    <cellStyle name="60% - Accent6 8" xfId="7811" xr:uid="{00000000-0005-0000-0000-0000CC080000}"/>
    <cellStyle name="60% - Accent6 9" xfId="2593" xr:uid="{00000000-0005-0000-0000-0000CD080000}"/>
    <cellStyle name="60% - Cor1 2" xfId="91" xr:uid="{00000000-0005-0000-0000-0000CE080000}"/>
    <cellStyle name="60% - Cor1 2 2" xfId="6300" xr:uid="{00000000-0005-0000-0000-0000CF080000}"/>
    <cellStyle name="60% - Cor1 3" xfId="92" xr:uid="{00000000-0005-0000-0000-0000D0080000}"/>
    <cellStyle name="60% - Cor1 3 2" xfId="1018" xr:uid="{00000000-0005-0000-0000-0000D1080000}"/>
    <cellStyle name="60% - Cor1 4" xfId="93" xr:uid="{00000000-0005-0000-0000-0000D2080000}"/>
    <cellStyle name="60% - Cor2 2" xfId="94" xr:uid="{00000000-0005-0000-0000-0000D3080000}"/>
    <cellStyle name="60% - Cor2 2 2" xfId="6304" xr:uid="{00000000-0005-0000-0000-0000D4080000}"/>
    <cellStyle name="60% - Cor2 3" xfId="95" xr:uid="{00000000-0005-0000-0000-0000D5080000}"/>
    <cellStyle name="60% - Cor2 3 2" xfId="1022" xr:uid="{00000000-0005-0000-0000-0000D6080000}"/>
    <cellStyle name="60% - Cor2 4" xfId="96" xr:uid="{00000000-0005-0000-0000-0000D7080000}"/>
    <cellStyle name="60% - Cor3 2" xfId="97" xr:uid="{00000000-0005-0000-0000-0000D8080000}"/>
    <cellStyle name="60% - Cor3 2 2" xfId="6308" xr:uid="{00000000-0005-0000-0000-0000D9080000}"/>
    <cellStyle name="60% - Cor3 3" xfId="98" xr:uid="{00000000-0005-0000-0000-0000DA080000}"/>
    <cellStyle name="60% - Cor3 3 2" xfId="1026" xr:uid="{00000000-0005-0000-0000-0000DB080000}"/>
    <cellStyle name="60% - Cor3 4" xfId="99" xr:uid="{00000000-0005-0000-0000-0000DC080000}"/>
    <cellStyle name="60% - Cor4 2" xfId="100" xr:uid="{00000000-0005-0000-0000-0000DD080000}"/>
    <cellStyle name="60% - Cor4 2 2" xfId="6312" xr:uid="{00000000-0005-0000-0000-0000DE080000}"/>
    <cellStyle name="60% - Cor4 3" xfId="101" xr:uid="{00000000-0005-0000-0000-0000DF080000}"/>
    <cellStyle name="60% - Cor4 3 2" xfId="1030" xr:uid="{00000000-0005-0000-0000-0000E0080000}"/>
    <cellStyle name="60% - Cor4 4" xfId="102" xr:uid="{00000000-0005-0000-0000-0000E1080000}"/>
    <cellStyle name="60% - Cor5 2" xfId="103" xr:uid="{00000000-0005-0000-0000-0000E2080000}"/>
    <cellStyle name="60% - Cor5 2 2" xfId="6316" xr:uid="{00000000-0005-0000-0000-0000E3080000}"/>
    <cellStyle name="60% - Cor5 3" xfId="104" xr:uid="{00000000-0005-0000-0000-0000E4080000}"/>
    <cellStyle name="60% - Cor5 3 2" xfId="1034" xr:uid="{00000000-0005-0000-0000-0000E5080000}"/>
    <cellStyle name="60% - Cor5 4" xfId="105" xr:uid="{00000000-0005-0000-0000-0000E6080000}"/>
    <cellStyle name="60% - Cor6 2" xfId="106" xr:uid="{00000000-0005-0000-0000-0000E7080000}"/>
    <cellStyle name="60% - Cor6 2 2" xfId="6320" xr:uid="{00000000-0005-0000-0000-0000E8080000}"/>
    <cellStyle name="60% - Cor6 3" xfId="107" xr:uid="{00000000-0005-0000-0000-0000E9080000}"/>
    <cellStyle name="60% - Cor6 3 2" xfId="1038"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1" xr:uid="{00000000-0005-0000-0000-0000EE080000}"/>
    <cellStyle name="Accent1 - 20% 3" xfId="8225" xr:uid="{00000000-0005-0000-0000-0000EF080000}"/>
    <cellStyle name="Accent1 - 20% 4" xfId="3169" xr:uid="{00000000-0005-0000-0000-0000F0080000}"/>
    <cellStyle name="Accent1 - 40%" xfId="111" xr:uid="{00000000-0005-0000-0000-0000F1080000}"/>
    <cellStyle name="Accent1 - 40% 2" xfId="4822" xr:uid="{00000000-0005-0000-0000-0000F2080000}"/>
    <cellStyle name="Accent1 - 40% 3" xfId="8226" xr:uid="{00000000-0005-0000-0000-0000F3080000}"/>
    <cellStyle name="Accent1 - 40% 4" xfId="3170" xr:uid="{00000000-0005-0000-0000-0000F4080000}"/>
    <cellStyle name="Accent1 - 60%" xfId="112" xr:uid="{00000000-0005-0000-0000-0000F5080000}"/>
    <cellStyle name="Accent1 - 60% 2" xfId="4823" xr:uid="{00000000-0005-0000-0000-0000F6080000}"/>
    <cellStyle name="Accent1 - 60% 3" xfId="8227" xr:uid="{00000000-0005-0000-0000-0000F7080000}"/>
    <cellStyle name="Accent1 - 60% 4" xfId="3171" xr:uid="{00000000-0005-0000-0000-0000F8080000}"/>
    <cellStyle name="Accent1 10" xfId="3943" xr:uid="{00000000-0005-0000-0000-0000F9080000}"/>
    <cellStyle name="Accent1 11" xfId="4517" xr:uid="{00000000-0005-0000-0000-0000FA080000}"/>
    <cellStyle name="Accent1 12" xfId="4528" xr:uid="{00000000-0005-0000-0000-0000FB080000}"/>
    <cellStyle name="Accent1 13" xfId="4536" xr:uid="{00000000-0005-0000-0000-0000FC080000}"/>
    <cellStyle name="Accent1 14" xfId="4601" xr:uid="{00000000-0005-0000-0000-0000FD080000}"/>
    <cellStyle name="Accent1 15" xfId="7810" xr:uid="{00000000-0005-0000-0000-0000FE080000}"/>
    <cellStyle name="Accent1 16" xfId="6265" xr:uid="{00000000-0005-0000-0000-0000FF080000}"/>
    <cellStyle name="Accent1 17" xfId="8769" xr:uid="{00000000-0005-0000-0000-000000090000}"/>
    <cellStyle name="Accent1 18" xfId="2592" xr:uid="{00000000-0005-0000-0000-000001090000}"/>
    <cellStyle name="Accent1 2" xfId="1066" xr:uid="{00000000-0005-0000-0000-000002090000}"/>
    <cellStyle name="Accent1 2 2" xfId="3586" xr:uid="{00000000-0005-0000-0000-000003090000}"/>
    <cellStyle name="Accent1 2 2 2" xfId="5198" xr:uid="{00000000-0005-0000-0000-000004090000}"/>
    <cellStyle name="Accent1 2 2 3" xfId="8570" xr:uid="{00000000-0005-0000-0000-000005090000}"/>
    <cellStyle name="Accent1 2 3" xfId="3172" xr:uid="{00000000-0005-0000-0000-000006090000}"/>
    <cellStyle name="Accent1 2 3 2" xfId="4824" xr:uid="{00000000-0005-0000-0000-000007090000}"/>
    <cellStyle name="Accent1 2 3 3" xfId="8228" xr:uid="{00000000-0005-0000-0000-000008090000}"/>
    <cellStyle name="Accent1 2 4" xfId="3944" xr:uid="{00000000-0005-0000-0000-000009090000}"/>
    <cellStyle name="Accent1 2 5" xfId="6347" xr:uid="{00000000-0005-0000-0000-00000A090000}"/>
    <cellStyle name="Accent1 3" xfId="3173" xr:uid="{00000000-0005-0000-0000-00000B090000}"/>
    <cellStyle name="Accent1 3 2" xfId="4825" xr:uid="{00000000-0005-0000-0000-00000C090000}"/>
    <cellStyle name="Accent1 3 3" xfId="8229" xr:uid="{00000000-0005-0000-0000-00000D090000}"/>
    <cellStyle name="Accent1 4" xfId="3174" xr:uid="{00000000-0005-0000-0000-00000E090000}"/>
    <cellStyle name="Accent1 4 2" xfId="4826" xr:uid="{00000000-0005-0000-0000-00000F090000}"/>
    <cellStyle name="Accent1 4 3" xfId="8230" xr:uid="{00000000-0005-0000-0000-000010090000}"/>
    <cellStyle name="Accent1 5" xfId="3175" xr:uid="{00000000-0005-0000-0000-000011090000}"/>
    <cellStyle name="Accent1 5 2" xfId="4827" xr:uid="{00000000-0005-0000-0000-000012090000}"/>
    <cellStyle name="Accent1 5 3" xfId="8231" xr:uid="{00000000-0005-0000-0000-000013090000}"/>
    <cellStyle name="Accent1 6" xfId="3176" xr:uid="{00000000-0005-0000-0000-000014090000}"/>
    <cellStyle name="Accent1 6 2" xfId="4828" xr:uid="{00000000-0005-0000-0000-000015090000}"/>
    <cellStyle name="Accent1 6 3" xfId="8232" xr:uid="{00000000-0005-0000-0000-000016090000}"/>
    <cellStyle name="Accent1 7" xfId="3168" xr:uid="{00000000-0005-0000-0000-000017090000}"/>
    <cellStyle name="Accent1 7 2" xfId="4820" xr:uid="{00000000-0005-0000-0000-000018090000}"/>
    <cellStyle name="Accent1 7 3" xfId="8224" xr:uid="{00000000-0005-0000-0000-000019090000}"/>
    <cellStyle name="Accent1 8" xfId="3730" xr:uid="{00000000-0005-0000-0000-00001A090000}"/>
    <cellStyle name="Accent1 8 2" xfId="6132" xr:uid="{00000000-0005-0000-0000-00001B090000}"/>
    <cellStyle name="Accent1 8 3" xfId="8644" xr:uid="{00000000-0005-0000-0000-00001C090000}"/>
    <cellStyle name="Accent1 9" xfId="3764" xr:uid="{00000000-0005-0000-0000-00001D090000}"/>
    <cellStyle name="Accent1 9 2" xfId="6160" xr:uid="{00000000-0005-0000-0000-00001E090000}"/>
    <cellStyle name="Accent1 9 3" xfId="8677"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30" xr:uid="{00000000-0005-0000-0000-000023090000}"/>
    <cellStyle name="Accent2 - 20% 3" xfId="8234" xr:uid="{00000000-0005-0000-0000-000024090000}"/>
    <cellStyle name="Accent2 - 20% 4" xfId="3178" xr:uid="{00000000-0005-0000-0000-000025090000}"/>
    <cellStyle name="Accent2 - 40%" xfId="116" xr:uid="{00000000-0005-0000-0000-000026090000}"/>
    <cellStyle name="Accent2 - 40% 2" xfId="4831" xr:uid="{00000000-0005-0000-0000-000027090000}"/>
    <cellStyle name="Accent2 - 40% 3" xfId="8235" xr:uid="{00000000-0005-0000-0000-000028090000}"/>
    <cellStyle name="Accent2 - 40% 4" xfId="3179" xr:uid="{00000000-0005-0000-0000-000029090000}"/>
    <cellStyle name="Accent2 - 60%" xfId="117" xr:uid="{00000000-0005-0000-0000-00002A090000}"/>
    <cellStyle name="Accent2 - 60% 2" xfId="4832" xr:uid="{00000000-0005-0000-0000-00002B090000}"/>
    <cellStyle name="Accent2 - 60% 3" xfId="8236" xr:uid="{00000000-0005-0000-0000-00002C090000}"/>
    <cellStyle name="Accent2 - 60% 4" xfId="3180" xr:uid="{00000000-0005-0000-0000-00002D090000}"/>
    <cellStyle name="Accent2 10" xfId="3945" xr:uid="{00000000-0005-0000-0000-00002E090000}"/>
    <cellStyle name="Accent2 11" xfId="4518" xr:uid="{00000000-0005-0000-0000-00002F090000}"/>
    <cellStyle name="Accent2 12" xfId="4527" xr:uid="{00000000-0005-0000-0000-000030090000}"/>
    <cellStyle name="Accent2 13" xfId="4537" xr:uid="{00000000-0005-0000-0000-000031090000}"/>
    <cellStyle name="Accent2 14" xfId="4546" xr:uid="{00000000-0005-0000-0000-000032090000}"/>
    <cellStyle name="Accent2 15" xfId="7809" xr:uid="{00000000-0005-0000-0000-000033090000}"/>
    <cellStyle name="Accent2 16" xfId="6266" xr:uid="{00000000-0005-0000-0000-000034090000}"/>
    <cellStyle name="Accent2 17" xfId="8767" xr:uid="{00000000-0005-0000-0000-000035090000}"/>
    <cellStyle name="Accent2 18" xfId="2591" xr:uid="{00000000-0005-0000-0000-000036090000}"/>
    <cellStyle name="Accent2 2" xfId="1067" xr:uid="{00000000-0005-0000-0000-000037090000}"/>
    <cellStyle name="Accent2 2 2" xfId="3588" xr:uid="{00000000-0005-0000-0000-000038090000}"/>
    <cellStyle name="Accent2 2 2 2" xfId="5200" xr:uid="{00000000-0005-0000-0000-000039090000}"/>
    <cellStyle name="Accent2 2 2 3" xfId="8572" xr:uid="{00000000-0005-0000-0000-00003A090000}"/>
    <cellStyle name="Accent2 2 3" xfId="3181" xr:uid="{00000000-0005-0000-0000-00003B090000}"/>
    <cellStyle name="Accent2 2 3 2" xfId="4833" xr:uid="{00000000-0005-0000-0000-00003C090000}"/>
    <cellStyle name="Accent2 2 3 3" xfId="8237" xr:uid="{00000000-0005-0000-0000-00003D090000}"/>
    <cellStyle name="Accent2 2 4" xfId="3946" xr:uid="{00000000-0005-0000-0000-00003E090000}"/>
    <cellStyle name="Accent2 2 5" xfId="6348" xr:uid="{00000000-0005-0000-0000-00003F090000}"/>
    <cellStyle name="Accent2 3" xfId="3182" xr:uid="{00000000-0005-0000-0000-000040090000}"/>
    <cellStyle name="Accent2 3 2" xfId="4834" xr:uid="{00000000-0005-0000-0000-000041090000}"/>
    <cellStyle name="Accent2 3 3" xfId="8238" xr:uid="{00000000-0005-0000-0000-000042090000}"/>
    <cellStyle name="Accent2 4" xfId="3183" xr:uid="{00000000-0005-0000-0000-000043090000}"/>
    <cellStyle name="Accent2 4 2" xfId="4835" xr:uid="{00000000-0005-0000-0000-000044090000}"/>
    <cellStyle name="Accent2 4 3" xfId="8239" xr:uid="{00000000-0005-0000-0000-000045090000}"/>
    <cellStyle name="Accent2 5" xfId="3184" xr:uid="{00000000-0005-0000-0000-000046090000}"/>
    <cellStyle name="Accent2 5 2" xfId="4836" xr:uid="{00000000-0005-0000-0000-000047090000}"/>
    <cellStyle name="Accent2 5 3" xfId="8240" xr:uid="{00000000-0005-0000-0000-000048090000}"/>
    <cellStyle name="Accent2 6" xfId="3185" xr:uid="{00000000-0005-0000-0000-000049090000}"/>
    <cellStyle name="Accent2 6 2" xfId="4837" xr:uid="{00000000-0005-0000-0000-00004A090000}"/>
    <cellStyle name="Accent2 6 3" xfId="8241" xr:uid="{00000000-0005-0000-0000-00004B090000}"/>
    <cellStyle name="Accent2 7" xfId="3177" xr:uid="{00000000-0005-0000-0000-00004C090000}"/>
    <cellStyle name="Accent2 7 2" xfId="4829" xr:uid="{00000000-0005-0000-0000-00004D090000}"/>
    <cellStyle name="Accent2 7 3" xfId="8233" xr:uid="{00000000-0005-0000-0000-00004E090000}"/>
    <cellStyle name="Accent2 8" xfId="3731" xr:uid="{00000000-0005-0000-0000-00004F090000}"/>
    <cellStyle name="Accent2 8 2" xfId="6133" xr:uid="{00000000-0005-0000-0000-000050090000}"/>
    <cellStyle name="Accent2 8 3" xfId="8645" xr:uid="{00000000-0005-0000-0000-000051090000}"/>
    <cellStyle name="Accent2 9" xfId="3763" xr:uid="{00000000-0005-0000-0000-000052090000}"/>
    <cellStyle name="Accent2 9 2" xfId="6159" xr:uid="{00000000-0005-0000-0000-000053090000}"/>
    <cellStyle name="Accent2 9 3" xfId="8676"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9" xr:uid="{00000000-0005-0000-0000-000058090000}"/>
    <cellStyle name="Accent3 - 20% 3" xfId="8243" xr:uid="{00000000-0005-0000-0000-000059090000}"/>
    <cellStyle name="Accent3 - 20% 4" xfId="3187" xr:uid="{00000000-0005-0000-0000-00005A090000}"/>
    <cellStyle name="Accent3 - 40%" xfId="121" xr:uid="{00000000-0005-0000-0000-00005B090000}"/>
    <cellStyle name="Accent3 - 40% 2" xfId="4840" xr:uid="{00000000-0005-0000-0000-00005C090000}"/>
    <cellStyle name="Accent3 - 40% 3" xfId="8244" xr:uid="{00000000-0005-0000-0000-00005D090000}"/>
    <cellStyle name="Accent3 - 40% 4" xfId="3188" xr:uid="{00000000-0005-0000-0000-00005E090000}"/>
    <cellStyle name="Accent3 - 60%" xfId="122" xr:uid="{00000000-0005-0000-0000-00005F090000}"/>
    <cellStyle name="Accent3 - 60% 2" xfId="4841" xr:uid="{00000000-0005-0000-0000-000060090000}"/>
    <cellStyle name="Accent3 - 60% 3" xfId="8245" xr:uid="{00000000-0005-0000-0000-000061090000}"/>
    <cellStyle name="Accent3 - 60% 4" xfId="3189" xr:uid="{00000000-0005-0000-0000-000062090000}"/>
    <cellStyle name="Accent3 10" xfId="3947" xr:uid="{00000000-0005-0000-0000-000063090000}"/>
    <cellStyle name="Accent3 11" xfId="4519" xr:uid="{00000000-0005-0000-0000-000064090000}"/>
    <cellStyle name="Accent3 12" xfId="4526" xr:uid="{00000000-0005-0000-0000-000065090000}"/>
    <cellStyle name="Accent3 13" xfId="4538" xr:uid="{00000000-0005-0000-0000-000066090000}"/>
    <cellStyle name="Accent3 14" xfId="5148" xr:uid="{00000000-0005-0000-0000-000067090000}"/>
    <cellStyle name="Accent3 15" xfId="7808" xr:uid="{00000000-0005-0000-0000-000068090000}"/>
    <cellStyle name="Accent3 16" xfId="6267" xr:uid="{00000000-0005-0000-0000-000069090000}"/>
    <cellStyle name="Accent3 17" xfId="6273" xr:uid="{00000000-0005-0000-0000-00006A090000}"/>
    <cellStyle name="Accent3 18" xfId="2590" xr:uid="{00000000-0005-0000-0000-00006B090000}"/>
    <cellStyle name="Accent3 2" xfId="1068" xr:uid="{00000000-0005-0000-0000-00006C090000}"/>
    <cellStyle name="Accent3 2 2" xfId="3592" xr:uid="{00000000-0005-0000-0000-00006D090000}"/>
    <cellStyle name="Accent3 2 2 2" xfId="5204" xr:uid="{00000000-0005-0000-0000-00006E090000}"/>
    <cellStyle name="Accent3 2 2 3" xfId="8576" xr:uid="{00000000-0005-0000-0000-00006F090000}"/>
    <cellStyle name="Accent3 2 3" xfId="3190" xr:uid="{00000000-0005-0000-0000-000070090000}"/>
    <cellStyle name="Accent3 2 3 2" xfId="4842" xr:uid="{00000000-0005-0000-0000-000071090000}"/>
    <cellStyle name="Accent3 2 3 3" xfId="8246" xr:uid="{00000000-0005-0000-0000-000072090000}"/>
    <cellStyle name="Accent3 2 4" xfId="3948" xr:uid="{00000000-0005-0000-0000-000073090000}"/>
    <cellStyle name="Accent3 2 5" xfId="6349" xr:uid="{00000000-0005-0000-0000-000074090000}"/>
    <cellStyle name="Accent3 3" xfId="3191" xr:uid="{00000000-0005-0000-0000-000075090000}"/>
    <cellStyle name="Accent3 3 2" xfId="4843" xr:uid="{00000000-0005-0000-0000-000076090000}"/>
    <cellStyle name="Accent3 3 3" xfId="8247" xr:uid="{00000000-0005-0000-0000-000077090000}"/>
    <cellStyle name="Accent3 4" xfId="3192" xr:uid="{00000000-0005-0000-0000-000078090000}"/>
    <cellStyle name="Accent3 4 2" xfId="4844" xr:uid="{00000000-0005-0000-0000-000079090000}"/>
    <cellStyle name="Accent3 4 3" xfId="8248" xr:uid="{00000000-0005-0000-0000-00007A090000}"/>
    <cellStyle name="Accent3 5" xfId="3193" xr:uid="{00000000-0005-0000-0000-00007B090000}"/>
    <cellStyle name="Accent3 5 2" xfId="4845" xr:uid="{00000000-0005-0000-0000-00007C090000}"/>
    <cellStyle name="Accent3 5 3" xfId="8249" xr:uid="{00000000-0005-0000-0000-00007D090000}"/>
    <cellStyle name="Accent3 6" xfId="3194" xr:uid="{00000000-0005-0000-0000-00007E090000}"/>
    <cellStyle name="Accent3 6 2" xfId="4846" xr:uid="{00000000-0005-0000-0000-00007F090000}"/>
    <cellStyle name="Accent3 6 3" xfId="8250" xr:uid="{00000000-0005-0000-0000-000080090000}"/>
    <cellStyle name="Accent3 7" xfId="3186" xr:uid="{00000000-0005-0000-0000-000081090000}"/>
    <cellStyle name="Accent3 7 2" xfId="4838" xr:uid="{00000000-0005-0000-0000-000082090000}"/>
    <cellStyle name="Accent3 7 3" xfId="8242" xr:uid="{00000000-0005-0000-0000-000083090000}"/>
    <cellStyle name="Accent3 8" xfId="3732" xr:uid="{00000000-0005-0000-0000-000084090000}"/>
    <cellStyle name="Accent3 8 2" xfId="6134" xr:uid="{00000000-0005-0000-0000-000085090000}"/>
    <cellStyle name="Accent3 8 3" xfId="8646" xr:uid="{00000000-0005-0000-0000-000086090000}"/>
    <cellStyle name="Accent3 9" xfId="3762" xr:uid="{00000000-0005-0000-0000-000087090000}"/>
    <cellStyle name="Accent3 9 2" xfId="6158" xr:uid="{00000000-0005-0000-0000-000088090000}"/>
    <cellStyle name="Accent3 9 3" xfId="8675"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8" xr:uid="{00000000-0005-0000-0000-00008D090000}"/>
    <cellStyle name="Accent4 - 20% 3" xfId="8252" xr:uid="{00000000-0005-0000-0000-00008E090000}"/>
    <cellStyle name="Accent4 - 20% 4" xfId="3196" xr:uid="{00000000-0005-0000-0000-00008F090000}"/>
    <cellStyle name="Accent4 - 40%" xfId="126" xr:uid="{00000000-0005-0000-0000-000090090000}"/>
    <cellStyle name="Accent4 - 40% 2" xfId="4849" xr:uid="{00000000-0005-0000-0000-000091090000}"/>
    <cellStyle name="Accent4 - 40% 3" xfId="8253" xr:uid="{00000000-0005-0000-0000-000092090000}"/>
    <cellStyle name="Accent4 - 40% 4" xfId="3197" xr:uid="{00000000-0005-0000-0000-000093090000}"/>
    <cellStyle name="Accent4 - 60%" xfId="127" xr:uid="{00000000-0005-0000-0000-000094090000}"/>
    <cellStyle name="Accent4 - 60% 2" xfId="4850" xr:uid="{00000000-0005-0000-0000-000095090000}"/>
    <cellStyle name="Accent4 - 60% 3" xfId="8254" xr:uid="{00000000-0005-0000-0000-000096090000}"/>
    <cellStyle name="Accent4 - 60% 4" xfId="3198" xr:uid="{00000000-0005-0000-0000-000097090000}"/>
    <cellStyle name="Accent4 10" xfId="3949" xr:uid="{00000000-0005-0000-0000-000098090000}"/>
    <cellStyle name="Accent4 11" xfId="4520" xr:uid="{00000000-0005-0000-0000-000099090000}"/>
    <cellStyle name="Accent4 12" xfId="4525" xr:uid="{00000000-0005-0000-0000-00009A090000}"/>
    <cellStyle name="Accent4 13" xfId="4539" xr:uid="{00000000-0005-0000-0000-00009B090000}"/>
    <cellStyle name="Accent4 14" xfId="4602" xr:uid="{00000000-0005-0000-0000-00009C090000}"/>
    <cellStyle name="Accent4 15" xfId="7807" xr:uid="{00000000-0005-0000-0000-00009D090000}"/>
    <cellStyle name="Accent4 16" xfId="6268" xr:uid="{00000000-0005-0000-0000-00009E090000}"/>
    <cellStyle name="Accent4 17" xfId="8766" xr:uid="{00000000-0005-0000-0000-00009F090000}"/>
    <cellStyle name="Accent4 18" xfId="2589" xr:uid="{00000000-0005-0000-0000-0000A0090000}"/>
    <cellStyle name="Accent4 2" xfId="1069" xr:uid="{00000000-0005-0000-0000-0000A1090000}"/>
    <cellStyle name="Accent4 2 2" xfId="3596" xr:uid="{00000000-0005-0000-0000-0000A2090000}"/>
    <cellStyle name="Accent4 2 2 2" xfId="5208" xr:uid="{00000000-0005-0000-0000-0000A3090000}"/>
    <cellStyle name="Accent4 2 2 3" xfId="8580" xr:uid="{00000000-0005-0000-0000-0000A4090000}"/>
    <cellStyle name="Accent4 2 3" xfId="3199" xr:uid="{00000000-0005-0000-0000-0000A5090000}"/>
    <cellStyle name="Accent4 2 3 2" xfId="4851" xr:uid="{00000000-0005-0000-0000-0000A6090000}"/>
    <cellStyle name="Accent4 2 3 3" xfId="8255" xr:uid="{00000000-0005-0000-0000-0000A7090000}"/>
    <cellStyle name="Accent4 2 4" xfId="3950" xr:uid="{00000000-0005-0000-0000-0000A8090000}"/>
    <cellStyle name="Accent4 2 5" xfId="6350" xr:uid="{00000000-0005-0000-0000-0000A9090000}"/>
    <cellStyle name="Accent4 3" xfId="3200" xr:uid="{00000000-0005-0000-0000-0000AA090000}"/>
    <cellStyle name="Accent4 3 2" xfId="4852" xr:uid="{00000000-0005-0000-0000-0000AB090000}"/>
    <cellStyle name="Accent4 3 3" xfId="8256" xr:uid="{00000000-0005-0000-0000-0000AC090000}"/>
    <cellStyle name="Accent4 4" xfId="3201" xr:uid="{00000000-0005-0000-0000-0000AD090000}"/>
    <cellStyle name="Accent4 4 2" xfId="4853" xr:uid="{00000000-0005-0000-0000-0000AE090000}"/>
    <cellStyle name="Accent4 4 3" xfId="8257" xr:uid="{00000000-0005-0000-0000-0000AF090000}"/>
    <cellStyle name="Accent4 5" xfId="3202" xr:uid="{00000000-0005-0000-0000-0000B0090000}"/>
    <cellStyle name="Accent4 5 2" xfId="4854" xr:uid="{00000000-0005-0000-0000-0000B1090000}"/>
    <cellStyle name="Accent4 5 3" xfId="8258" xr:uid="{00000000-0005-0000-0000-0000B2090000}"/>
    <cellStyle name="Accent4 6" xfId="3203" xr:uid="{00000000-0005-0000-0000-0000B3090000}"/>
    <cellStyle name="Accent4 6 2" xfId="4855" xr:uid="{00000000-0005-0000-0000-0000B4090000}"/>
    <cellStyle name="Accent4 6 3" xfId="8259" xr:uid="{00000000-0005-0000-0000-0000B5090000}"/>
    <cellStyle name="Accent4 7" xfId="3195" xr:uid="{00000000-0005-0000-0000-0000B6090000}"/>
    <cellStyle name="Accent4 7 2" xfId="4847" xr:uid="{00000000-0005-0000-0000-0000B7090000}"/>
    <cellStyle name="Accent4 7 3" xfId="8251" xr:uid="{00000000-0005-0000-0000-0000B8090000}"/>
    <cellStyle name="Accent4 8" xfId="3735" xr:uid="{00000000-0005-0000-0000-0000B9090000}"/>
    <cellStyle name="Accent4 8 2" xfId="6136" xr:uid="{00000000-0005-0000-0000-0000BA090000}"/>
    <cellStyle name="Accent4 8 3" xfId="8649" xr:uid="{00000000-0005-0000-0000-0000BB090000}"/>
    <cellStyle name="Accent4 9" xfId="3761" xr:uid="{00000000-0005-0000-0000-0000BC090000}"/>
    <cellStyle name="Accent4 9 2" xfId="6157" xr:uid="{00000000-0005-0000-0000-0000BD090000}"/>
    <cellStyle name="Accent4 9 3" xfId="8674"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7" xr:uid="{00000000-0005-0000-0000-0000C2090000}"/>
    <cellStyle name="Accent5 - 20% 3" xfId="8261" xr:uid="{00000000-0005-0000-0000-0000C3090000}"/>
    <cellStyle name="Accent5 - 20% 4" xfId="3205" xr:uid="{00000000-0005-0000-0000-0000C4090000}"/>
    <cellStyle name="Accent5 - 40%" xfId="131" xr:uid="{00000000-0005-0000-0000-0000C5090000}"/>
    <cellStyle name="Accent5 - 40% 2" xfId="4858" xr:uid="{00000000-0005-0000-0000-0000C6090000}"/>
    <cellStyle name="Accent5 - 40% 3" xfId="8262" xr:uid="{00000000-0005-0000-0000-0000C7090000}"/>
    <cellStyle name="Accent5 - 40% 4" xfId="3206" xr:uid="{00000000-0005-0000-0000-0000C8090000}"/>
    <cellStyle name="Accent5 - 60%" xfId="132" xr:uid="{00000000-0005-0000-0000-0000C9090000}"/>
    <cellStyle name="Accent5 - 60% 2" xfId="4859" xr:uid="{00000000-0005-0000-0000-0000CA090000}"/>
    <cellStyle name="Accent5 - 60% 3" xfId="8263" xr:uid="{00000000-0005-0000-0000-0000CB090000}"/>
    <cellStyle name="Accent5 - 60% 4" xfId="3207" xr:uid="{00000000-0005-0000-0000-0000CC090000}"/>
    <cellStyle name="Accent5 10" xfId="3951" xr:uid="{00000000-0005-0000-0000-0000CD090000}"/>
    <cellStyle name="Accent5 11" xfId="4521" xr:uid="{00000000-0005-0000-0000-0000CE090000}"/>
    <cellStyle name="Accent5 12" xfId="4524" xr:uid="{00000000-0005-0000-0000-0000CF090000}"/>
    <cellStyle name="Accent5 13" xfId="4540" xr:uid="{00000000-0005-0000-0000-0000D0090000}"/>
    <cellStyle name="Accent5 14" xfId="4685" xr:uid="{00000000-0005-0000-0000-0000D1090000}"/>
    <cellStyle name="Accent5 15" xfId="7806" xr:uid="{00000000-0005-0000-0000-0000D2090000}"/>
    <cellStyle name="Accent5 16" xfId="6269" xr:uid="{00000000-0005-0000-0000-0000D3090000}"/>
    <cellStyle name="Accent5 17" xfId="6272" xr:uid="{00000000-0005-0000-0000-0000D4090000}"/>
    <cellStyle name="Accent5 18" xfId="2588" xr:uid="{00000000-0005-0000-0000-0000D5090000}"/>
    <cellStyle name="Accent5 2" xfId="1070" xr:uid="{00000000-0005-0000-0000-0000D6090000}"/>
    <cellStyle name="Accent5 2 2" xfId="3600" xr:uid="{00000000-0005-0000-0000-0000D7090000}"/>
    <cellStyle name="Accent5 2 2 2" xfId="5212" xr:uid="{00000000-0005-0000-0000-0000D8090000}"/>
    <cellStyle name="Accent5 2 2 3" xfId="8584" xr:uid="{00000000-0005-0000-0000-0000D9090000}"/>
    <cellStyle name="Accent5 2 3" xfId="3208" xr:uid="{00000000-0005-0000-0000-0000DA090000}"/>
    <cellStyle name="Accent5 2 3 2" xfId="4860" xr:uid="{00000000-0005-0000-0000-0000DB090000}"/>
    <cellStyle name="Accent5 2 3 3" xfId="8264" xr:uid="{00000000-0005-0000-0000-0000DC090000}"/>
    <cellStyle name="Accent5 2 4" xfId="3952" xr:uid="{00000000-0005-0000-0000-0000DD090000}"/>
    <cellStyle name="Accent5 2 5" xfId="6351" xr:uid="{00000000-0005-0000-0000-0000DE090000}"/>
    <cellStyle name="Accent5 3" xfId="3209" xr:uid="{00000000-0005-0000-0000-0000DF090000}"/>
    <cellStyle name="Accent5 3 2" xfId="4861" xr:uid="{00000000-0005-0000-0000-0000E0090000}"/>
    <cellStyle name="Accent5 3 3" xfId="8265" xr:uid="{00000000-0005-0000-0000-0000E1090000}"/>
    <cellStyle name="Accent5 4" xfId="3210" xr:uid="{00000000-0005-0000-0000-0000E2090000}"/>
    <cellStyle name="Accent5 4 2" xfId="4862" xr:uid="{00000000-0005-0000-0000-0000E3090000}"/>
    <cellStyle name="Accent5 4 3" xfId="8266" xr:uid="{00000000-0005-0000-0000-0000E4090000}"/>
    <cellStyle name="Accent5 5" xfId="3211" xr:uid="{00000000-0005-0000-0000-0000E5090000}"/>
    <cellStyle name="Accent5 5 2" xfId="4863" xr:uid="{00000000-0005-0000-0000-0000E6090000}"/>
    <cellStyle name="Accent5 5 3" xfId="8267" xr:uid="{00000000-0005-0000-0000-0000E7090000}"/>
    <cellStyle name="Accent5 6" xfId="3212" xr:uid="{00000000-0005-0000-0000-0000E8090000}"/>
    <cellStyle name="Accent5 6 2" xfId="4864" xr:uid="{00000000-0005-0000-0000-0000E9090000}"/>
    <cellStyle name="Accent5 6 3" xfId="8268" xr:uid="{00000000-0005-0000-0000-0000EA090000}"/>
    <cellStyle name="Accent5 7" xfId="3204" xr:uid="{00000000-0005-0000-0000-0000EB090000}"/>
    <cellStyle name="Accent5 7 2" xfId="4856" xr:uid="{00000000-0005-0000-0000-0000EC090000}"/>
    <cellStyle name="Accent5 7 3" xfId="8260" xr:uid="{00000000-0005-0000-0000-0000ED090000}"/>
    <cellStyle name="Accent5 8" xfId="3738" xr:uid="{00000000-0005-0000-0000-0000EE090000}"/>
    <cellStyle name="Accent5 8 2" xfId="6139" xr:uid="{00000000-0005-0000-0000-0000EF090000}"/>
    <cellStyle name="Accent5 8 3" xfId="8652" xr:uid="{00000000-0005-0000-0000-0000F0090000}"/>
    <cellStyle name="Accent5 9" xfId="3760" xr:uid="{00000000-0005-0000-0000-0000F1090000}"/>
    <cellStyle name="Accent5 9 2" xfId="6156" xr:uid="{00000000-0005-0000-0000-0000F2090000}"/>
    <cellStyle name="Accent5 9 3" xfId="8673"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6" xr:uid="{00000000-0005-0000-0000-0000F7090000}"/>
    <cellStyle name="Accent6 - 20% 3" xfId="8270" xr:uid="{00000000-0005-0000-0000-0000F8090000}"/>
    <cellStyle name="Accent6 - 20% 4" xfId="3214" xr:uid="{00000000-0005-0000-0000-0000F9090000}"/>
    <cellStyle name="Accent6 - 40%" xfId="136" xr:uid="{00000000-0005-0000-0000-0000FA090000}"/>
    <cellStyle name="Accent6 - 40% 2" xfId="4867" xr:uid="{00000000-0005-0000-0000-0000FB090000}"/>
    <cellStyle name="Accent6 - 40% 3" xfId="8271" xr:uid="{00000000-0005-0000-0000-0000FC090000}"/>
    <cellStyle name="Accent6 - 40% 4" xfId="3215" xr:uid="{00000000-0005-0000-0000-0000FD090000}"/>
    <cellStyle name="Accent6 - 60%" xfId="137" xr:uid="{00000000-0005-0000-0000-0000FE090000}"/>
    <cellStyle name="Accent6 - 60% 2" xfId="4868" xr:uid="{00000000-0005-0000-0000-0000FF090000}"/>
    <cellStyle name="Accent6 - 60% 3" xfId="8272" xr:uid="{00000000-0005-0000-0000-0000000A0000}"/>
    <cellStyle name="Accent6 - 60% 4" xfId="3216" xr:uid="{00000000-0005-0000-0000-0000010A0000}"/>
    <cellStyle name="Accent6 10" xfId="3953" xr:uid="{00000000-0005-0000-0000-0000020A0000}"/>
    <cellStyle name="Accent6 11" xfId="4522" xr:uid="{00000000-0005-0000-0000-0000030A0000}"/>
    <cellStyle name="Accent6 12" xfId="4523" xr:uid="{00000000-0005-0000-0000-0000040A0000}"/>
    <cellStyle name="Accent6 13" xfId="4541" xr:uid="{00000000-0005-0000-0000-0000050A0000}"/>
    <cellStyle name="Accent6 14" xfId="4547" xr:uid="{00000000-0005-0000-0000-0000060A0000}"/>
    <cellStyle name="Accent6 15" xfId="7805" xr:uid="{00000000-0005-0000-0000-0000070A0000}"/>
    <cellStyle name="Accent6 16" xfId="6270" xr:uid="{00000000-0005-0000-0000-0000080A0000}"/>
    <cellStyle name="Accent6 17" xfId="8765" xr:uid="{00000000-0005-0000-0000-0000090A0000}"/>
    <cellStyle name="Accent6 18" xfId="2587" xr:uid="{00000000-0005-0000-0000-00000A0A0000}"/>
    <cellStyle name="Accent6 2" xfId="1071" xr:uid="{00000000-0005-0000-0000-00000B0A0000}"/>
    <cellStyle name="Accent6 2 2" xfId="3604" xr:uid="{00000000-0005-0000-0000-00000C0A0000}"/>
    <cellStyle name="Accent6 2 2 2" xfId="5216" xr:uid="{00000000-0005-0000-0000-00000D0A0000}"/>
    <cellStyle name="Accent6 2 2 3" xfId="8588" xr:uid="{00000000-0005-0000-0000-00000E0A0000}"/>
    <cellStyle name="Accent6 2 3" xfId="3217" xr:uid="{00000000-0005-0000-0000-00000F0A0000}"/>
    <cellStyle name="Accent6 2 3 2" xfId="4869" xr:uid="{00000000-0005-0000-0000-0000100A0000}"/>
    <cellStyle name="Accent6 2 3 3" xfId="8273" xr:uid="{00000000-0005-0000-0000-0000110A0000}"/>
    <cellStyle name="Accent6 2 4" xfId="3954" xr:uid="{00000000-0005-0000-0000-0000120A0000}"/>
    <cellStyle name="Accent6 2 5" xfId="6352" xr:uid="{00000000-0005-0000-0000-0000130A0000}"/>
    <cellStyle name="Accent6 3" xfId="3218" xr:uid="{00000000-0005-0000-0000-0000140A0000}"/>
    <cellStyle name="Accent6 3 2" xfId="4870" xr:uid="{00000000-0005-0000-0000-0000150A0000}"/>
    <cellStyle name="Accent6 3 3" xfId="8274" xr:uid="{00000000-0005-0000-0000-0000160A0000}"/>
    <cellStyle name="Accent6 4" xfId="3219" xr:uid="{00000000-0005-0000-0000-0000170A0000}"/>
    <cellStyle name="Accent6 4 2" xfId="4871" xr:uid="{00000000-0005-0000-0000-0000180A0000}"/>
    <cellStyle name="Accent6 4 3" xfId="8275" xr:uid="{00000000-0005-0000-0000-0000190A0000}"/>
    <cellStyle name="Accent6 5" xfId="3220" xr:uid="{00000000-0005-0000-0000-00001A0A0000}"/>
    <cellStyle name="Accent6 5 2" xfId="4872" xr:uid="{00000000-0005-0000-0000-00001B0A0000}"/>
    <cellStyle name="Accent6 5 3" xfId="8276" xr:uid="{00000000-0005-0000-0000-00001C0A0000}"/>
    <cellStyle name="Accent6 6" xfId="3221" xr:uid="{00000000-0005-0000-0000-00001D0A0000}"/>
    <cellStyle name="Accent6 6 2" xfId="4873" xr:uid="{00000000-0005-0000-0000-00001E0A0000}"/>
    <cellStyle name="Accent6 6 3" xfId="8277" xr:uid="{00000000-0005-0000-0000-00001F0A0000}"/>
    <cellStyle name="Accent6 7" xfId="3213" xr:uid="{00000000-0005-0000-0000-0000200A0000}"/>
    <cellStyle name="Accent6 7 2" xfId="4865" xr:uid="{00000000-0005-0000-0000-0000210A0000}"/>
    <cellStyle name="Accent6 7 3" xfId="8269" xr:uid="{00000000-0005-0000-0000-0000220A0000}"/>
    <cellStyle name="Accent6 8" xfId="3739" xr:uid="{00000000-0005-0000-0000-0000230A0000}"/>
    <cellStyle name="Accent6 8 2" xfId="6140" xr:uid="{00000000-0005-0000-0000-0000240A0000}"/>
    <cellStyle name="Accent6 8 3" xfId="8653" xr:uid="{00000000-0005-0000-0000-0000250A0000}"/>
    <cellStyle name="Accent6 9" xfId="3758" xr:uid="{00000000-0005-0000-0000-0000260A0000}"/>
    <cellStyle name="Accent6 9 2" xfId="6154" xr:uid="{00000000-0005-0000-0000-0000270A0000}"/>
    <cellStyle name="Accent6 9 3" xfId="8671" xr:uid="{00000000-0005-0000-0000-0000280A0000}"/>
    <cellStyle name="Accent6_Saldos" xfId="138" xr:uid="{00000000-0005-0000-0000-0000290A0000}"/>
    <cellStyle name="Annotations Cell - PerformancePoint" xfId="8775" xr:uid="{00000000-0005-0000-0000-00002A0A0000}"/>
    <cellStyle name="Anos" xfId="139" xr:uid="{00000000-0005-0000-0000-00002B0A0000}"/>
    <cellStyle name="Bad" xfId="140" xr:uid="{00000000-0005-0000-0000-00002C0A0000}"/>
    <cellStyle name="Bad 10" xfId="7804" xr:uid="{00000000-0005-0000-0000-00002D0A0000}"/>
    <cellStyle name="Bad 11" xfId="2586" xr:uid="{00000000-0005-0000-0000-00002E0A0000}"/>
    <cellStyle name="Bad 2" xfId="1072" xr:uid="{00000000-0005-0000-0000-00002F0A0000}"/>
    <cellStyle name="Bad 2 2" xfId="3576" xr:uid="{00000000-0005-0000-0000-0000300A0000}"/>
    <cellStyle name="Bad 2 2 2" xfId="5188" xr:uid="{00000000-0005-0000-0000-0000310A0000}"/>
    <cellStyle name="Bad 2 2 3" xfId="8560" xr:uid="{00000000-0005-0000-0000-0000320A0000}"/>
    <cellStyle name="Bad 2 3" xfId="3223" xr:uid="{00000000-0005-0000-0000-0000330A0000}"/>
    <cellStyle name="Bad 2 3 2" xfId="4875" xr:uid="{00000000-0005-0000-0000-0000340A0000}"/>
    <cellStyle name="Bad 2 3 3" xfId="8279" xr:uid="{00000000-0005-0000-0000-0000350A0000}"/>
    <cellStyle name="Bad 2 4" xfId="3956" xr:uid="{00000000-0005-0000-0000-0000360A0000}"/>
    <cellStyle name="Bad 2 5" xfId="6353" xr:uid="{00000000-0005-0000-0000-0000370A0000}"/>
    <cellStyle name="Bad 3" xfId="3224" xr:uid="{00000000-0005-0000-0000-0000380A0000}"/>
    <cellStyle name="Bad 3 2" xfId="4876" xr:uid="{00000000-0005-0000-0000-0000390A0000}"/>
    <cellStyle name="Bad 3 3" xfId="8280" xr:uid="{00000000-0005-0000-0000-00003A0A0000}"/>
    <cellStyle name="Bad 4" xfId="3225" xr:uid="{00000000-0005-0000-0000-00003B0A0000}"/>
    <cellStyle name="Bad 4 2" xfId="4877" xr:uid="{00000000-0005-0000-0000-00003C0A0000}"/>
    <cellStyle name="Bad 4 3" xfId="8281" xr:uid="{00000000-0005-0000-0000-00003D0A0000}"/>
    <cellStyle name="Bad 5" xfId="3226" xr:uid="{00000000-0005-0000-0000-00003E0A0000}"/>
    <cellStyle name="Bad 5 2" xfId="4878" xr:uid="{00000000-0005-0000-0000-00003F0A0000}"/>
    <cellStyle name="Bad 5 3" xfId="8282" xr:uid="{00000000-0005-0000-0000-0000400A0000}"/>
    <cellStyle name="Bad 6" xfId="3227" xr:uid="{00000000-0005-0000-0000-0000410A0000}"/>
    <cellStyle name="Bad 6 2" xfId="4879" xr:uid="{00000000-0005-0000-0000-0000420A0000}"/>
    <cellStyle name="Bad 6 3" xfId="8283" xr:uid="{00000000-0005-0000-0000-0000430A0000}"/>
    <cellStyle name="Bad 7" xfId="3228" xr:uid="{00000000-0005-0000-0000-0000440A0000}"/>
    <cellStyle name="Bad 7 2" xfId="4880" xr:uid="{00000000-0005-0000-0000-0000450A0000}"/>
    <cellStyle name="Bad 7 3" xfId="8284" xr:uid="{00000000-0005-0000-0000-0000460A0000}"/>
    <cellStyle name="Bad 8" xfId="3222" xr:uid="{00000000-0005-0000-0000-0000470A0000}"/>
    <cellStyle name="Bad 8 2" xfId="4874" xr:uid="{00000000-0005-0000-0000-0000480A0000}"/>
    <cellStyle name="Bad 8 3" xfId="8278" xr:uid="{00000000-0005-0000-0000-0000490A0000}"/>
    <cellStyle name="Bad 9" xfId="3955" xr:uid="{00000000-0005-0000-0000-00004A0A0000}"/>
    <cellStyle name="CABECALHO" xfId="3229"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30" xr:uid="{00000000-0005-0000-0000-0000540A0000}"/>
    <cellStyle name="Cabeçalho 1 2 2" xfId="149" xr:uid="{00000000-0005-0000-0000-0000550A0000}"/>
    <cellStyle name="Cabeçalho 1 2 2 2" xfId="3957" xr:uid="{00000000-0005-0000-0000-0000560A0000}"/>
    <cellStyle name="Cabeçalho 1 2 3" xfId="150" xr:uid="{00000000-0005-0000-0000-0000570A0000}"/>
    <cellStyle name="Cabeçalho 1 2 3 2" xfId="7370"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7" xr:uid="{00000000-0005-0000-0000-0000600A0000}"/>
    <cellStyle name="Cabeçalho 1 4" xfId="158" xr:uid="{00000000-0005-0000-0000-0000610A0000}"/>
    <cellStyle name="Cabeçalho 1 4 2" xfId="6281" xr:uid="{00000000-0005-0000-0000-0000620A0000}"/>
    <cellStyle name="Cabeçalho 1 5" xfId="159" xr:uid="{00000000-0005-0000-0000-0000630A0000}"/>
    <cellStyle name="Cabeçalho 1 5 2" xfId="999"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30" xr:uid="{00000000-0005-0000-0000-0000690A0000}"/>
    <cellStyle name="Cabeçalho 2 10" xfId="164" xr:uid="{00000000-0005-0000-0000-00006A0A0000}"/>
    <cellStyle name="Cabeçalho 2 11" xfId="165" xr:uid="{00000000-0005-0000-0000-00006B0A0000}"/>
    <cellStyle name="CABECALHO 2 2" xfId="4882"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1" xr:uid="{00000000-0005-0000-0000-0000700A0000}"/>
    <cellStyle name="Cabeçalho 2 2 2" xfId="169" xr:uid="{00000000-0005-0000-0000-0000710A0000}"/>
    <cellStyle name="Cabeçalho 2 2 2 2" xfId="3958" xr:uid="{00000000-0005-0000-0000-0000720A0000}"/>
    <cellStyle name="Cabeçalho 2 2 3" xfId="170" xr:uid="{00000000-0005-0000-0000-0000730A0000}"/>
    <cellStyle name="Cabeçalho 2 2 3 2" xfId="7371"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6" xr:uid="{00000000-0005-0000-0000-00007B0A0000}"/>
    <cellStyle name="Cabeçalho 2 3" xfId="177" xr:uid="{00000000-0005-0000-0000-00007C0A0000}"/>
    <cellStyle name="Cabeçalho 2 3 2" xfId="4718" xr:uid="{00000000-0005-0000-0000-00007D0A0000}"/>
    <cellStyle name="Cabeçalho 2 4" xfId="178" xr:uid="{00000000-0005-0000-0000-00007E0A0000}"/>
    <cellStyle name="Cabeçalho 2 4 2" xfId="6231" xr:uid="{00000000-0005-0000-0000-00007F0A0000}"/>
    <cellStyle name="Cabeçalho 2 5" xfId="179" xr:uid="{00000000-0005-0000-0000-0000800A0000}"/>
    <cellStyle name="Cabeçalho 2 5 2" xfId="6282" xr:uid="{00000000-0005-0000-0000-0000810A0000}"/>
    <cellStyle name="Cabeçalho 2 6" xfId="180" xr:uid="{00000000-0005-0000-0000-0000820A0000}"/>
    <cellStyle name="Cabeçalho 2 6 2" xfId="6271" xr:uid="{00000000-0005-0000-0000-0000830A0000}"/>
    <cellStyle name="Cabeçalho 2 7" xfId="181" xr:uid="{00000000-0005-0000-0000-0000840A0000}"/>
    <cellStyle name="Cabeçalho 2 7 2" xfId="8537" xr:uid="{00000000-0005-0000-0000-0000850A0000}"/>
    <cellStyle name="Cabeçalho 2 8" xfId="182" xr:uid="{00000000-0005-0000-0000-0000860A0000}"/>
    <cellStyle name="Cabeçalho 2 8 2" xfId="1000" xr:uid="{00000000-0005-0000-0000-0000870A0000}"/>
    <cellStyle name="Cabeçalho 2 9" xfId="183" xr:uid="{00000000-0005-0000-0000-0000880A0000}"/>
    <cellStyle name="Cabeçalho 2 9 2" xfId="8869" xr:uid="{00000000-0005-0000-0000-0000890A0000}"/>
    <cellStyle name="CABECALHO 3" xfId="4881"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2" xr:uid="{00000000-0005-0000-0000-0000900A0000}"/>
    <cellStyle name="Cabeçalho 3 2 2" xfId="189" xr:uid="{00000000-0005-0000-0000-0000910A0000}"/>
    <cellStyle name="Cabeçalho 3 2 2 2" xfId="3959" xr:uid="{00000000-0005-0000-0000-0000920A0000}"/>
    <cellStyle name="Cabeçalho 3 2 3" xfId="190" xr:uid="{00000000-0005-0000-0000-0000930A0000}"/>
    <cellStyle name="Cabeçalho 3 2 3 2" xfId="7372"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9" xr:uid="{00000000-0005-0000-0000-00009C0A0000}"/>
    <cellStyle name="Cabeçalho 3 4" xfId="198" xr:uid="{00000000-0005-0000-0000-00009D0A0000}"/>
    <cellStyle name="Cabeçalho 3 4 2" xfId="6283" xr:uid="{00000000-0005-0000-0000-00009E0A0000}"/>
    <cellStyle name="Cabeçalho 3 5" xfId="199" xr:uid="{00000000-0005-0000-0000-00009F0A0000}"/>
    <cellStyle name="Cabeçalho 3 5 2" xfId="1001"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2"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3" xr:uid="{00000000-0005-0000-0000-0000AB0A0000}"/>
    <cellStyle name="Cabeçalho 4 2 2" xfId="209" xr:uid="{00000000-0005-0000-0000-0000AC0A0000}"/>
    <cellStyle name="Cabeçalho 4 2 2 2" xfId="3960" xr:uid="{00000000-0005-0000-0000-0000AD0A0000}"/>
    <cellStyle name="Cabeçalho 4 2 3" xfId="210" xr:uid="{00000000-0005-0000-0000-0000AE0A0000}"/>
    <cellStyle name="Cabeçalho 4 2 3 2" xfId="7373"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20" xr:uid="{00000000-0005-0000-0000-0000B70A0000}"/>
    <cellStyle name="Cabeçalho 4 4" xfId="218" xr:uid="{00000000-0005-0000-0000-0000B80A0000}"/>
    <cellStyle name="Cabeçalho 4 4 2" xfId="6284" xr:uid="{00000000-0005-0000-0000-0000B90A0000}"/>
    <cellStyle name="Cabeçalho 4 5" xfId="219" xr:uid="{00000000-0005-0000-0000-0000BA0A0000}"/>
    <cellStyle name="Cabeçalho 4 5 2" xfId="1002"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5" xr:uid="{00000000-0005-0000-0000-0000C00A0000}"/>
    <cellStyle name="CABECALHO 6" xfId="6274" xr:uid="{00000000-0005-0000-0000-0000C10A0000}"/>
    <cellStyle name="CABECALHO 7" xfId="8764"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1" xr:uid="{00000000-0005-0000-0000-0000CA0A0000}"/>
    <cellStyle name="Calculation 10 2" xfId="4883" xr:uid="{00000000-0005-0000-0000-0000CB0A0000}"/>
    <cellStyle name="Calculation 10 3" xfId="8287" xr:uid="{00000000-0005-0000-0000-0000CC0A0000}"/>
    <cellStyle name="Calculation 11" xfId="3961" xr:uid="{00000000-0005-0000-0000-0000CD0A0000}"/>
    <cellStyle name="Calculation 12" xfId="7803" xr:uid="{00000000-0005-0000-0000-0000CE0A0000}"/>
    <cellStyle name="Calculation 13" xfId="2585" xr:uid="{00000000-0005-0000-0000-0000CF0A0000}"/>
    <cellStyle name="Calculation 2" xfId="231" xr:uid="{00000000-0005-0000-0000-0000D00A0000}"/>
    <cellStyle name="Calculation 2 2" xfId="3233" xr:uid="{00000000-0005-0000-0000-0000D10A0000}"/>
    <cellStyle name="Calculation 2 2 2" xfId="4885" xr:uid="{00000000-0005-0000-0000-0000D20A0000}"/>
    <cellStyle name="Calculation 2 2 3" xfId="8289" xr:uid="{00000000-0005-0000-0000-0000D30A0000}"/>
    <cellStyle name="Calculation 2 3" xfId="3234" xr:uid="{00000000-0005-0000-0000-0000D40A0000}"/>
    <cellStyle name="Calculation 2 3 2" xfId="4886" xr:uid="{00000000-0005-0000-0000-0000D50A0000}"/>
    <cellStyle name="Calculation 2 3 3" xfId="8290" xr:uid="{00000000-0005-0000-0000-0000D60A0000}"/>
    <cellStyle name="Calculation 2 4" xfId="3235" xr:uid="{00000000-0005-0000-0000-0000D70A0000}"/>
    <cellStyle name="Calculation 2 4 2" xfId="4887" xr:uid="{00000000-0005-0000-0000-0000D80A0000}"/>
    <cellStyle name="Calculation 2 4 3" xfId="8291" xr:uid="{00000000-0005-0000-0000-0000D90A0000}"/>
    <cellStyle name="Calculation 2 5" xfId="3580" xr:uid="{00000000-0005-0000-0000-0000DA0A0000}"/>
    <cellStyle name="Calculation 2 5 2" xfId="5192" xr:uid="{00000000-0005-0000-0000-0000DB0A0000}"/>
    <cellStyle name="Calculation 2 5 3" xfId="8564" xr:uid="{00000000-0005-0000-0000-0000DC0A0000}"/>
    <cellStyle name="Calculation 2 6" xfId="3232" xr:uid="{00000000-0005-0000-0000-0000DD0A0000}"/>
    <cellStyle name="Calculation 2 6 2" xfId="4884" xr:uid="{00000000-0005-0000-0000-0000DE0A0000}"/>
    <cellStyle name="Calculation 2 6 3" xfId="8288" xr:uid="{00000000-0005-0000-0000-0000DF0A0000}"/>
    <cellStyle name="Calculation 2 7" xfId="3962" xr:uid="{00000000-0005-0000-0000-0000E00A0000}"/>
    <cellStyle name="Calculation 2 8" xfId="6354" xr:uid="{00000000-0005-0000-0000-0000E10A0000}"/>
    <cellStyle name="Calculation 2 9" xfId="1073" xr:uid="{00000000-0005-0000-0000-0000E20A0000}"/>
    <cellStyle name="Calculation 3" xfId="3236" xr:uid="{00000000-0005-0000-0000-0000E30A0000}"/>
    <cellStyle name="Calculation 3 2" xfId="3237" xr:uid="{00000000-0005-0000-0000-0000E40A0000}"/>
    <cellStyle name="Calculation 3 2 2" xfId="4889" xr:uid="{00000000-0005-0000-0000-0000E50A0000}"/>
    <cellStyle name="Calculation 3 2 3" xfId="8293" xr:uid="{00000000-0005-0000-0000-0000E60A0000}"/>
    <cellStyle name="Calculation 3 3" xfId="3238" xr:uid="{00000000-0005-0000-0000-0000E70A0000}"/>
    <cellStyle name="Calculation 3 3 2" xfId="4890" xr:uid="{00000000-0005-0000-0000-0000E80A0000}"/>
    <cellStyle name="Calculation 3 3 3" xfId="8294" xr:uid="{00000000-0005-0000-0000-0000E90A0000}"/>
    <cellStyle name="Calculation 3 4" xfId="3239" xr:uid="{00000000-0005-0000-0000-0000EA0A0000}"/>
    <cellStyle name="Calculation 3 4 2" xfId="4891" xr:uid="{00000000-0005-0000-0000-0000EB0A0000}"/>
    <cellStyle name="Calculation 3 4 3" xfId="8295" xr:uid="{00000000-0005-0000-0000-0000EC0A0000}"/>
    <cellStyle name="Calculation 3 5" xfId="4888" xr:uid="{00000000-0005-0000-0000-0000ED0A0000}"/>
    <cellStyle name="Calculation 3 6" xfId="8292" xr:uid="{00000000-0005-0000-0000-0000EE0A0000}"/>
    <cellStyle name="Calculation 4" xfId="3240" xr:uid="{00000000-0005-0000-0000-0000EF0A0000}"/>
    <cellStyle name="Calculation 4 2" xfId="3241" xr:uid="{00000000-0005-0000-0000-0000F00A0000}"/>
    <cellStyle name="Calculation 4 2 2" xfId="4893" xr:uid="{00000000-0005-0000-0000-0000F10A0000}"/>
    <cellStyle name="Calculation 4 2 3" xfId="8297" xr:uid="{00000000-0005-0000-0000-0000F20A0000}"/>
    <cellStyle name="Calculation 4 3" xfId="3242" xr:uid="{00000000-0005-0000-0000-0000F30A0000}"/>
    <cellStyle name="Calculation 4 3 2" xfId="4894" xr:uid="{00000000-0005-0000-0000-0000F40A0000}"/>
    <cellStyle name="Calculation 4 3 3" xfId="8298" xr:uid="{00000000-0005-0000-0000-0000F50A0000}"/>
    <cellStyle name="Calculation 4 4" xfId="3243" xr:uid="{00000000-0005-0000-0000-0000F60A0000}"/>
    <cellStyle name="Calculation 4 4 2" xfId="4895" xr:uid="{00000000-0005-0000-0000-0000F70A0000}"/>
    <cellStyle name="Calculation 4 4 3" xfId="8299" xr:uid="{00000000-0005-0000-0000-0000F80A0000}"/>
    <cellStyle name="Calculation 4 5" xfId="4892" xr:uid="{00000000-0005-0000-0000-0000F90A0000}"/>
    <cellStyle name="Calculation 4 6" xfId="8296" xr:uid="{00000000-0005-0000-0000-0000FA0A0000}"/>
    <cellStyle name="Calculation 5" xfId="3244" xr:uid="{00000000-0005-0000-0000-0000FB0A0000}"/>
    <cellStyle name="Calculation 5 2" xfId="3245" xr:uid="{00000000-0005-0000-0000-0000FC0A0000}"/>
    <cellStyle name="Calculation 5 2 2" xfId="4897" xr:uid="{00000000-0005-0000-0000-0000FD0A0000}"/>
    <cellStyle name="Calculation 5 2 3" xfId="8301" xr:uid="{00000000-0005-0000-0000-0000FE0A0000}"/>
    <cellStyle name="Calculation 5 3" xfId="3246" xr:uid="{00000000-0005-0000-0000-0000FF0A0000}"/>
    <cellStyle name="Calculation 5 3 2" xfId="4898" xr:uid="{00000000-0005-0000-0000-0000000B0000}"/>
    <cellStyle name="Calculation 5 3 3" xfId="8302" xr:uid="{00000000-0005-0000-0000-0000010B0000}"/>
    <cellStyle name="Calculation 5 4" xfId="3247" xr:uid="{00000000-0005-0000-0000-0000020B0000}"/>
    <cellStyle name="Calculation 5 4 2" xfId="4899" xr:uid="{00000000-0005-0000-0000-0000030B0000}"/>
    <cellStyle name="Calculation 5 4 3" xfId="8303" xr:uid="{00000000-0005-0000-0000-0000040B0000}"/>
    <cellStyle name="Calculation 5 5" xfId="4896" xr:uid="{00000000-0005-0000-0000-0000050B0000}"/>
    <cellStyle name="Calculation 5 6" xfId="8300" xr:uid="{00000000-0005-0000-0000-0000060B0000}"/>
    <cellStyle name="Calculation 6" xfId="3248" xr:uid="{00000000-0005-0000-0000-0000070B0000}"/>
    <cellStyle name="Calculation 6 2" xfId="3249" xr:uid="{00000000-0005-0000-0000-0000080B0000}"/>
    <cellStyle name="Calculation 6 2 2" xfId="4901" xr:uid="{00000000-0005-0000-0000-0000090B0000}"/>
    <cellStyle name="Calculation 6 2 3" xfId="8305" xr:uid="{00000000-0005-0000-0000-00000A0B0000}"/>
    <cellStyle name="Calculation 6 3" xfId="3250" xr:uid="{00000000-0005-0000-0000-00000B0B0000}"/>
    <cellStyle name="Calculation 6 3 2" xfId="4902" xr:uid="{00000000-0005-0000-0000-00000C0B0000}"/>
    <cellStyle name="Calculation 6 3 3" xfId="8306" xr:uid="{00000000-0005-0000-0000-00000D0B0000}"/>
    <cellStyle name="Calculation 6 4" xfId="3251" xr:uid="{00000000-0005-0000-0000-00000E0B0000}"/>
    <cellStyle name="Calculation 6 4 2" xfId="4903" xr:uid="{00000000-0005-0000-0000-00000F0B0000}"/>
    <cellStyle name="Calculation 6 4 3" xfId="8307" xr:uid="{00000000-0005-0000-0000-0000100B0000}"/>
    <cellStyle name="Calculation 6 5" xfId="4900" xr:uid="{00000000-0005-0000-0000-0000110B0000}"/>
    <cellStyle name="Calculation 6 6" xfId="8304" xr:uid="{00000000-0005-0000-0000-0000120B0000}"/>
    <cellStyle name="Calculation 7" xfId="3252" xr:uid="{00000000-0005-0000-0000-0000130B0000}"/>
    <cellStyle name="Calculation 7 2" xfId="4904" xr:uid="{00000000-0005-0000-0000-0000140B0000}"/>
    <cellStyle name="Calculation 7 3" xfId="8308" xr:uid="{00000000-0005-0000-0000-0000150B0000}"/>
    <cellStyle name="Calculation 8" xfId="3253" xr:uid="{00000000-0005-0000-0000-0000160B0000}"/>
    <cellStyle name="Calculation 8 2" xfId="4905" xr:uid="{00000000-0005-0000-0000-0000170B0000}"/>
    <cellStyle name="Calculation 8 3" xfId="8309" xr:uid="{00000000-0005-0000-0000-0000180B0000}"/>
    <cellStyle name="Calculation 9" xfId="3254" xr:uid="{00000000-0005-0000-0000-0000190B0000}"/>
    <cellStyle name="Calculation 9 2" xfId="4906" xr:uid="{00000000-0005-0000-0000-00001A0B0000}"/>
    <cellStyle name="Calculation 9 3" xfId="8310" xr:uid="{00000000-0005-0000-0000-00001B0B0000}"/>
    <cellStyle name="Cálculo 2" xfId="232" xr:uid="{00000000-0005-0000-0000-00001C0B0000}"/>
    <cellStyle name="Cálculo 2 2" xfId="6290" xr:uid="{00000000-0005-0000-0000-00001D0B0000}"/>
    <cellStyle name="Cálculo 3" xfId="233" xr:uid="{00000000-0005-0000-0000-00001E0B0000}"/>
    <cellStyle name="Cálculo 3 2" xfId="1008" xr:uid="{00000000-0005-0000-0000-00001F0B0000}"/>
    <cellStyle name="Cálculo 4" xfId="234" xr:uid="{00000000-0005-0000-0000-0000200B0000}"/>
    <cellStyle name="Cancel" xfId="2633" xr:uid="{00000000-0005-0000-0000-0000210B0000}"/>
    <cellStyle name="Cancel 2" xfId="3963" xr:uid="{00000000-0005-0000-0000-0000220B0000}"/>
    <cellStyle name="Cancel 3" xfId="7849"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4" xr:uid="{00000000-0005-0000-0000-0000290B0000}"/>
    <cellStyle name="Célula Ligada 2 2" xfId="240" xr:uid="{00000000-0005-0000-0000-00002A0B0000}"/>
    <cellStyle name="Célula Ligada 2 2 2" xfId="3964" xr:uid="{00000000-0005-0000-0000-00002B0B0000}"/>
    <cellStyle name="Célula Ligada 2 3" xfId="241" xr:uid="{00000000-0005-0000-0000-00002C0B0000}"/>
    <cellStyle name="Célula Ligada 2 3 2" xfId="7374"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3" xr:uid="{00000000-0005-0000-0000-0000350B0000}"/>
    <cellStyle name="Célula Ligada 4" xfId="249" xr:uid="{00000000-0005-0000-0000-0000360B0000}"/>
    <cellStyle name="Célula Ligada 4 2" xfId="6291" xr:uid="{00000000-0005-0000-0000-0000370B0000}"/>
    <cellStyle name="Célula Ligada 5" xfId="250" xr:uid="{00000000-0005-0000-0000-0000380B0000}"/>
    <cellStyle name="Célula Ligada 5 2" xfId="1009"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4" xr:uid="{00000000-0005-0000-0000-00003F0B0000}"/>
    <cellStyle name="Check Cell 2" xfId="1074" xr:uid="{00000000-0005-0000-0000-0000400B0000}"/>
    <cellStyle name="Check Cell 2 2" xfId="3582" xr:uid="{00000000-0005-0000-0000-0000410B0000}"/>
    <cellStyle name="Check Cell 2 2 2" xfId="5194" xr:uid="{00000000-0005-0000-0000-0000420B0000}"/>
    <cellStyle name="Check Cell 2 2 3" xfId="8566" xr:uid="{00000000-0005-0000-0000-0000430B0000}"/>
    <cellStyle name="Check Cell 2 3" xfId="3256" xr:uid="{00000000-0005-0000-0000-0000440B0000}"/>
    <cellStyle name="Check Cell 2 3 2" xfId="4908" xr:uid="{00000000-0005-0000-0000-0000450B0000}"/>
    <cellStyle name="Check Cell 2 3 3" xfId="8312" xr:uid="{00000000-0005-0000-0000-0000460B0000}"/>
    <cellStyle name="Check Cell 2 4" xfId="3966" xr:uid="{00000000-0005-0000-0000-0000470B0000}"/>
    <cellStyle name="Check Cell 2 5" xfId="6355" xr:uid="{00000000-0005-0000-0000-0000480B0000}"/>
    <cellStyle name="Check Cell 3" xfId="3257" xr:uid="{00000000-0005-0000-0000-0000490B0000}"/>
    <cellStyle name="Check Cell 3 2" xfId="4909" xr:uid="{00000000-0005-0000-0000-00004A0B0000}"/>
    <cellStyle name="Check Cell 3 3" xfId="8313" xr:uid="{00000000-0005-0000-0000-00004B0B0000}"/>
    <cellStyle name="Check Cell 4" xfId="3258" xr:uid="{00000000-0005-0000-0000-00004C0B0000}"/>
    <cellStyle name="Check Cell 4 2" xfId="4910" xr:uid="{00000000-0005-0000-0000-00004D0B0000}"/>
    <cellStyle name="Check Cell 4 3" xfId="8314" xr:uid="{00000000-0005-0000-0000-00004E0B0000}"/>
    <cellStyle name="Check Cell 5" xfId="3259" xr:uid="{00000000-0005-0000-0000-00004F0B0000}"/>
    <cellStyle name="Check Cell 5 2" xfId="4911" xr:uid="{00000000-0005-0000-0000-0000500B0000}"/>
    <cellStyle name="Check Cell 5 3" xfId="8315" xr:uid="{00000000-0005-0000-0000-0000510B0000}"/>
    <cellStyle name="Check Cell 6" xfId="3260" xr:uid="{00000000-0005-0000-0000-0000520B0000}"/>
    <cellStyle name="Check Cell 6 2" xfId="4912" xr:uid="{00000000-0005-0000-0000-0000530B0000}"/>
    <cellStyle name="Check Cell 6 3" xfId="8316" xr:uid="{00000000-0005-0000-0000-0000540B0000}"/>
    <cellStyle name="Check Cell 7" xfId="3255" xr:uid="{00000000-0005-0000-0000-0000550B0000}"/>
    <cellStyle name="Check Cell 7 2" xfId="4907" xr:uid="{00000000-0005-0000-0000-0000560B0000}"/>
    <cellStyle name="Check Cell 7 3" xfId="8311" xr:uid="{00000000-0005-0000-0000-0000570B0000}"/>
    <cellStyle name="Check Cell 8" xfId="3965" xr:uid="{00000000-0005-0000-0000-0000580B0000}"/>
    <cellStyle name="Check Cell 9" xfId="7802"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5" xr:uid="{00000000-0005-0000-0000-0000770B0000}"/>
    <cellStyle name="Comma 2 2" xfId="285" xr:uid="{00000000-0005-0000-0000-0000780B0000}"/>
    <cellStyle name="Comma 2 2 2" xfId="3566" xr:uid="{00000000-0005-0000-0000-0000790B0000}"/>
    <cellStyle name="Comma 2 3" xfId="286" xr:uid="{00000000-0005-0000-0000-00007A0B0000}"/>
    <cellStyle name="Comma 2 3 2" xfId="3262"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3" xr:uid="{00000000-0005-0000-0000-00008B0B0000}"/>
    <cellStyle name="Comma 4" xfId="3261"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5" xr:uid="{00000000-0005-0000-0000-0000960B0000}"/>
    <cellStyle name="Comma0 3" xfId="3266" xr:uid="{00000000-0005-0000-0000-0000970B0000}"/>
    <cellStyle name="Comma0 4" xfId="3267" xr:uid="{00000000-0005-0000-0000-0000980B0000}"/>
    <cellStyle name="Comma0 5" xfId="3264" xr:uid="{00000000-0005-0000-0000-0000990B0000}"/>
    <cellStyle name="Cor1 2" xfId="311" xr:uid="{00000000-0005-0000-0000-00009A0B0000}"/>
    <cellStyle name="Cor1 2 2" xfId="6297" xr:uid="{00000000-0005-0000-0000-00009B0B0000}"/>
    <cellStyle name="Cor1 3" xfId="312" xr:uid="{00000000-0005-0000-0000-00009C0B0000}"/>
    <cellStyle name="Cor1 3 2" xfId="1015" xr:uid="{00000000-0005-0000-0000-00009D0B0000}"/>
    <cellStyle name="Cor1 4" xfId="313" xr:uid="{00000000-0005-0000-0000-00009E0B0000}"/>
    <cellStyle name="Cor2 2" xfId="314" xr:uid="{00000000-0005-0000-0000-00009F0B0000}"/>
    <cellStyle name="Cor2 2 2" xfId="6301" xr:uid="{00000000-0005-0000-0000-0000A00B0000}"/>
    <cellStyle name="Cor2 3" xfId="315" xr:uid="{00000000-0005-0000-0000-0000A10B0000}"/>
    <cellStyle name="Cor2 3 2" xfId="1019" xr:uid="{00000000-0005-0000-0000-0000A20B0000}"/>
    <cellStyle name="Cor2 4" xfId="316" xr:uid="{00000000-0005-0000-0000-0000A30B0000}"/>
    <cellStyle name="Cor3 2" xfId="317" xr:uid="{00000000-0005-0000-0000-0000A40B0000}"/>
    <cellStyle name="Cor3 2 2" xfId="6305" xr:uid="{00000000-0005-0000-0000-0000A50B0000}"/>
    <cellStyle name="Cor3 3" xfId="318" xr:uid="{00000000-0005-0000-0000-0000A60B0000}"/>
    <cellStyle name="Cor3 3 2" xfId="1023" xr:uid="{00000000-0005-0000-0000-0000A70B0000}"/>
    <cellStyle name="Cor3 4" xfId="319" xr:uid="{00000000-0005-0000-0000-0000A80B0000}"/>
    <cellStyle name="Cor4 2" xfId="320" xr:uid="{00000000-0005-0000-0000-0000A90B0000}"/>
    <cellStyle name="Cor4 2 2" xfId="6309" xr:uid="{00000000-0005-0000-0000-0000AA0B0000}"/>
    <cellStyle name="Cor4 3" xfId="321" xr:uid="{00000000-0005-0000-0000-0000AB0B0000}"/>
    <cellStyle name="Cor4 3 2" xfId="1027" xr:uid="{00000000-0005-0000-0000-0000AC0B0000}"/>
    <cellStyle name="Cor4 4" xfId="322" xr:uid="{00000000-0005-0000-0000-0000AD0B0000}"/>
    <cellStyle name="Cor5 2" xfId="323" xr:uid="{00000000-0005-0000-0000-0000AE0B0000}"/>
    <cellStyle name="Cor5 2 2" xfId="6313" xr:uid="{00000000-0005-0000-0000-0000AF0B0000}"/>
    <cellStyle name="Cor5 3" xfId="324" xr:uid="{00000000-0005-0000-0000-0000B00B0000}"/>
    <cellStyle name="Cor5 3 2" xfId="1031" xr:uid="{00000000-0005-0000-0000-0000B10B0000}"/>
    <cellStyle name="Cor5 4" xfId="325" xr:uid="{00000000-0005-0000-0000-0000B20B0000}"/>
    <cellStyle name="Cor6 2" xfId="326" xr:uid="{00000000-0005-0000-0000-0000B30B0000}"/>
    <cellStyle name="Cor6 2 2" xfId="6317" xr:uid="{00000000-0005-0000-0000-0000B40B0000}"/>
    <cellStyle name="Cor6 3" xfId="327" xr:uid="{00000000-0005-0000-0000-0000B50B0000}"/>
    <cellStyle name="Cor6 3 2" xfId="1035"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6" xr:uid="{00000000-0005-0000-0000-0000BD0B0000}"/>
    <cellStyle name="Correcto 2 2" xfId="334" xr:uid="{00000000-0005-0000-0000-0000BE0B0000}"/>
    <cellStyle name="Correcto 2 2 2" xfId="3967" xr:uid="{00000000-0005-0000-0000-0000BF0B0000}"/>
    <cellStyle name="Correcto 2 3" xfId="335" xr:uid="{00000000-0005-0000-0000-0000C00B0000}"/>
    <cellStyle name="Correcto 2 3 2" xfId="7376"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1" xr:uid="{00000000-0005-0000-0000-0000C90B0000}"/>
    <cellStyle name="Correcto 4" xfId="343" xr:uid="{00000000-0005-0000-0000-0000CA0B0000}"/>
    <cellStyle name="Correcto 4 2" xfId="6285" xr:uid="{00000000-0005-0000-0000-0000CB0B0000}"/>
    <cellStyle name="Correcto 5" xfId="344" xr:uid="{00000000-0005-0000-0000-0000CC0B0000}"/>
    <cellStyle name="Correcto 5 2" xfId="1003"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6"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7" xr:uid="{00000000-0005-0000-0000-0000D80B0000}"/>
    <cellStyle name="Currency 2 2 2 2" xfId="8960" xr:uid="{00000000-0005-0000-0000-0000D90B0000}"/>
    <cellStyle name="Currency 2 2 2 2 2" xfId="9124" xr:uid="{00000000-0005-0000-0000-0000DA0B0000}"/>
    <cellStyle name="Currency 2 2 2 2 2 2" xfId="9497" xr:uid="{013647C1-4EA8-4483-83BC-DB9A8B2C1D47}"/>
    <cellStyle name="Currency 2 2 2 2 2 3" xfId="9833" xr:uid="{7A8A5402-2D9F-4C97-BA7E-4A2CB0486DF1}"/>
    <cellStyle name="Currency 2 2 2 2 3" xfId="9343" xr:uid="{8D6E1FE3-CA03-4F03-B93E-633CD77176F1}"/>
    <cellStyle name="Currency 2 2 2 2 4" xfId="9679" xr:uid="{604F30ED-04A0-47A1-A24D-8209D9D3266F}"/>
    <cellStyle name="Currency 2 2 2 3" xfId="9047" xr:uid="{00000000-0005-0000-0000-0000DB0B0000}"/>
    <cellStyle name="Currency 2 2 2 3 2" xfId="9420" xr:uid="{02A43607-E2F8-4792-95F2-3516A0A8C177}"/>
    <cellStyle name="Currency 2 2 2 3 3" xfId="9756" xr:uid="{8F5B17EA-E900-4AB3-94D5-AD0E43F82B09}"/>
    <cellStyle name="Currency 2 2 2 4" xfId="9265" xr:uid="{8438F584-BE26-4C74-9FCF-F17A14EFED4A}"/>
    <cellStyle name="Currency 2 2 2 5" xfId="9601" xr:uid="{9B6365A2-7E8E-4535-A716-23B342EB93F8}"/>
    <cellStyle name="Currency 2 2 3" xfId="8892" xr:uid="{00000000-0005-0000-0000-0000DC0B0000}"/>
    <cellStyle name="Currency 2 2 3 2" xfId="9056" xr:uid="{00000000-0005-0000-0000-0000DD0B0000}"/>
    <cellStyle name="Currency 2 2 3 2 2" xfId="9429" xr:uid="{C6EFA546-B47B-4390-9EB3-D8CCF4B3EFA9}"/>
    <cellStyle name="Currency 2 2 3 2 3" xfId="9765" xr:uid="{0497EE95-E485-4308-A4B2-CE7D5E3BCB6A}"/>
    <cellStyle name="Currency 2 2 3 3" xfId="9275" xr:uid="{495D20E5-23AD-4DED-B073-4B7C04566156}"/>
    <cellStyle name="Currency 2 2 3 4" xfId="9611" xr:uid="{36A05F5E-156B-4ABA-9096-A1307248EC24}"/>
    <cellStyle name="Currency 2 2 4" xfId="8981" xr:uid="{00000000-0005-0000-0000-0000DE0B0000}"/>
    <cellStyle name="Currency 2 2 4 2" xfId="9354" xr:uid="{F5528376-A0FF-4E71-BB12-4EE19A18BA2D}"/>
    <cellStyle name="Currency 2 2 4 3" xfId="9690" xr:uid="{828BEC76-FA2E-4B06-8200-122F5E7C1802}"/>
    <cellStyle name="Currency 2 2 5" xfId="2137" xr:uid="{00000000-0005-0000-0000-0000DF0B0000}"/>
    <cellStyle name="Currency 2 2 5 2" xfId="9197" xr:uid="{07B594F7-3698-433A-8EEB-191D20C067A8}"/>
    <cellStyle name="Currency 2 2 5 3" xfId="9533" xr:uid="{AAE0A185-EFCA-428B-B384-E8C758A316BE}"/>
    <cellStyle name="Currency 2 3" xfId="354" xr:uid="{00000000-0005-0000-0000-0000E00B0000}"/>
    <cellStyle name="Currency 2 3 2" xfId="8778" xr:uid="{00000000-0005-0000-0000-0000E10B0000}"/>
    <cellStyle name="Currency 2 3 2 2" xfId="8961" xr:uid="{00000000-0005-0000-0000-0000E20B0000}"/>
    <cellStyle name="Currency 2 3 2 2 2" xfId="9125" xr:uid="{00000000-0005-0000-0000-0000E30B0000}"/>
    <cellStyle name="Currency 2 3 2 2 2 2" xfId="9498" xr:uid="{A5338F2A-4806-40F0-B7B1-7E0375A2B737}"/>
    <cellStyle name="Currency 2 3 2 2 2 3" xfId="9834" xr:uid="{E571A9BB-C4D8-446E-9112-778447264CA2}"/>
    <cellStyle name="Currency 2 3 2 2 3" xfId="9344" xr:uid="{F83AEA7E-5DD7-4498-B71F-FF59858FB1A2}"/>
    <cellStyle name="Currency 2 3 2 2 4" xfId="9680" xr:uid="{234EB10A-F4C3-4367-BBF0-C7DB1EDB4248}"/>
    <cellStyle name="Currency 2 3 2 3" xfId="9048" xr:uid="{00000000-0005-0000-0000-0000E40B0000}"/>
    <cellStyle name="Currency 2 3 2 3 2" xfId="9421" xr:uid="{B5DEDDF5-8A3B-4848-9F94-85B0A41F318B}"/>
    <cellStyle name="Currency 2 3 2 3 3" xfId="9757" xr:uid="{7A446B2E-F850-4E58-B601-0B765FDE97C0}"/>
    <cellStyle name="Currency 2 3 2 4" xfId="9266" xr:uid="{D39878D1-1082-494F-A8F0-CEF05AA84531}"/>
    <cellStyle name="Currency 2 3 2 5" xfId="9602" xr:uid="{7B3A8673-297D-4A64-92E6-00075A365C49}"/>
    <cellStyle name="Currency 2 3 3" xfId="8893" xr:uid="{00000000-0005-0000-0000-0000E50B0000}"/>
    <cellStyle name="Currency 2 3 3 2" xfId="9057" xr:uid="{00000000-0005-0000-0000-0000E60B0000}"/>
    <cellStyle name="Currency 2 3 3 2 2" xfId="9430" xr:uid="{DF453108-1356-4CD8-BB6D-33C7E8033185}"/>
    <cellStyle name="Currency 2 3 3 2 3" xfId="9766" xr:uid="{D8BC0830-D567-48B0-9AF4-AA96B1B64F25}"/>
    <cellStyle name="Currency 2 3 3 3" xfId="9276" xr:uid="{A1D286D1-8381-4CF7-B1E2-343DB78D3BB5}"/>
    <cellStyle name="Currency 2 3 3 4" xfId="9612" xr:uid="{48C217A0-036D-4FF3-A5CC-4BBCEC877300}"/>
    <cellStyle name="Currency 2 3 4" xfId="8982" xr:uid="{00000000-0005-0000-0000-0000E70B0000}"/>
    <cellStyle name="Currency 2 3 4 2" xfId="9355" xr:uid="{64BD9B08-EAF7-440A-8901-A0E52E1D8A48}"/>
    <cellStyle name="Currency 2 3 4 3" xfId="9691" xr:uid="{71224236-0A12-4732-965A-F85662A8A1F9}"/>
    <cellStyle name="Currency 2 3 5" xfId="2138" xr:uid="{00000000-0005-0000-0000-0000E80B0000}"/>
    <cellStyle name="Currency 2 3 5 2" xfId="9198" xr:uid="{B96A9392-9F48-4761-AC2E-5BFF47A7BD78}"/>
    <cellStyle name="Currency 2 3 5 3" xfId="9534" xr:uid="{EE9F4C19-E843-467C-BAB3-5146AEC6F3BD}"/>
    <cellStyle name="Currency 2 4" xfId="355" xr:uid="{00000000-0005-0000-0000-0000E90B0000}"/>
    <cellStyle name="Currency 2 4 2" xfId="8894" xr:uid="{00000000-0005-0000-0000-0000EA0B0000}"/>
    <cellStyle name="Currency 2 4 2 2" xfId="9058" xr:uid="{00000000-0005-0000-0000-0000EB0B0000}"/>
    <cellStyle name="Currency 2 4 2 2 2" xfId="9431" xr:uid="{3BA3DDF3-8A9E-44E0-AA29-C7C6A01A8F1D}"/>
    <cellStyle name="Currency 2 4 2 2 3" xfId="9767" xr:uid="{A280BB1E-BEA2-44FE-8D6F-72E005C58764}"/>
    <cellStyle name="Currency 2 4 2 3" xfId="9277" xr:uid="{A8E0928F-30C3-4B42-B97A-D4109BDB2892}"/>
    <cellStyle name="Currency 2 4 2 4" xfId="9613" xr:uid="{5C97BCF6-3821-4FBF-895C-22AC4B73FD50}"/>
    <cellStyle name="Currency 2 4 3" xfId="8983" xr:uid="{00000000-0005-0000-0000-0000EC0B0000}"/>
    <cellStyle name="Currency 2 4 3 2" xfId="9356" xr:uid="{084F573D-D31F-4720-8770-343A49FAADA5}"/>
    <cellStyle name="Currency 2 4 3 3" xfId="9692" xr:uid="{F81FFCA7-3E53-46AC-A5C4-F5F0779021E8}"/>
    <cellStyle name="Currency 2 4 4" xfId="2139" xr:uid="{00000000-0005-0000-0000-0000ED0B0000}"/>
    <cellStyle name="Currency 2 4 4 2" xfId="9199" xr:uid="{BB917849-A6D3-4087-9424-1E3D35489AE5}"/>
    <cellStyle name="Currency 2 4 4 3" xfId="9535" xr:uid="{5CAB1E76-073E-4DAA-BE2D-ABD8339F58DC}"/>
    <cellStyle name="Currency 2 5" xfId="356" xr:uid="{00000000-0005-0000-0000-0000EE0B0000}"/>
    <cellStyle name="Currency 2 5 2" xfId="3269" xr:uid="{00000000-0005-0000-0000-0000EF0B0000}"/>
    <cellStyle name="Currency 2 6" xfId="357" xr:uid="{00000000-0005-0000-0000-0000F00B0000}"/>
    <cellStyle name="Currency 2 6 2" xfId="9054" xr:uid="{00000000-0005-0000-0000-0000F10B0000}"/>
    <cellStyle name="Currency 2 6 2 2" xfId="9427" xr:uid="{4EF17B4D-A177-44C7-9361-2C96A0BB2BC2}"/>
    <cellStyle name="Currency 2 6 2 3" xfId="9763" xr:uid="{B1F9CFE3-0C88-4F95-A827-B4754602A2C9}"/>
    <cellStyle name="Currency 2 6 3" xfId="8890" xr:uid="{00000000-0005-0000-0000-0000F20B0000}"/>
    <cellStyle name="Currency 2 6 3 2" xfId="9273" xr:uid="{57FE8902-E594-4014-8A4C-1A3498D61114}"/>
    <cellStyle name="Currency 2 6 3 3" xfId="9609" xr:uid="{775AFAB5-2A85-4631-8C6B-1E04FC4A3761}"/>
    <cellStyle name="Currency 2 7" xfId="358" xr:uid="{00000000-0005-0000-0000-0000F30B0000}"/>
    <cellStyle name="Currency 2 7 2" xfId="8979" xr:uid="{00000000-0005-0000-0000-0000F40B0000}"/>
    <cellStyle name="Currency 2 7 2 2" xfId="9352" xr:uid="{7A96508A-FB3E-4A97-93CF-E52A2978EAE0}"/>
    <cellStyle name="Currency 2 7 2 3" xfId="9688" xr:uid="{E0D8F348-E924-4146-811C-0A8E3502EC05}"/>
    <cellStyle name="Currency 2 8" xfId="359" xr:uid="{00000000-0005-0000-0000-0000F50B0000}"/>
    <cellStyle name="Currency 2 9" xfId="2120" xr:uid="{00000000-0005-0000-0000-0000F60B0000}"/>
    <cellStyle name="Currency 2 9 2" xfId="9195" xr:uid="{F14CD1E2-D09C-47BC-A135-CA0DBCF322F9}"/>
    <cellStyle name="Currency 2 9 3" xfId="9531" xr:uid="{9EB84501-5EA5-45E5-BA24-AF8D1F3DAA3A}"/>
    <cellStyle name="Currency 2_ON2_ListaOperacoesAprovadas SI - Apoio (30-06-2010)" xfId="3270" xr:uid="{00000000-0005-0000-0000-0000F70B0000}"/>
    <cellStyle name="Currency 3" xfId="3271" xr:uid="{00000000-0005-0000-0000-0000F80B0000}"/>
    <cellStyle name="Currency 4" xfId="3268" xr:uid="{00000000-0005-0000-0000-0000F90B0000}"/>
    <cellStyle name="Currency0" xfId="360" xr:uid="{00000000-0005-0000-0000-0000FA0B0000}"/>
    <cellStyle name="Currency0 2" xfId="3273" xr:uid="{00000000-0005-0000-0000-0000FB0B0000}"/>
    <cellStyle name="Currency0 3" xfId="3274" xr:uid="{00000000-0005-0000-0000-0000FC0B0000}"/>
    <cellStyle name="Currency0 4" xfId="3275" xr:uid="{00000000-0005-0000-0000-0000FD0B0000}"/>
    <cellStyle name="Currency0 5" xfId="3272" xr:uid="{00000000-0005-0000-0000-0000FE0B0000}"/>
    <cellStyle name="Data Cell - PerformancePoint" xfId="8779" xr:uid="{00000000-0005-0000-0000-0000FF0B0000}"/>
    <cellStyle name="Data Entry Cell - PerformancePoint" xfId="8780" xr:uid="{00000000-0005-0000-0000-0000000C0000}"/>
    <cellStyle name="DATE" xfId="361" xr:uid="{00000000-0005-0000-0000-0000010C0000}"/>
    <cellStyle name="Date [mmm-yy]" xfId="362" xr:uid="{00000000-0005-0000-0000-0000020C0000}"/>
    <cellStyle name="Date 2" xfId="3277" xr:uid="{00000000-0005-0000-0000-0000030C0000}"/>
    <cellStyle name="Date 2 2" xfId="4914" xr:uid="{00000000-0005-0000-0000-0000040C0000}"/>
    <cellStyle name="Date 2 3" xfId="8318" xr:uid="{00000000-0005-0000-0000-0000050C0000}"/>
    <cellStyle name="Date 3" xfId="3278" xr:uid="{00000000-0005-0000-0000-0000060C0000}"/>
    <cellStyle name="Date 3 2" xfId="4915" xr:uid="{00000000-0005-0000-0000-0000070C0000}"/>
    <cellStyle name="Date 3 3" xfId="8319" xr:uid="{00000000-0005-0000-0000-0000080C0000}"/>
    <cellStyle name="Date 4" xfId="3279" xr:uid="{00000000-0005-0000-0000-0000090C0000}"/>
    <cellStyle name="Date 4 2" xfId="4916" xr:uid="{00000000-0005-0000-0000-00000A0C0000}"/>
    <cellStyle name="Date 4 3" xfId="8320" xr:uid="{00000000-0005-0000-0000-00000B0C0000}"/>
    <cellStyle name="Date 5" xfId="4913" xr:uid="{00000000-0005-0000-0000-00000C0C0000}"/>
    <cellStyle name="Date 6" xfId="8317" xr:uid="{00000000-0005-0000-0000-00000D0C0000}"/>
    <cellStyle name="Date 7" xfId="3276" xr:uid="{00000000-0005-0000-0000-00000E0C0000}"/>
    <cellStyle name="DateLong" xfId="2140" xr:uid="{00000000-0005-0000-0000-00000F0C0000}"/>
    <cellStyle name="dsf" xfId="363" xr:uid="{00000000-0005-0000-0000-0000100C0000}"/>
    <cellStyle name="Emphasis 1" xfId="364" xr:uid="{00000000-0005-0000-0000-0000110C0000}"/>
    <cellStyle name="Emphasis 1 2" xfId="4917" xr:uid="{00000000-0005-0000-0000-0000120C0000}"/>
    <cellStyle name="Emphasis 1 3" xfId="8321" xr:uid="{00000000-0005-0000-0000-0000130C0000}"/>
    <cellStyle name="Emphasis 1 4" xfId="3280" xr:uid="{00000000-0005-0000-0000-0000140C0000}"/>
    <cellStyle name="Emphasis 2" xfId="365" xr:uid="{00000000-0005-0000-0000-0000150C0000}"/>
    <cellStyle name="Emphasis 2 2" xfId="4918" xr:uid="{00000000-0005-0000-0000-0000160C0000}"/>
    <cellStyle name="Emphasis 2 3" xfId="8322" xr:uid="{00000000-0005-0000-0000-0000170C0000}"/>
    <cellStyle name="Emphasis 2 4" xfId="3281" xr:uid="{00000000-0005-0000-0000-0000180C0000}"/>
    <cellStyle name="Emphasis 3" xfId="366" xr:uid="{00000000-0005-0000-0000-0000190C0000}"/>
    <cellStyle name="Emphasis 3 2" xfId="4919" xr:uid="{00000000-0005-0000-0000-00001A0C0000}"/>
    <cellStyle name="Emphasis 3 3" xfId="8323" xr:uid="{00000000-0005-0000-0000-00001B0C0000}"/>
    <cellStyle name="Emphasis 3 4" xfId="3282"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1" xr:uid="{00000000-0005-0000-0000-0000220C0000}"/>
    <cellStyle name="Entrada 2 2" xfId="372" xr:uid="{00000000-0005-0000-0000-0000230C0000}"/>
    <cellStyle name="Entrada 2 2 2" xfId="3968" xr:uid="{00000000-0005-0000-0000-0000240C0000}"/>
    <cellStyle name="Entrada 2 3" xfId="373" xr:uid="{00000000-0005-0000-0000-0000250C0000}"/>
    <cellStyle name="Entrada 2 3 2" xfId="7377"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2" xr:uid="{00000000-0005-0000-0000-00002E0C0000}"/>
    <cellStyle name="Entrada 4" xfId="381" xr:uid="{00000000-0005-0000-0000-00002F0C0000}"/>
    <cellStyle name="Entrada 4 2" xfId="6288" xr:uid="{00000000-0005-0000-0000-0000300C0000}"/>
    <cellStyle name="Entrada 5" xfId="382" xr:uid="{00000000-0005-0000-0000-0000310C0000}"/>
    <cellStyle name="Entrada 5 2" xfId="1006"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1" xr:uid="{00000000-0005-0000-0000-0000390C0000}"/>
    <cellStyle name="Estilo 1 10 3" xfId="8325" xr:uid="{00000000-0005-0000-0000-00003A0C0000}"/>
    <cellStyle name="Estilo 1 10 4" xfId="3284" xr:uid="{00000000-0005-0000-0000-00003B0C0000}"/>
    <cellStyle name="Estilo 1 11" xfId="389" xr:uid="{00000000-0005-0000-0000-00003C0C0000}"/>
    <cellStyle name="Estilo 1 11 2" xfId="4922" xr:uid="{00000000-0005-0000-0000-00003D0C0000}"/>
    <cellStyle name="Estilo 1 11 3" xfId="8326" xr:uid="{00000000-0005-0000-0000-00003E0C0000}"/>
    <cellStyle name="Estilo 1 11 4" xfId="3285" xr:uid="{00000000-0005-0000-0000-00003F0C0000}"/>
    <cellStyle name="Estilo 1 12" xfId="390" xr:uid="{00000000-0005-0000-0000-0000400C0000}"/>
    <cellStyle name="Estilo 1 12 2" xfId="4920" xr:uid="{00000000-0005-0000-0000-0000410C0000}"/>
    <cellStyle name="Estilo 1 12 3" xfId="8324" xr:uid="{00000000-0005-0000-0000-0000420C0000}"/>
    <cellStyle name="Estilo 1 12 4" xfId="3283" xr:uid="{00000000-0005-0000-0000-0000430C0000}"/>
    <cellStyle name="Estilo 1 13" xfId="3969" xr:uid="{00000000-0005-0000-0000-0000440C0000}"/>
    <cellStyle name="Estilo 1 14" xfId="7850" xr:uid="{00000000-0005-0000-0000-0000450C0000}"/>
    <cellStyle name="Estilo 1 15" xfId="2634" xr:uid="{00000000-0005-0000-0000-0000460C0000}"/>
    <cellStyle name="Estilo 1 2" xfId="391" xr:uid="{00000000-0005-0000-0000-0000470C0000}"/>
    <cellStyle name="Estilo 1 2 2" xfId="4923" xr:uid="{00000000-0005-0000-0000-0000480C0000}"/>
    <cellStyle name="Estilo 1 2 3" xfId="8327" xr:uid="{00000000-0005-0000-0000-0000490C0000}"/>
    <cellStyle name="Estilo 1 2 4" xfId="3286" xr:uid="{00000000-0005-0000-0000-00004A0C0000}"/>
    <cellStyle name="Estilo 1 3" xfId="392" xr:uid="{00000000-0005-0000-0000-00004B0C0000}"/>
    <cellStyle name="Estilo 1 3 2" xfId="4924" xr:uid="{00000000-0005-0000-0000-00004C0C0000}"/>
    <cellStyle name="Estilo 1 3 3" xfId="8328" xr:uid="{00000000-0005-0000-0000-00004D0C0000}"/>
    <cellStyle name="Estilo 1 3 4" xfId="3287" xr:uid="{00000000-0005-0000-0000-00004E0C0000}"/>
    <cellStyle name="Estilo 1 4" xfId="393" xr:uid="{00000000-0005-0000-0000-00004F0C0000}"/>
    <cellStyle name="Estilo 1 4 2" xfId="4925" xr:uid="{00000000-0005-0000-0000-0000500C0000}"/>
    <cellStyle name="Estilo 1 4 3" xfId="8329" xr:uid="{00000000-0005-0000-0000-0000510C0000}"/>
    <cellStyle name="Estilo 1 4 4" xfId="3288" xr:uid="{00000000-0005-0000-0000-0000520C0000}"/>
    <cellStyle name="Estilo 1 5" xfId="394" xr:uid="{00000000-0005-0000-0000-0000530C0000}"/>
    <cellStyle name="Estilo 1 5 2" xfId="4926" xr:uid="{00000000-0005-0000-0000-0000540C0000}"/>
    <cellStyle name="Estilo 1 5 3" xfId="8330" xr:uid="{00000000-0005-0000-0000-0000550C0000}"/>
    <cellStyle name="Estilo 1 5 4" xfId="3289" xr:uid="{00000000-0005-0000-0000-0000560C0000}"/>
    <cellStyle name="Estilo 1 6" xfId="395" xr:uid="{00000000-0005-0000-0000-0000570C0000}"/>
    <cellStyle name="Estilo 1 6 2" xfId="4927" xr:uid="{00000000-0005-0000-0000-0000580C0000}"/>
    <cellStyle name="Estilo 1 6 3" xfId="8331" xr:uid="{00000000-0005-0000-0000-0000590C0000}"/>
    <cellStyle name="Estilo 1 6 4" xfId="3290" xr:uid="{00000000-0005-0000-0000-00005A0C0000}"/>
    <cellStyle name="Estilo 1 7" xfId="396" xr:uid="{00000000-0005-0000-0000-00005B0C0000}"/>
    <cellStyle name="Estilo 1 7 2" xfId="4928" xr:uid="{00000000-0005-0000-0000-00005C0C0000}"/>
    <cellStyle name="Estilo 1 7 3" xfId="8332" xr:uid="{00000000-0005-0000-0000-00005D0C0000}"/>
    <cellStyle name="Estilo 1 7 4" xfId="3291" xr:uid="{00000000-0005-0000-0000-00005E0C0000}"/>
    <cellStyle name="Estilo 1 8" xfId="397" xr:uid="{00000000-0005-0000-0000-00005F0C0000}"/>
    <cellStyle name="Estilo 1 8 2" xfId="4929" xr:uid="{00000000-0005-0000-0000-0000600C0000}"/>
    <cellStyle name="Estilo 1 8 3" xfId="8333" xr:uid="{00000000-0005-0000-0000-0000610C0000}"/>
    <cellStyle name="Estilo 1 8 4" xfId="3292" xr:uid="{00000000-0005-0000-0000-0000620C0000}"/>
    <cellStyle name="Estilo 1 9" xfId="398" xr:uid="{00000000-0005-0000-0000-0000630C0000}"/>
    <cellStyle name="Estilo 1 9 2" xfId="4930" xr:uid="{00000000-0005-0000-0000-0000640C0000}"/>
    <cellStyle name="Estilo 1 9 3" xfId="8334" xr:uid="{00000000-0005-0000-0000-0000650C0000}"/>
    <cellStyle name="Estilo 1 9 4" xfId="3293" xr:uid="{00000000-0005-0000-0000-0000660C0000}"/>
    <cellStyle name="Estilo 1_global_PO" xfId="3294" xr:uid="{00000000-0005-0000-0000-0000670C0000}"/>
    <cellStyle name="Euro" xfId="399" xr:uid="{00000000-0005-0000-0000-0000680C0000}"/>
    <cellStyle name="Euro 10" xfId="2143" xr:uid="{00000000-0005-0000-0000-0000690C0000}"/>
    <cellStyle name="Euro 10 2" xfId="3970" xr:uid="{00000000-0005-0000-0000-00006A0C0000}"/>
    <cellStyle name="Euro 10 3" xfId="7379" xr:uid="{00000000-0005-0000-0000-00006B0C0000}"/>
    <cellStyle name="Euro 11" xfId="2144" xr:uid="{00000000-0005-0000-0000-00006C0C0000}"/>
    <cellStyle name="Euro 11 2" xfId="3971" xr:uid="{00000000-0005-0000-0000-00006D0C0000}"/>
    <cellStyle name="Euro 11 3" xfId="7380" xr:uid="{00000000-0005-0000-0000-00006E0C0000}"/>
    <cellStyle name="Euro 12" xfId="2145" xr:uid="{00000000-0005-0000-0000-00006F0C0000}"/>
    <cellStyle name="Euro 12 2" xfId="3972" xr:uid="{00000000-0005-0000-0000-0000700C0000}"/>
    <cellStyle name="Euro 12 3" xfId="7381" xr:uid="{00000000-0005-0000-0000-0000710C0000}"/>
    <cellStyle name="Euro 13" xfId="2146" xr:uid="{00000000-0005-0000-0000-0000720C0000}"/>
    <cellStyle name="Euro 13 2" xfId="3973" xr:uid="{00000000-0005-0000-0000-0000730C0000}"/>
    <cellStyle name="Euro 13 3" xfId="7382" xr:uid="{00000000-0005-0000-0000-0000740C0000}"/>
    <cellStyle name="Euro 14" xfId="2147" xr:uid="{00000000-0005-0000-0000-0000750C0000}"/>
    <cellStyle name="Euro 14 2" xfId="3974" xr:uid="{00000000-0005-0000-0000-0000760C0000}"/>
    <cellStyle name="Euro 14 3" xfId="7383" xr:uid="{00000000-0005-0000-0000-0000770C0000}"/>
    <cellStyle name="Euro 15" xfId="2148" xr:uid="{00000000-0005-0000-0000-0000780C0000}"/>
    <cellStyle name="Euro 15 2" xfId="3975" xr:uid="{00000000-0005-0000-0000-0000790C0000}"/>
    <cellStyle name="Euro 15 3" xfId="7384" xr:uid="{00000000-0005-0000-0000-00007A0C0000}"/>
    <cellStyle name="Euro 16" xfId="2149" xr:uid="{00000000-0005-0000-0000-00007B0C0000}"/>
    <cellStyle name="Euro 16 2" xfId="3976" xr:uid="{00000000-0005-0000-0000-00007C0C0000}"/>
    <cellStyle name="Euro 16 3" xfId="7385" xr:uid="{00000000-0005-0000-0000-00007D0C0000}"/>
    <cellStyle name="Euro 17" xfId="2150" xr:uid="{00000000-0005-0000-0000-00007E0C0000}"/>
    <cellStyle name="Euro 17 2" xfId="3977" xr:uid="{00000000-0005-0000-0000-00007F0C0000}"/>
    <cellStyle name="Euro 17 3" xfId="7386" xr:uid="{00000000-0005-0000-0000-0000800C0000}"/>
    <cellStyle name="Euro 18" xfId="2151" xr:uid="{00000000-0005-0000-0000-0000810C0000}"/>
    <cellStyle name="Euro 18 2" xfId="3978" xr:uid="{00000000-0005-0000-0000-0000820C0000}"/>
    <cellStyle name="Euro 18 3" xfId="7387" xr:uid="{00000000-0005-0000-0000-0000830C0000}"/>
    <cellStyle name="Euro 19" xfId="2152" xr:uid="{00000000-0005-0000-0000-0000840C0000}"/>
    <cellStyle name="Euro 19 2" xfId="3979" xr:uid="{00000000-0005-0000-0000-0000850C0000}"/>
    <cellStyle name="Euro 19 3" xfId="7388" xr:uid="{00000000-0005-0000-0000-0000860C0000}"/>
    <cellStyle name="Euro 2" xfId="400" xr:uid="{00000000-0005-0000-0000-0000870C0000}"/>
    <cellStyle name="Euro 2 10" xfId="9174" xr:uid="{78B7076C-D2CE-4EA2-933D-40AD508FDA45}"/>
    <cellStyle name="Euro 2 11" xfId="9510" xr:uid="{9C67B6BC-3C79-4C28-8B0B-FEC1CE96ECC5}"/>
    <cellStyle name="Euro 2 2" xfId="401" xr:uid="{00000000-0005-0000-0000-0000880C0000}"/>
    <cellStyle name="Euro 2 2 2" xfId="402" xr:uid="{00000000-0005-0000-0000-0000890C0000}"/>
    <cellStyle name="Euro 2 2 2 2" xfId="3616" xr:uid="{00000000-0005-0000-0000-00008A0C0000}"/>
    <cellStyle name="Euro 2 2 2 3" xfId="5241" xr:uid="{00000000-0005-0000-0000-00008B0C0000}"/>
    <cellStyle name="Euro 2 2 2 4" xfId="7390" xr:uid="{00000000-0005-0000-0000-00008C0C0000}"/>
    <cellStyle name="Euro 2 2 2 5" xfId="2154" xr:uid="{00000000-0005-0000-0000-00008D0C0000}"/>
    <cellStyle name="Euro 2 2 2 6" xfId="9176" xr:uid="{AA8062EC-4727-43EB-AC0A-86ABCF24FCD4}"/>
    <cellStyle name="Euro 2 2 2 7" xfId="9512" xr:uid="{EAD0C3FB-2AB2-478C-825E-ACAF2BB367F5}"/>
    <cellStyle name="Euro 2 2 3" xfId="3980" xr:uid="{00000000-0005-0000-0000-00008E0C0000}"/>
    <cellStyle name="Euro 2 2 4" xfId="6451" xr:uid="{00000000-0005-0000-0000-00008F0C0000}"/>
    <cellStyle name="Euro 2 2 5" xfId="1199" xr:uid="{00000000-0005-0000-0000-0000900C0000}"/>
    <cellStyle name="Euro 2 2 6" xfId="9175" xr:uid="{04D2959D-357B-4520-AAD7-B36C41E8EE50}"/>
    <cellStyle name="Euro 2 2 7" xfId="9511" xr:uid="{1B1EA88A-1A80-474D-A3AB-995E9676EB30}"/>
    <cellStyle name="Euro 2 3" xfId="403" xr:uid="{00000000-0005-0000-0000-0000910C0000}"/>
    <cellStyle name="Euro 2 3 2" xfId="2635" xr:uid="{00000000-0005-0000-0000-0000920C0000}"/>
    <cellStyle name="Euro 2 3 3" xfId="3981" xr:uid="{00000000-0005-0000-0000-0000930C0000}"/>
    <cellStyle name="Euro 2 3 4" xfId="6424" xr:uid="{00000000-0005-0000-0000-0000940C0000}"/>
    <cellStyle name="Euro 2 3 5" xfId="1171" xr:uid="{00000000-0005-0000-0000-0000950C0000}"/>
    <cellStyle name="Euro 2 4" xfId="404" xr:uid="{00000000-0005-0000-0000-0000960C0000}"/>
    <cellStyle name="Euro 2 4 2" xfId="2636" xr:uid="{00000000-0005-0000-0000-0000970C0000}"/>
    <cellStyle name="Euro 2 4 3" xfId="3982" xr:uid="{00000000-0005-0000-0000-0000980C0000}"/>
    <cellStyle name="Euro 2 4 4" xfId="7389" xr:uid="{00000000-0005-0000-0000-0000990C0000}"/>
    <cellStyle name="Euro 2 4 5" xfId="2153" xr:uid="{00000000-0005-0000-0000-00009A0C0000}"/>
    <cellStyle name="Euro 2 5" xfId="405" xr:uid="{00000000-0005-0000-0000-00009B0C0000}"/>
    <cellStyle name="Euro 2 5 2" xfId="3799" xr:uid="{00000000-0005-0000-0000-00009C0C0000}"/>
    <cellStyle name="Euro 2 5 2 2" xfId="6189" xr:uid="{00000000-0005-0000-0000-00009D0C0000}"/>
    <cellStyle name="Euro 2 5 2 3" xfId="8710" xr:uid="{00000000-0005-0000-0000-00009E0C0000}"/>
    <cellStyle name="Euro 2 5 3" xfId="3295" xr:uid="{00000000-0005-0000-0000-00009F0C0000}"/>
    <cellStyle name="Euro 2 5 4" xfId="9177" xr:uid="{D72C7E97-0BE5-4775-9B19-BDB2C889267C}"/>
    <cellStyle name="Euro 2 5 5" xfId="9513" xr:uid="{31ECD222-8254-4893-BF39-A6B812023C3C}"/>
    <cellStyle name="Euro 2 6" xfId="3770" xr:uid="{00000000-0005-0000-0000-0000A00C0000}"/>
    <cellStyle name="Euro 2 6 2" xfId="6165" xr:uid="{00000000-0005-0000-0000-0000A10C0000}"/>
    <cellStyle name="Euro 2 6 3" xfId="8682" xr:uid="{00000000-0005-0000-0000-0000A20C0000}"/>
    <cellStyle name="Euro 2 7" xfId="8887" xr:uid="{00000000-0005-0000-0000-0000A30C0000}"/>
    <cellStyle name="Euro 2 7 2" xfId="9051" xr:uid="{00000000-0005-0000-0000-0000A40C0000}"/>
    <cellStyle name="Euro 2 7 2 2" xfId="9424" xr:uid="{9FA40D1C-9071-4F0E-A4CD-9938ECEED241}"/>
    <cellStyle name="Euro 2 7 2 3" xfId="9760" xr:uid="{28C12D11-388D-43B7-9C28-47FEA30414E5}"/>
    <cellStyle name="Euro 2 7 3" xfId="9270" xr:uid="{30D51377-6E29-47B2-AD01-032292917B1E}"/>
    <cellStyle name="Euro 2 7 4" xfId="9606" xr:uid="{8568B9FF-68CA-4A9E-A72D-9046BA74FA96}"/>
    <cellStyle name="Euro 2 8" xfId="8976" xr:uid="{00000000-0005-0000-0000-0000A50C0000}"/>
    <cellStyle name="Euro 2 8 2" xfId="9349" xr:uid="{8BB103EA-5CD0-4EF7-9755-029066643419}"/>
    <cellStyle name="Euro 2 8 3" xfId="9685" xr:uid="{39CA7027-0140-4D13-BE53-8D4CF24ECCC3}"/>
    <cellStyle name="Euro 2 9" xfId="1076" xr:uid="{00000000-0005-0000-0000-0000A60C0000}"/>
    <cellStyle name="Euro 2 9 2" xfId="9192" xr:uid="{D52BF87D-EF2B-4CF0-9086-39C80C8ECB29}"/>
    <cellStyle name="Euro 2 9 3" xfId="9528" xr:uid="{AC012869-0B20-4B01-9D75-FAD2AD95048B}"/>
    <cellStyle name="Euro 20" xfId="2155" xr:uid="{00000000-0005-0000-0000-0000A70C0000}"/>
    <cellStyle name="Euro 20 2" xfId="3983" xr:uid="{00000000-0005-0000-0000-0000A80C0000}"/>
    <cellStyle name="Euro 20 3" xfId="7391" xr:uid="{00000000-0005-0000-0000-0000A90C0000}"/>
    <cellStyle name="Euro 21" xfId="2156" xr:uid="{00000000-0005-0000-0000-0000AA0C0000}"/>
    <cellStyle name="Euro 21 2" xfId="3984" xr:uid="{00000000-0005-0000-0000-0000AB0C0000}"/>
    <cellStyle name="Euro 21 3" xfId="7392" xr:uid="{00000000-0005-0000-0000-0000AC0C0000}"/>
    <cellStyle name="Euro 22" xfId="2157" xr:uid="{00000000-0005-0000-0000-0000AD0C0000}"/>
    <cellStyle name="Euro 22 2" xfId="3985" xr:uid="{00000000-0005-0000-0000-0000AE0C0000}"/>
    <cellStyle name="Euro 22 3" xfId="7393" xr:uid="{00000000-0005-0000-0000-0000AF0C0000}"/>
    <cellStyle name="Euro 23" xfId="2158" xr:uid="{00000000-0005-0000-0000-0000B00C0000}"/>
    <cellStyle name="Euro 23 2" xfId="3986" xr:uid="{00000000-0005-0000-0000-0000B10C0000}"/>
    <cellStyle name="Euro 23 3" xfId="7394" xr:uid="{00000000-0005-0000-0000-0000B20C0000}"/>
    <cellStyle name="Euro 24" xfId="2159" xr:uid="{00000000-0005-0000-0000-0000B30C0000}"/>
    <cellStyle name="Euro 24 2" xfId="3987" xr:uid="{00000000-0005-0000-0000-0000B40C0000}"/>
    <cellStyle name="Euro 24 3" xfId="7395" xr:uid="{00000000-0005-0000-0000-0000B50C0000}"/>
    <cellStyle name="Euro 25" xfId="2160" xr:uid="{00000000-0005-0000-0000-0000B60C0000}"/>
    <cellStyle name="Euro 25 2" xfId="3988" xr:uid="{00000000-0005-0000-0000-0000B70C0000}"/>
    <cellStyle name="Euro 25 3" xfId="7396" xr:uid="{00000000-0005-0000-0000-0000B80C0000}"/>
    <cellStyle name="Euro 26" xfId="2161" xr:uid="{00000000-0005-0000-0000-0000B90C0000}"/>
    <cellStyle name="Euro 26 2" xfId="3989" xr:uid="{00000000-0005-0000-0000-0000BA0C0000}"/>
    <cellStyle name="Euro 26 3" xfId="7397" xr:uid="{00000000-0005-0000-0000-0000BB0C0000}"/>
    <cellStyle name="Euro 27" xfId="2162" xr:uid="{00000000-0005-0000-0000-0000BC0C0000}"/>
    <cellStyle name="Euro 27 2" xfId="3990" xr:uid="{00000000-0005-0000-0000-0000BD0C0000}"/>
    <cellStyle name="Euro 27 3" xfId="7398" xr:uid="{00000000-0005-0000-0000-0000BE0C0000}"/>
    <cellStyle name="Euro 28" xfId="2163" xr:uid="{00000000-0005-0000-0000-0000BF0C0000}"/>
    <cellStyle name="Euro 28 2" xfId="3991" xr:uid="{00000000-0005-0000-0000-0000C00C0000}"/>
    <cellStyle name="Euro 28 3" xfId="7399" xr:uid="{00000000-0005-0000-0000-0000C10C0000}"/>
    <cellStyle name="Euro 29" xfId="2164" xr:uid="{00000000-0005-0000-0000-0000C20C0000}"/>
    <cellStyle name="Euro 29 2" xfId="3992" xr:uid="{00000000-0005-0000-0000-0000C30C0000}"/>
    <cellStyle name="Euro 29 3" xfId="7400" xr:uid="{00000000-0005-0000-0000-0000C40C0000}"/>
    <cellStyle name="Euro 3" xfId="406" xr:uid="{00000000-0005-0000-0000-0000C50C0000}"/>
    <cellStyle name="Euro 3 10" xfId="1077" xr:uid="{00000000-0005-0000-0000-0000C60C0000}"/>
    <cellStyle name="Euro 3 2" xfId="1078" xr:uid="{00000000-0005-0000-0000-0000C70C0000}"/>
    <cellStyle name="Euro 3 2 2" xfId="1243" xr:uid="{00000000-0005-0000-0000-0000C80C0000}"/>
    <cellStyle name="Euro 3 2 2 2" xfId="6230" xr:uid="{00000000-0005-0000-0000-0000C90C0000}"/>
    <cellStyle name="Euro 3 2 2 3" xfId="6495" xr:uid="{00000000-0005-0000-0000-0000CA0C0000}"/>
    <cellStyle name="Euro 3 2 3" xfId="3994" xr:uid="{00000000-0005-0000-0000-0000CB0C0000}"/>
    <cellStyle name="Euro 3 2 4" xfId="6358" xr:uid="{00000000-0005-0000-0000-0000CC0C0000}"/>
    <cellStyle name="Euro 3 3" xfId="1079" xr:uid="{00000000-0005-0000-0000-0000CD0C0000}"/>
    <cellStyle name="Euro 3 3 2" xfId="2657" xr:uid="{00000000-0005-0000-0000-0000CE0C0000}"/>
    <cellStyle name="Euro 3 3 2 2" xfId="3996" xr:uid="{00000000-0005-0000-0000-0000CF0C0000}"/>
    <cellStyle name="Euro 3 3 2 3" xfId="7867" xr:uid="{00000000-0005-0000-0000-0000D00C0000}"/>
    <cellStyle name="Euro 3 3 3" xfId="3995" xr:uid="{00000000-0005-0000-0000-0000D10C0000}"/>
    <cellStyle name="Euro 3 3 4" xfId="6359" xr:uid="{00000000-0005-0000-0000-0000D20C0000}"/>
    <cellStyle name="Euro 3 4" xfId="1169" xr:uid="{00000000-0005-0000-0000-0000D30C0000}"/>
    <cellStyle name="Euro 3 4 2" xfId="2637" xr:uid="{00000000-0005-0000-0000-0000D40C0000}"/>
    <cellStyle name="Euro 3 4 3" xfId="3997" xr:uid="{00000000-0005-0000-0000-0000D50C0000}"/>
    <cellStyle name="Euro 3 4 4" xfId="6422" xr:uid="{00000000-0005-0000-0000-0000D60C0000}"/>
    <cellStyle name="Euro 3 4 4 2" xfId="8934" xr:uid="{00000000-0005-0000-0000-0000D70C0000}"/>
    <cellStyle name="Euro 3 4 4 2 2" xfId="9098" xr:uid="{00000000-0005-0000-0000-0000D80C0000}"/>
    <cellStyle name="Euro 3 4 4 2 2 2" xfId="9471" xr:uid="{DFD2914C-8F63-46AA-A44D-3AC1A76E53C9}"/>
    <cellStyle name="Euro 3 4 4 2 2 3" xfId="9807" xr:uid="{7F5E10D6-9677-4340-ADDB-8BAD36044665}"/>
    <cellStyle name="Euro 3 4 4 2 3" xfId="9317" xr:uid="{C1D46355-045F-4072-BC5C-BEB108E0EA5F}"/>
    <cellStyle name="Euro 3 4 4 2 4" xfId="9653" xr:uid="{AA77F35F-AC59-408A-81AF-913E90874451}"/>
    <cellStyle name="Euro 3 4 4 3" xfId="9021" xr:uid="{00000000-0005-0000-0000-0000D90C0000}"/>
    <cellStyle name="Euro 3 4 4 3 2" xfId="9394" xr:uid="{0F1942F1-F45F-4EB4-AE56-020E6B21D9BB}"/>
    <cellStyle name="Euro 3 4 4 3 3" xfId="9730" xr:uid="{F4A3BA11-DA1A-4D10-B68E-F24C02BA6764}"/>
    <cellStyle name="Euro 3 4 4 4" xfId="9239" xr:uid="{D7BE68C9-15D2-448D-94DD-B275A456CD46}"/>
    <cellStyle name="Euro 3 4 4 5" xfId="9575" xr:uid="{72472C57-4AE2-4901-8FC5-9334433BD526}"/>
    <cellStyle name="Euro 3 4 5" xfId="8889" xr:uid="{00000000-0005-0000-0000-0000DA0C0000}"/>
    <cellStyle name="Euro 3 4 5 2" xfId="9053" xr:uid="{00000000-0005-0000-0000-0000DB0C0000}"/>
    <cellStyle name="Euro 3 4 5 2 2" xfId="9426" xr:uid="{697B6712-9DC2-49AC-8DDE-9660C722F38F}"/>
    <cellStyle name="Euro 3 4 5 2 3" xfId="9762" xr:uid="{2B7B1921-D62E-4FD7-9DBC-C907218126AE}"/>
    <cellStyle name="Euro 3 4 5 3" xfId="9272" xr:uid="{27940E1F-45B6-4019-A531-E5275C82E7EA}"/>
    <cellStyle name="Euro 3 4 5 4" xfId="9608" xr:uid="{E765242C-6404-4D05-AC5F-3A36AB935888}"/>
    <cellStyle name="Euro 3 4 6" xfId="8978" xr:uid="{00000000-0005-0000-0000-0000DC0C0000}"/>
    <cellStyle name="Euro 3 4 6 2" xfId="9351" xr:uid="{F9887923-BB75-47BA-ACCB-F283FFA04238}"/>
    <cellStyle name="Euro 3 4 6 3" xfId="9687" xr:uid="{101C5D81-6B66-4915-A55B-5F24ED9D9C6D}"/>
    <cellStyle name="Euro 3 4 7" xfId="9194" xr:uid="{37018FC2-86AF-4FF1-BC23-71FFF12E17E6}"/>
    <cellStyle name="Euro 3 4 8" xfId="9530" xr:uid="{DE85CDA1-E372-4383-AEAF-01C9E5F03678}"/>
    <cellStyle name="Euro 3 5" xfId="2165" xr:uid="{00000000-0005-0000-0000-0000DD0C0000}"/>
    <cellStyle name="Euro 3 5 2" xfId="2638" xr:uid="{00000000-0005-0000-0000-0000DE0C0000}"/>
    <cellStyle name="Euro 3 5 2 2" xfId="8897" xr:uid="{00000000-0005-0000-0000-0000DF0C0000}"/>
    <cellStyle name="Euro 3 5 2 2 2" xfId="9061" xr:uid="{00000000-0005-0000-0000-0000E00C0000}"/>
    <cellStyle name="Euro 3 5 2 2 2 2" xfId="9434" xr:uid="{8851D543-394A-40C4-A101-51446F4F98CB}"/>
    <cellStyle name="Euro 3 5 2 2 2 3" xfId="9770" xr:uid="{5793D7D6-333C-4615-9689-548194C5DBD8}"/>
    <cellStyle name="Euro 3 5 2 2 3" xfId="9280" xr:uid="{1744473C-1A8E-4ECD-B77B-6E9815D592F9}"/>
    <cellStyle name="Euro 3 5 2 2 4" xfId="9616" xr:uid="{CAE1D7EA-95E7-4FD9-9FDB-4E6F71626DA8}"/>
    <cellStyle name="Euro 3 5 2 3" xfId="8986" xr:uid="{00000000-0005-0000-0000-0000E10C0000}"/>
    <cellStyle name="Euro 3 5 2 3 2" xfId="9359" xr:uid="{29A03689-418E-46D5-A2F8-6F24D0B5667C}"/>
    <cellStyle name="Euro 3 5 2 3 3" xfId="9695" xr:uid="{42EEF66A-72EA-4188-A90B-12F3B4385AC3}"/>
    <cellStyle name="Euro 3 5 2 4" xfId="9202" xr:uid="{04EE772E-C43F-4254-95C2-1010EEC15734}"/>
    <cellStyle name="Euro 3 5 2 5" xfId="9538" xr:uid="{D6A9EEA3-0626-4341-8741-FD66FEF0B89B}"/>
    <cellStyle name="Euro 3 5 3" xfId="7401" xr:uid="{00000000-0005-0000-0000-0000E20C0000}"/>
    <cellStyle name="Euro 3 6" xfId="3629" xr:uid="{00000000-0005-0000-0000-0000E30C0000}"/>
    <cellStyle name="Euro 3 6 2" xfId="3749" xr:uid="{00000000-0005-0000-0000-0000E40C0000}"/>
    <cellStyle name="Euro 3 6 2 2" xfId="8928" xr:uid="{00000000-0005-0000-0000-0000E50C0000}"/>
    <cellStyle name="Euro 3 6 2 2 2" xfId="9092" xr:uid="{00000000-0005-0000-0000-0000E60C0000}"/>
    <cellStyle name="Euro 3 6 2 2 2 2" xfId="9465" xr:uid="{118A8DD5-3F66-456F-A457-A77DE251F6C6}"/>
    <cellStyle name="Euro 3 6 2 2 2 3" xfId="9801" xr:uid="{DE5669B0-A953-4B71-98A2-26512B127734}"/>
    <cellStyle name="Euro 3 6 2 2 3" xfId="9311" xr:uid="{8614DBA0-F837-4DAC-B45D-8F8AC6AD4461}"/>
    <cellStyle name="Euro 3 6 2 2 4" xfId="9647" xr:uid="{732C1637-4AC2-43C7-AEFD-0792AF42C377}"/>
    <cellStyle name="Euro 3 6 2 3" xfId="9015" xr:uid="{00000000-0005-0000-0000-0000E70C0000}"/>
    <cellStyle name="Euro 3 6 2 3 2" xfId="9388" xr:uid="{8C7BD5E4-3625-4CA1-B949-791BE04D795D}"/>
    <cellStyle name="Euro 3 6 2 3 3" xfId="9724" xr:uid="{85207AD5-D72C-438B-A398-E3B9C5A2BB6E}"/>
    <cellStyle name="Euro 3 6 2 4" xfId="9233" xr:uid="{B3046187-0C36-4CC3-9D45-23A0F574A213}"/>
    <cellStyle name="Euro 3 6 2 5" xfId="9569" xr:uid="{6F128B1D-65BA-450E-A771-1FD765A6C416}"/>
    <cellStyle name="Euro 3 6 3" xfId="5280" xr:uid="{00000000-0005-0000-0000-0000E80C0000}"/>
    <cellStyle name="Euro 3 6 4" xfId="8596" xr:uid="{00000000-0005-0000-0000-0000E90C0000}"/>
    <cellStyle name="Euro 3 7" xfId="3798" xr:uid="{00000000-0005-0000-0000-0000EA0C0000}"/>
    <cellStyle name="Euro 3 7 2" xfId="6188" xr:uid="{00000000-0005-0000-0000-0000EB0C0000}"/>
    <cellStyle name="Euro 3 7 3" xfId="8709" xr:uid="{00000000-0005-0000-0000-0000EC0C0000}"/>
    <cellStyle name="Euro 3 8" xfId="3993" xr:uid="{00000000-0005-0000-0000-0000ED0C0000}"/>
    <cellStyle name="Euro 3 9" xfId="6357" xr:uid="{00000000-0005-0000-0000-0000EE0C0000}"/>
    <cellStyle name="Euro 30" xfId="2166" xr:uid="{00000000-0005-0000-0000-0000EF0C0000}"/>
    <cellStyle name="Euro 30 2" xfId="3998" xr:uid="{00000000-0005-0000-0000-0000F00C0000}"/>
    <cellStyle name="Euro 30 3" xfId="7402" xr:uid="{00000000-0005-0000-0000-0000F10C0000}"/>
    <cellStyle name="Euro 31" xfId="2167" xr:uid="{00000000-0005-0000-0000-0000F20C0000}"/>
    <cellStyle name="Euro 31 2" xfId="3999" xr:uid="{00000000-0005-0000-0000-0000F30C0000}"/>
    <cellStyle name="Euro 31 3" xfId="7403" xr:uid="{00000000-0005-0000-0000-0000F40C0000}"/>
    <cellStyle name="Euro 32" xfId="2168" xr:uid="{00000000-0005-0000-0000-0000F50C0000}"/>
    <cellStyle name="Euro 32 2" xfId="4000" xr:uid="{00000000-0005-0000-0000-0000F60C0000}"/>
    <cellStyle name="Euro 32 3" xfId="7404" xr:uid="{00000000-0005-0000-0000-0000F70C0000}"/>
    <cellStyle name="Euro 33" xfId="2169" xr:uid="{00000000-0005-0000-0000-0000F80C0000}"/>
    <cellStyle name="Euro 33 2" xfId="4001" xr:uid="{00000000-0005-0000-0000-0000F90C0000}"/>
    <cellStyle name="Euro 33 3" xfId="7405" xr:uid="{00000000-0005-0000-0000-0000FA0C0000}"/>
    <cellStyle name="Euro 34" xfId="2170" xr:uid="{00000000-0005-0000-0000-0000FB0C0000}"/>
    <cellStyle name="Euro 34 2" xfId="4002" xr:uid="{00000000-0005-0000-0000-0000FC0C0000}"/>
    <cellStyle name="Euro 34 3" xfId="7406" xr:uid="{00000000-0005-0000-0000-0000FD0C0000}"/>
    <cellStyle name="Euro 35" xfId="2171" xr:uid="{00000000-0005-0000-0000-0000FE0C0000}"/>
    <cellStyle name="Euro 35 2" xfId="4003" xr:uid="{00000000-0005-0000-0000-0000FF0C0000}"/>
    <cellStyle name="Euro 35 3" xfId="7407" xr:uid="{00000000-0005-0000-0000-0000000D0000}"/>
    <cellStyle name="Euro 36" xfId="2172" xr:uid="{00000000-0005-0000-0000-0000010D0000}"/>
    <cellStyle name="Euro 36 2" xfId="4004" xr:uid="{00000000-0005-0000-0000-0000020D0000}"/>
    <cellStyle name="Euro 36 3" xfId="7408" xr:uid="{00000000-0005-0000-0000-0000030D0000}"/>
    <cellStyle name="Euro 37" xfId="2173" xr:uid="{00000000-0005-0000-0000-0000040D0000}"/>
    <cellStyle name="Euro 37 2" xfId="4005" xr:uid="{00000000-0005-0000-0000-0000050D0000}"/>
    <cellStyle name="Euro 37 3" xfId="7409" xr:uid="{00000000-0005-0000-0000-0000060D0000}"/>
    <cellStyle name="Euro 38" xfId="2174" xr:uid="{00000000-0005-0000-0000-0000070D0000}"/>
    <cellStyle name="Euro 38 2" xfId="4006" xr:uid="{00000000-0005-0000-0000-0000080D0000}"/>
    <cellStyle name="Euro 38 3" xfId="7410" xr:uid="{00000000-0005-0000-0000-0000090D0000}"/>
    <cellStyle name="Euro 39" xfId="2175" xr:uid="{00000000-0005-0000-0000-00000A0D0000}"/>
    <cellStyle name="Euro 39 2" xfId="4007" xr:uid="{00000000-0005-0000-0000-00000B0D0000}"/>
    <cellStyle name="Euro 39 3" xfId="7411" xr:uid="{00000000-0005-0000-0000-00000C0D0000}"/>
    <cellStyle name="Euro 4" xfId="407" xr:uid="{00000000-0005-0000-0000-00000D0D0000}"/>
    <cellStyle name="Euro 4 2" xfId="2176" xr:uid="{00000000-0005-0000-0000-00000E0D0000}"/>
    <cellStyle name="Euro 4 2 2" xfId="3656" xr:uid="{00000000-0005-0000-0000-00000F0D0000}"/>
    <cellStyle name="Euro 4 2 3" xfId="5330" xr:uid="{00000000-0005-0000-0000-0000100D0000}"/>
    <cellStyle name="Euro 4 2 4" xfId="7412" xr:uid="{00000000-0005-0000-0000-0000110D0000}"/>
    <cellStyle name="Euro 4 3" xfId="4008" xr:uid="{00000000-0005-0000-0000-0000120D0000}"/>
    <cellStyle name="Euro 4 4" xfId="6546" xr:uid="{00000000-0005-0000-0000-0000130D0000}"/>
    <cellStyle name="Euro 4 5" xfId="1294" xr:uid="{00000000-0005-0000-0000-0000140D0000}"/>
    <cellStyle name="Euro 40" xfId="2177" xr:uid="{00000000-0005-0000-0000-0000150D0000}"/>
    <cellStyle name="Euro 40 2" xfId="4009" xr:uid="{00000000-0005-0000-0000-0000160D0000}"/>
    <cellStyle name="Euro 40 3" xfId="7413" xr:uid="{00000000-0005-0000-0000-0000170D0000}"/>
    <cellStyle name="Euro 41" xfId="2178" xr:uid="{00000000-0005-0000-0000-0000180D0000}"/>
    <cellStyle name="Euro 41 2" xfId="4010" xr:uid="{00000000-0005-0000-0000-0000190D0000}"/>
    <cellStyle name="Euro 41 3" xfId="7414" xr:uid="{00000000-0005-0000-0000-00001A0D0000}"/>
    <cellStyle name="Euro 42" xfId="2179" xr:uid="{00000000-0005-0000-0000-00001B0D0000}"/>
    <cellStyle name="Euro 42 2" xfId="4011" xr:uid="{00000000-0005-0000-0000-00001C0D0000}"/>
    <cellStyle name="Euro 42 3" xfId="7415" xr:uid="{00000000-0005-0000-0000-00001D0D0000}"/>
    <cellStyle name="Euro 43" xfId="2180" xr:uid="{00000000-0005-0000-0000-00001E0D0000}"/>
    <cellStyle name="Euro 43 2" xfId="4012" xr:uid="{00000000-0005-0000-0000-00001F0D0000}"/>
    <cellStyle name="Euro 43 3" xfId="7416" xr:uid="{00000000-0005-0000-0000-0000200D0000}"/>
    <cellStyle name="Euro 44" xfId="2181" xr:uid="{00000000-0005-0000-0000-0000210D0000}"/>
    <cellStyle name="Euro 44 2" xfId="4013" xr:uid="{00000000-0005-0000-0000-0000220D0000}"/>
    <cellStyle name="Euro 44 3" xfId="7417" xr:uid="{00000000-0005-0000-0000-0000230D0000}"/>
    <cellStyle name="Euro 45" xfId="2182" xr:uid="{00000000-0005-0000-0000-0000240D0000}"/>
    <cellStyle name="Euro 45 2" xfId="4014" xr:uid="{00000000-0005-0000-0000-0000250D0000}"/>
    <cellStyle name="Euro 45 3" xfId="7418" xr:uid="{00000000-0005-0000-0000-0000260D0000}"/>
    <cellStyle name="Euro 46" xfId="2183" xr:uid="{00000000-0005-0000-0000-0000270D0000}"/>
    <cellStyle name="Euro 46 2" xfId="4015" xr:uid="{00000000-0005-0000-0000-0000280D0000}"/>
    <cellStyle name="Euro 46 3" xfId="7419" xr:uid="{00000000-0005-0000-0000-0000290D0000}"/>
    <cellStyle name="Euro 47" xfId="2184" xr:uid="{00000000-0005-0000-0000-00002A0D0000}"/>
    <cellStyle name="Euro 47 2" xfId="4016" xr:uid="{00000000-0005-0000-0000-00002B0D0000}"/>
    <cellStyle name="Euro 47 3" xfId="7420" xr:uid="{00000000-0005-0000-0000-00002C0D0000}"/>
    <cellStyle name="Euro 48" xfId="2185" xr:uid="{00000000-0005-0000-0000-00002D0D0000}"/>
    <cellStyle name="Euro 48 2" xfId="4017" xr:uid="{00000000-0005-0000-0000-00002E0D0000}"/>
    <cellStyle name="Euro 48 3" xfId="7421" xr:uid="{00000000-0005-0000-0000-00002F0D0000}"/>
    <cellStyle name="Euro 49" xfId="2186" xr:uid="{00000000-0005-0000-0000-0000300D0000}"/>
    <cellStyle name="Euro 49 2" xfId="4018" xr:uid="{00000000-0005-0000-0000-0000310D0000}"/>
    <cellStyle name="Euro 49 3" xfId="7422" xr:uid="{00000000-0005-0000-0000-0000320D0000}"/>
    <cellStyle name="Euro 5" xfId="408" xr:uid="{00000000-0005-0000-0000-0000330D0000}"/>
    <cellStyle name="Euro 5 2" xfId="2187" xr:uid="{00000000-0005-0000-0000-0000340D0000}"/>
    <cellStyle name="Euro 5 2 2" xfId="3674" xr:uid="{00000000-0005-0000-0000-0000350D0000}"/>
    <cellStyle name="Euro 5 2 3" xfId="5471" xr:uid="{00000000-0005-0000-0000-0000360D0000}"/>
    <cellStyle name="Euro 5 2 4" xfId="7423" xr:uid="{00000000-0005-0000-0000-0000370D0000}"/>
    <cellStyle name="Euro 5 3" xfId="4019" xr:uid="{00000000-0005-0000-0000-0000380D0000}"/>
    <cellStyle name="Euro 5 4" xfId="6694" xr:uid="{00000000-0005-0000-0000-0000390D0000}"/>
    <cellStyle name="Euro 5 5" xfId="1442" xr:uid="{00000000-0005-0000-0000-00003A0D0000}"/>
    <cellStyle name="Euro 50" xfId="2188" xr:uid="{00000000-0005-0000-0000-00003B0D0000}"/>
    <cellStyle name="Euro 50 2" xfId="4020" xr:uid="{00000000-0005-0000-0000-00003C0D0000}"/>
    <cellStyle name="Euro 50 3" xfId="7424" xr:uid="{00000000-0005-0000-0000-00003D0D0000}"/>
    <cellStyle name="Euro 51" xfId="2189" xr:uid="{00000000-0005-0000-0000-00003E0D0000}"/>
    <cellStyle name="Euro 51 2" xfId="4021" xr:uid="{00000000-0005-0000-0000-00003F0D0000}"/>
    <cellStyle name="Euro 51 3" xfId="7425" xr:uid="{00000000-0005-0000-0000-0000400D0000}"/>
    <cellStyle name="Euro 52" xfId="2190" xr:uid="{00000000-0005-0000-0000-0000410D0000}"/>
    <cellStyle name="Euro 52 2" xfId="4022" xr:uid="{00000000-0005-0000-0000-0000420D0000}"/>
    <cellStyle name="Euro 52 3" xfId="7426" xr:uid="{00000000-0005-0000-0000-0000430D0000}"/>
    <cellStyle name="Euro 53" xfId="2191" xr:uid="{00000000-0005-0000-0000-0000440D0000}"/>
    <cellStyle name="Euro 53 2" xfId="8895" xr:uid="{00000000-0005-0000-0000-0000450D0000}"/>
    <cellStyle name="Euro 53 2 2" xfId="9059" xr:uid="{00000000-0005-0000-0000-0000460D0000}"/>
    <cellStyle name="Euro 53 2 2 2" xfId="9432" xr:uid="{517EB8D8-4EC4-421E-96DE-6DB479E339A0}"/>
    <cellStyle name="Euro 53 2 2 3" xfId="9768" xr:uid="{C9C6A191-5975-4A6A-B3BF-799970068C05}"/>
    <cellStyle name="Euro 53 2 3" xfId="9278" xr:uid="{7B2C3DDA-B66E-47F8-831F-62AD7D223B13}"/>
    <cellStyle name="Euro 53 2 4" xfId="9614" xr:uid="{218CCB0E-A120-460F-94EB-D5FDFB024756}"/>
    <cellStyle name="Euro 53 3" xfId="8984" xr:uid="{00000000-0005-0000-0000-0000470D0000}"/>
    <cellStyle name="Euro 53 3 2" xfId="9357" xr:uid="{B12B2351-2027-43BE-8E53-839DAD635757}"/>
    <cellStyle name="Euro 53 3 3" xfId="9693" xr:uid="{11AC49FA-9156-4B55-B5AD-EFBDC74A50BE}"/>
    <cellStyle name="Euro 53 4" xfId="9200" xr:uid="{7EDA4024-D212-477C-9242-88E2127E7855}"/>
    <cellStyle name="Euro 53 5" xfId="9536" xr:uid="{58DA0594-4473-4DE8-BFB4-9E9AB00EF581}"/>
    <cellStyle name="Euro 54" xfId="2192" xr:uid="{00000000-0005-0000-0000-0000480D0000}"/>
    <cellStyle name="Euro 54 2" xfId="4023" xr:uid="{00000000-0005-0000-0000-0000490D0000}"/>
    <cellStyle name="Euro 54 3" xfId="7427" xr:uid="{00000000-0005-0000-0000-00004A0D0000}"/>
    <cellStyle name="Euro 55" xfId="2193" xr:uid="{00000000-0005-0000-0000-00004B0D0000}"/>
    <cellStyle name="Euro 55 2" xfId="8896" xr:uid="{00000000-0005-0000-0000-00004C0D0000}"/>
    <cellStyle name="Euro 55 2 2" xfId="9060" xr:uid="{00000000-0005-0000-0000-00004D0D0000}"/>
    <cellStyle name="Euro 55 2 2 2" xfId="9433" xr:uid="{347C5DD3-4A34-41FF-B6FF-113E6FC3AC1D}"/>
    <cellStyle name="Euro 55 2 2 3" xfId="9769" xr:uid="{8EFB3878-8081-4FA0-99EF-72511C0E83D2}"/>
    <cellStyle name="Euro 55 2 3" xfId="9279" xr:uid="{7A10FF21-F5C1-4683-B90B-50129667951D}"/>
    <cellStyle name="Euro 55 2 4" xfId="9615" xr:uid="{1DC4A45D-8D09-48AB-AA71-2A57F7235BDC}"/>
    <cellStyle name="Euro 55 3" xfId="8985" xr:uid="{00000000-0005-0000-0000-00004E0D0000}"/>
    <cellStyle name="Euro 55 3 2" xfId="9358" xr:uid="{20AD793F-8680-4148-A59B-F3817E6004EF}"/>
    <cellStyle name="Euro 55 3 3" xfId="9694" xr:uid="{508DDB83-4A68-4BAA-A23C-DD9AF0541BDD}"/>
    <cellStyle name="Euro 55 4" xfId="9201" xr:uid="{F16EB1A1-31F6-45E5-BD9E-147809297D1E}"/>
    <cellStyle name="Euro 55 5" xfId="9537" xr:uid="{81D75129-C87F-4EED-AD71-D6ED095C914E}"/>
    <cellStyle name="Euro 56" xfId="2142" xr:uid="{00000000-0005-0000-0000-00004F0D0000}"/>
    <cellStyle name="Euro 56 2" xfId="4024" xr:uid="{00000000-0005-0000-0000-0000500D0000}"/>
    <cellStyle name="Euro 56 3" xfId="7378" xr:uid="{00000000-0005-0000-0000-0000510D0000}"/>
    <cellStyle name="Euro 57" xfId="2639" xr:uid="{00000000-0005-0000-0000-0000520D0000}"/>
    <cellStyle name="Euro 57 2" xfId="4025" xr:uid="{00000000-0005-0000-0000-0000530D0000}"/>
    <cellStyle name="Euro 57 3" xfId="7851" xr:uid="{00000000-0005-0000-0000-0000540D0000}"/>
    <cellStyle name="Euro 58" xfId="2558" xr:uid="{00000000-0005-0000-0000-0000550D0000}"/>
    <cellStyle name="Euro 58 2" xfId="4026" xr:uid="{00000000-0005-0000-0000-0000560D0000}"/>
    <cellStyle name="Euro 58 3" xfId="7781" xr:uid="{00000000-0005-0000-0000-0000570D0000}"/>
    <cellStyle name="Euro 59" xfId="6356" xr:uid="{00000000-0005-0000-0000-0000580D0000}"/>
    <cellStyle name="Euro 6" xfId="409" xr:uid="{00000000-0005-0000-0000-0000590D0000}"/>
    <cellStyle name="Euro 6 2" xfId="2194" xr:uid="{00000000-0005-0000-0000-00005A0D0000}"/>
    <cellStyle name="Euro 6 2 2" xfId="3688" xr:uid="{00000000-0005-0000-0000-00005B0D0000}"/>
    <cellStyle name="Euro 6 2 3" xfId="5585" xr:uid="{00000000-0005-0000-0000-00005C0D0000}"/>
    <cellStyle name="Euro 6 2 4" xfId="7428" xr:uid="{00000000-0005-0000-0000-00005D0D0000}"/>
    <cellStyle name="Euro 6 3" xfId="4027" xr:uid="{00000000-0005-0000-0000-00005E0D0000}"/>
    <cellStyle name="Euro 6 4" xfId="6810" xr:uid="{00000000-0005-0000-0000-00005F0D0000}"/>
    <cellStyle name="Euro 6 5" xfId="1559" xr:uid="{00000000-0005-0000-0000-0000600D0000}"/>
    <cellStyle name="Euro 60" xfId="1075" xr:uid="{00000000-0005-0000-0000-0000610D0000}"/>
    <cellStyle name="Euro 7" xfId="1990" xr:uid="{00000000-0005-0000-0000-0000620D0000}"/>
    <cellStyle name="Euro 7 2" xfId="2195" xr:uid="{00000000-0005-0000-0000-0000630D0000}"/>
    <cellStyle name="Euro 7 2 2" xfId="3709" xr:uid="{00000000-0005-0000-0000-0000640D0000}"/>
    <cellStyle name="Euro 7 2 3" xfId="6009" xr:uid="{00000000-0005-0000-0000-0000650D0000}"/>
    <cellStyle name="Euro 7 2 4" xfId="7429" xr:uid="{00000000-0005-0000-0000-0000660D0000}"/>
    <cellStyle name="Euro 7 3" xfId="4028" xr:uid="{00000000-0005-0000-0000-0000670D0000}"/>
    <cellStyle name="Euro 7 4" xfId="7237" xr:uid="{00000000-0005-0000-0000-0000680D0000}"/>
    <cellStyle name="Euro 8" xfId="1173" xr:uid="{00000000-0005-0000-0000-0000690D0000}"/>
    <cellStyle name="Euro 8 2" xfId="2196" xr:uid="{00000000-0005-0000-0000-00006A0D0000}"/>
    <cellStyle name="Euro 8 2 2" xfId="3567" xr:uid="{00000000-0005-0000-0000-00006B0D0000}"/>
    <cellStyle name="Euro 8 2 3" xfId="5179" xr:uid="{00000000-0005-0000-0000-00006C0D0000}"/>
    <cellStyle name="Euro 8 2 4" xfId="7430" xr:uid="{00000000-0005-0000-0000-00006D0D0000}"/>
    <cellStyle name="Euro 8 3" xfId="4029" xr:uid="{00000000-0005-0000-0000-00006E0D0000}"/>
    <cellStyle name="Euro 8 4" xfId="6426" xr:uid="{00000000-0005-0000-0000-00006F0D0000}"/>
    <cellStyle name="Euro 9" xfId="1160" xr:uid="{00000000-0005-0000-0000-0000700D0000}"/>
    <cellStyle name="Euro 9 2" xfId="2197" xr:uid="{00000000-0005-0000-0000-0000710D0000}"/>
    <cellStyle name="Euro 9 2 2" xfId="3563" xr:uid="{00000000-0005-0000-0000-0000720D0000}"/>
    <cellStyle name="Euro 9 2 2 2" xfId="8925" xr:uid="{00000000-0005-0000-0000-0000730D0000}"/>
    <cellStyle name="Euro 9 2 2 2 2" xfId="9089" xr:uid="{00000000-0005-0000-0000-0000740D0000}"/>
    <cellStyle name="Euro 9 2 2 2 2 2" xfId="9462" xr:uid="{FCA3D128-7BA3-443F-AC4E-D4CBB61259B4}"/>
    <cellStyle name="Euro 9 2 2 2 2 3" xfId="9798" xr:uid="{8CDBFFDB-F936-4DB5-AD7D-12A95DDED5B3}"/>
    <cellStyle name="Euro 9 2 2 2 3" xfId="9308" xr:uid="{C6F02C3D-59AF-46AB-BACF-4A6A2C99D835}"/>
    <cellStyle name="Euro 9 2 2 2 4" xfId="9644" xr:uid="{0FCFCF31-ACC6-4F47-8EAD-F2ED4E69CA62}"/>
    <cellStyle name="Euro 9 2 2 3" xfId="9012" xr:uid="{00000000-0005-0000-0000-0000750D0000}"/>
    <cellStyle name="Euro 9 2 2 3 2" xfId="9385" xr:uid="{593B5377-CF8E-4FF3-B205-77E7072C3A0B}"/>
    <cellStyle name="Euro 9 2 2 3 3" xfId="9721" xr:uid="{2081D615-4F81-42AE-B6F5-B97C0CD6BDB6}"/>
    <cellStyle name="Euro 9 2 2 4" xfId="9230" xr:uid="{E9E71FA1-9DFC-46F2-888A-4F30E5098044}"/>
    <cellStyle name="Euro 9 2 2 5" xfId="9566" xr:uid="{99D455E4-F318-46B2-B6BD-241CEB47BB3A}"/>
    <cellStyle name="Euro 9 2 3" xfId="7431" xr:uid="{00000000-0005-0000-0000-0000760D0000}"/>
    <cellStyle name="Euro 9 3" xfId="4030" xr:uid="{00000000-0005-0000-0000-0000770D0000}"/>
    <cellStyle name="Euro 9 4" xfId="8888" xr:uid="{00000000-0005-0000-0000-0000780D0000}"/>
    <cellStyle name="Euro 9 4 2" xfId="9052" xr:uid="{00000000-0005-0000-0000-0000790D0000}"/>
    <cellStyle name="Euro 9 4 2 2" xfId="9425" xr:uid="{D066C921-9AE0-4C84-9B5A-780EE568D2F6}"/>
    <cellStyle name="Euro 9 4 2 3" xfId="9761" xr:uid="{0CFCC43A-5468-4D10-B401-04D4B8B61CF2}"/>
    <cellStyle name="Euro 9 4 3" xfId="9271" xr:uid="{315B8D8D-B20A-4FCB-8DDE-6CAA366660AE}"/>
    <cellStyle name="Euro 9 4 4" xfId="9607" xr:uid="{7504F1ED-A7FA-42EE-88C7-FF94FFA1AAB2}"/>
    <cellStyle name="Euro 9 5" xfId="8977" xr:uid="{00000000-0005-0000-0000-00007A0D0000}"/>
    <cellStyle name="Euro 9 5 2" xfId="9350" xr:uid="{20EF47C1-E5C6-4B58-A7E6-BE80483A3F38}"/>
    <cellStyle name="Euro 9 5 3" xfId="9686" xr:uid="{40879B03-D410-4747-978D-FA83A78CEA85}"/>
    <cellStyle name="Euro 9 6" xfId="9193" xr:uid="{EA2E7F72-171D-4F97-A26F-39BEB1D1B1D6}"/>
    <cellStyle name="Euro 9 7" xfId="9529" xr:uid="{81B20F69-F192-4C31-B853-B4E97A6193BC}"/>
    <cellStyle name="Euro_07_05_22 SEMENTES COLZA ROMÉNIA" xfId="410" xr:uid="{00000000-0005-0000-0000-00007B0D0000}"/>
    <cellStyle name="Excel Built-in 20% - Accent1" xfId="2670" xr:uid="{00000000-0005-0000-0000-00007C0D0000}"/>
    <cellStyle name="Excel Built-in Comma" xfId="2669" xr:uid="{00000000-0005-0000-0000-00007D0D0000}"/>
    <cellStyle name="Excel Built-in Heading 1" xfId="2668" xr:uid="{00000000-0005-0000-0000-00007E0D0000}"/>
    <cellStyle name="Excel Built-in Normal" xfId="2198" xr:uid="{00000000-0005-0000-0000-00007F0D0000}"/>
    <cellStyle name="Excel Built-in Normal 2" xfId="4031" xr:uid="{00000000-0005-0000-0000-0000800D0000}"/>
    <cellStyle name="Excel Built-in Normal 3" xfId="7432" xr:uid="{00000000-0005-0000-0000-0000810D0000}"/>
    <cellStyle name="Exception" xfId="411" xr:uid="{00000000-0005-0000-0000-0000820D0000}"/>
    <cellStyle name="Explanatory Text" xfId="412" xr:uid="{00000000-0005-0000-0000-0000830D0000}"/>
    <cellStyle name="Explanatory Text 2" xfId="1080" xr:uid="{00000000-0005-0000-0000-0000840D0000}"/>
    <cellStyle name="Explanatory Text 2 2" xfId="3584" xr:uid="{00000000-0005-0000-0000-0000850D0000}"/>
    <cellStyle name="Explanatory Text 2 2 2" xfId="5196" xr:uid="{00000000-0005-0000-0000-0000860D0000}"/>
    <cellStyle name="Explanatory Text 2 2 3" xfId="8568" xr:uid="{00000000-0005-0000-0000-0000870D0000}"/>
    <cellStyle name="Explanatory Text 2 3" xfId="3296" xr:uid="{00000000-0005-0000-0000-0000880D0000}"/>
    <cellStyle name="Explanatory Text 2 3 2" xfId="4931" xr:uid="{00000000-0005-0000-0000-0000890D0000}"/>
    <cellStyle name="Explanatory Text 2 3 3" xfId="8335" xr:uid="{00000000-0005-0000-0000-00008A0D0000}"/>
    <cellStyle name="Explanatory Text 2 4" xfId="4033" xr:uid="{00000000-0005-0000-0000-00008B0D0000}"/>
    <cellStyle name="Explanatory Text 2 5" xfId="6360" xr:uid="{00000000-0005-0000-0000-00008C0D0000}"/>
    <cellStyle name="Explanatory Text 3" xfId="3297" xr:uid="{00000000-0005-0000-0000-00008D0D0000}"/>
    <cellStyle name="Explanatory Text 3 2" xfId="4932" xr:uid="{00000000-0005-0000-0000-00008E0D0000}"/>
    <cellStyle name="Explanatory Text 3 3" xfId="8336" xr:uid="{00000000-0005-0000-0000-00008F0D0000}"/>
    <cellStyle name="Explanatory Text 4" xfId="3298" xr:uid="{00000000-0005-0000-0000-0000900D0000}"/>
    <cellStyle name="Explanatory Text 4 2" xfId="4933" xr:uid="{00000000-0005-0000-0000-0000910D0000}"/>
    <cellStyle name="Explanatory Text 4 3" xfId="8337" xr:uid="{00000000-0005-0000-0000-0000920D0000}"/>
    <cellStyle name="Explanatory Text 5" xfId="3299" xr:uid="{00000000-0005-0000-0000-0000930D0000}"/>
    <cellStyle name="Explanatory Text 5 2" xfId="4934" xr:uid="{00000000-0005-0000-0000-0000940D0000}"/>
    <cellStyle name="Explanatory Text 5 3" xfId="8338" xr:uid="{00000000-0005-0000-0000-0000950D0000}"/>
    <cellStyle name="Explanatory Text 6" xfId="3300" xr:uid="{00000000-0005-0000-0000-0000960D0000}"/>
    <cellStyle name="Explanatory Text 6 2" xfId="4935" xr:uid="{00000000-0005-0000-0000-0000970D0000}"/>
    <cellStyle name="Explanatory Text 6 3" xfId="8339" xr:uid="{00000000-0005-0000-0000-0000980D0000}"/>
    <cellStyle name="Explanatory Text 7" xfId="4032" xr:uid="{00000000-0005-0000-0000-0000990D0000}"/>
    <cellStyle name="Explanatory Text 8" xfId="7801" xr:uid="{00000000-0005-0000-0000-00009A0D0000}"/>
    <cellStyle name="Explanatory Text 9" xfId="2583" xr:uid="{00000000-0005-0000-0000-00009B0D0000}"/>
    <cellStyle name="Factor" xfId="2199" xr:uid="{00000000-0005-0000-0000-00009C0D0000}"/>
    <cellStyle name="Feeder Field" xfId="413" xr:uid="{00000000-0005-0000-0000-00009D0D0000}"/>
    <cellStyle name="FIXED" xfId="414" xr:uid="{00000000-0005-0000-0000-00009E0D0000}"/>
    <cellStyle name="Fixed 2" xfId="3302" xr:uid="{00000000-0005-0000-0000-00009F0D0000}"/>
    <cellStyle name="Fixed 3" xfId="3303" xr:uid="{00000000-0005-0000-0000-0000A00D0000}"/>
    <cellStyle name="Fixed 4" xfId="3304" xr:uid="{00000000-0005-0000-0000-0000A10D0000}"/>
    <cellStyle name="Fixed 5" xfId="3301" xr:uid="{00000000-0005-0000-0000-0000A20D0000}"/>
    <cellStyle name="Good" xfId="415" xr:uid="{00000000-0005-0000-0000-0000A30D0000}"/>
    <cellStyle name="Good 2" xfId="1081" xr:uid="{00000000-0005-0000-0000-0000A40D0000}"/>
    <cellStyle name="Good 2 2" xfId="3575" xr:uid="{00000000-0005-0000-0000-0000A50D0000}"/>
    <cellStyle name="Good 2 2 2" xfId="5187" xr:uid="{00000000-0005-0000-0000-0000A60D0000}"/>
    <cellStyle name="Good 2 2 3" xfId="8559" xr:uid="{00000000-0005-0000-0000-0000A70D0000}"/>
    <cellStyle name="Good 2 3" xfId="3306" xr:uid="{00000000-0005-0000-0000-0000A80D0000}"/>
    <cellStyle name="Good 2 3 2" xfId="4937" xr:uid="{00000000-0005-0000-0000-0000A90D0000}"/>
    <cellStyle name="Good 2 3 3" xfId="8341" xr:uid="{00000000-0005-0000-0000-0000AA0D0000}"/>
    <cellStyle name="Good 2 4" xfId="4035" xr:uid="{00000000-0005-0000-0000-0000AB0D0000}"/>
    <cellStyle name="Good 2 5" xfId="6361" xr:uid="{00000000-0005-0000-0000-0000AC0D0000}"/>
    <cellStyle name="Good 3" xfId="3307" xr:uid="{00000000-0005-0000-0000-0000AD0D0000}"/>
    <cellStyle name="Good 3 2" xfId="4938" xr:uid="{00000000-0005-0000-0000-0000AE0D0000}"/>
    <cellStyle name="Good 3 3" xfId="8342" xr:uid="{00000000-0005-0000-0000-0000AF0D0000}"/>
    <cellStyle name="Good 4" xfId="3308" xr:uid="{00000000-0005-0000-0000-0000B00D0000}"/>
    <cellStyle name="Good 4 2" xfId="4939" xr:uid="{00000000-0005-0000-0000-0000B10D0000}"/>
    <cellStyle name="Good 4 3" xfId="8343" xr:uid="{00000000-0005-0000-0000-0000B20D0000}"/>
    <cellStyle name="Good 5" xfId="3309" xr:uid="{00000000-0005-0000-0000-0000B30D0000}"/>
    <cellStyle name="Good 5 2" xfId="4940" xr:uid="{00000000-0005-0000-0000-0000B40D0000}"/>
    <cellStyle name="Good 5 3" xfId="8344" xr:uid="{00000000-0005-0000-0000-0000B50D0000}"/>
    <cellStyle name="Good 6" xfId="3310" xr:uid="{00000000-0005-0000-0000-0000B60D0000}"/>
    <cellStyle name="Good 6 2" xfId="4941" xr:uid="{00000000-0005-0000-0000-0000B70D0000}"/>
    <cellStyle name="Good 6 3" xfId="8345" xr:uid="{00000000-0005-0000-0000-0000B80D0000}"/>
    <cellStyle name="Good 7" xfId="3305" xr:uid="{00000000-0005-0000-0000-0000B90D0000}"/>
    <cellStyle name="Good 7 2" xfId="4936" xr:uid="{00000000-0005-0000-0000-0000BA0D0000}"/>
    <cellStyle name="Good 7 3" xfId="8340" xr:uid="{00000000-0005-0000-0000-0000BB0D0000}"/>
    <cellStyle name="Good 8" xfId="4034" xr:uid="{00000000-0005-0000-0000-0000BC0D0000}"/>
    <cellStyle name="Good 9" xfId="2582" xr:uid="{00000000-0005-0000-0000-0000BD0D0000}"/>
    <cellStyle name="Grey" xfId="416" xr:uid="{00000000-0005-0000-0000-0000BE0D0000}"/>
    <cellStyle name="Greyed out" xfId="417" xr:uid="{00000000-0005-0000-0000-0000BF0D0000}"/>
    <cellStyle name="Heading" xfId="2667" xr:uid="{00000000-0005-0000-0000-0000C00D0000}"/>
    <cellStyle name="Heading 1" xfId="2581" xr:uid="{00000000-0005-0000-0000-0000C10D0000}"/>
    <cellStyle name="Heading 1 2" xfId="1082" xr:uid="{00000000-0005-0000-0000-0000C20D0000}"/>
    <cellStyle name="Heading 1 2 2" xfId="3571" xr:uid="{00000000-0005-0000-0000-0000C30D0000}"/>
    <cellStyle name="Heading 1 2 2 2" xfId="5183" xr:uid="{00000000-0005-0000-0000-0000C40D0000}"/>
    <cellStyle name="Heading 1 2 2 3" xfId="8555" xr:uid="{00000000-0005-0000-0000-0000C50D0000}"/>
    <cellStyle name="Heading 1 2 3" xfId="3312" xr:uid="{00000000-0005-0000-0000-0000C60D0000}"/>
    <cellStyle name="Heading 1 2 3 2" xfId="4943" xr:uid="{00000000-0005-0000-0000-0000C70D0000}"/>
    <cellStyle name="Heading 1 2 3 3" xfId="8347" xr:uid="{00000000-0005-0000-0000-0000C80D0000}"/>
    <cellStyle name="Heading 1 2 4" xfId="4037" xr:uid="{00000000-0005-0000-0000-0000C90D0000}"/>
    <cellStyle name="Heading 1 2 5" xfId="6362" xr:uid="{00000000-0005-0000-0000-0000CA0D0000}"/>
    <cellStyle name="Heading 1 3" xfId="3313" xr:uid="{00000000-0005-0000-0000-0000CB0D0000}"/>
    <cellStyle name="Heading 1 3 2" xfId="4944" xr:uid="{00000000-0005-0000-0000-0000CC0D0000}"/>
    <cellStyle name="Heading 1 3 3" xfId="8348" xr:uid="{00000000-0005-0000-0000-0000CD0D0000}"/>
    <cellStyle name="Heading 1 4" xfId="3314" xr:uid="{00000000-0005-0000-0000-0000CE0D0000}"/>
    <cellStyle name="Heading 1 4 2" xfId="4945" xr:uid="{00000000-0005-0000-0000-0000CF0D0000}"/>
    <cellStyle name="Heading 1 4 3" xfId="8349" xr:uid="{00000000-0005-0000-0000-0000D00D0000}"/>
    <cellStyle name="Heading 1 5" xfId="3315" xr:uid="{00000000-0005-0000-0000-0000D10D0000}"/>
    <cellStyle name="Heading 1 5 2" xfId="4946" xr:uid="{00000000-0005-0000-0000-0000D20D0000}"/>
    <cellStyle name="Heading 1 5 3" xfId="8350" xr:uid="{00000000-0005-0000-0000-0000D30D0000}"/>
    <cellStyle name="Heading 1 6" xfId="3311" xr:uid="{00000000-0005-0000-0000-0000D40D0000}"/>
    <cellStyle name="Heading 1 6 2" xfId="4942" xr:uid="{00000000-0005-0000-0000-0000D50D0000}"/>
    <cellStyle name="Heading 1 6 3" xfId="8346" xr:uid="{00000000-0005-0000-0000-0000D60D0000}"/>
    <cellStyle name="Heading 1 7" xfId="4036" xr:uid="{00000000-0005-0000-0000-0000D70D0000}"/>
    <cellStyle name="Heading 2" xfId="418" xr:uid="{00000000-0005-0000-0000-0000D80D0000}"/>
    <cellStyle name="Heading 2 2" xfId="1083" xr:uid="{00000000-0005-0000-0000-0000D90D0000}"/>
    <cellStyle name="Heading 2 2 2" xfId="3572" xr:uid="{00000000-0005-0000-0000-0000DA0D0000}"/>
    <cellStyle name="Heading 2 2 2 2" xfId="5184" xr:uid="{00000000-0005-0000-0000-0000DB0D0000}"/>
    <cellStyle name="Heading 2 2 2 3" xfId="8556" xr:uid="{00000000-0005-0000-0000-0000DC0D0000}"/>
    <cellStyle name="Heading 2 2 3" xfId="3317" xr:uid="{00000000-0005-0000-0000-0000DD0D0000}"/>
    <cellStyle name="Heading 2 2 3 2" xfId="4948" xr:uid="{00000000-0005-0000-0000-0000DE0D0000}"/>
    <cellStyle name="Heading 2 2 3 3" xfId="8352" xr:uid="{00000000-0005-0000-0000-0000DF0D0000}"/>
    <cellStyle name="Heading 2 2 4" xfId="4039" xr:uid="{00000000-0005-0000-0000-0000E00D0000}"/>
    <cellStyle name="Heading 2 2 5" xfId="6363" xr:uid="{00000000-0005-0000-0000-0000E10D0000}"/>
    <cellStyle name="Heading 2 3" xfId="3318" xr:uid="{00000000-0005-0000-0000-0000E20D0000}"/>
    <cellStyle name="Heading 2 3 2" xfId="4949" xr:uid="{00000000-0005-0000-0000-0000E30D0000}"/>
    <cellStyle name="Heading 2 3 3" xfId="8353" xr:uid="{00000000-0005-0000-0000-0000E40D0000}"/>
    <cellStyle name="Heading 2 4" xfId="3319" xr:uid="{00000000-0005-0000-0000-0000E50D0000}"/>
    <cellStyle name="Heading 2 4 2" xfId="4950" xr:uid="{00000000-0005-0000-0000-0000E60D0000}"/>
    <cellStyle name="Heading 2 4 3" xfId="8354" xr:uid="{00000000-0005-0000-0000-0000E70D0000}"/>
    <cellStyle name="Heading 2 5" xfId="3320" xr:uid="{00000000-0005-0000-0000-0000E80D0000}"/>
    <cellStyle name="Heading 2 5 2" xfId="4951" xr:uid="{00000000-0005-0000-0000-0000E90D0000}"/>
    <cellStyle name="Heading 2 5 3" xfId="8355" xr:uid="{00000000-0005-0000-0000-0000EA0D0000}"/>
    <cellStyle name="Heading 2 6" xfId="3316" xr:uid="{00000000-0005-0000-0000-0000EB0D0000}"/>
    <cellStyle name="Heading 2 6 2" xfId="4947" xr:uid="{00000000-0005-0000-0000-0000EC0D0000}"/>
    <cellStyle name="Heading 2 6 3" xfId="8351" xr:uid="{00000000-0005-0000-0000-0000ED0D0000}"/>
    <cellStyle name="Heading 2 7" xfId="4038" xr:uid="{00000000-0005-0000-0000-0000EE0D0000}"/>
    <cellStyle name="Heading 2 8" xfId="2580" xr:uid="{00000000-0005-0000-0000-0000EF0D0000}"/>
    <cellStyle name="Heading 3" xfId="419" xr:uid="{00000000-0005-0000-0000-0000F00D0000}"/>
    <cellStyle name="Heading 3 2" xfId="1084" xr:uid="{00000000-0005-0000-0000-0000F10D0000}"/>
    <cellStyle name="Heading 3 2 2" xfId="3573" xr:uid="{00000000-0005-0000-0000-0000F20D0000}"/>
    <cellStyle name="Heading 3 2 2 2" xfId="5185" xr:uid="{00000000-0005-0000-0000-0000F30D0000}"/>
    <cellStyle name="Heading 3 2 2 3" xfId="8557" xr:uid="{00000000-0005-0000-0000-0000F40D0000}"/>
    <cellStyle name="Heading 3 2 3" xfId="3322" xr:uid="{00000000-0005-0000-0000-0000F50D0000}"/>
    <cellStyle name="Heading 3 2 3 2" xfId="4953" xr:uid="{00000000-0005-0000-0000-0000F60D0000}"/>
    <cellStyle name="Heading 3 2 3 3" xfId="8357" xr:uid="{00000000-0005-0000-0000-0000F70D0000}"/>
    <cellStyle name="Heading 3 2 4" xfId="4041" xr:uid="{00000000-0005-0000-0000-0000F80D0000}"/>
    <cellStyle name="Heading 3 2 5" xfId="6364" xr:uid="{00000000-0005-0000-0000-0000F90D0000}"/>
    <cellStyle name="Heading 3 3" xfId="3323" xr:uid="{00000000-0005-0000-0000-0000FA0D0000}"/>
    <cellStyle name="Heading 3 3 2" xfId="4954" xr:uid="{00000000-0005-0000-0000-0000FB0D0000}"/>
    <cellStyle name="Heading 3 3 3" xfId="8358" xr:uid="{00000000-0005-0000-0000-0000FC0D0000}"/>
    <cellStyle name="Heading 3 4" xfId="3324" xr:uid="{00000000-0005-0000-0000-0000FD0D0000}"/>
    <cellStyle name="Heading 3 4 2" xfId="4955" xr:uid="{00000000-0005-0000-0000-0000FE0D0000}"/>
    <cellStyle name="Heading 3 4 3" xfId="8359" xr:uid="{00000000-0005-0000-0000-0000FF0D0000}"/>
    <cellStyle name="Heading 3 5" xfId="3325" xr:uid="{00000000-0005-0000-0000-0000000E0000}"/>
    <cellStyle name="Heading 3 5 2" xfId="4956" xr:uid="{00000000-0005-0000-0000-0000010E0000}"/>
    <cellStyle name="Heading 3 5 3" xfId="8360" xr:uid="{00000000-0005-0000-0000-0000020E0000}"/>
    <cellStyle name="Heading 3 6" xfId="3321" xr:uid="{00000000-0005-0000-0000-0000030E0000}"/>
    <cellStyle name="Heading 3 6 2" xfId="4952" xr:uid="{00000000-0005-0000-0000-0000040E0000}"/>
    <cellStyle name="Heading 3 6 3" xfId="8356" xr:uid="{00000000-0005-0000-0000-0000050E0000}"/>
    <cellStyle name="Heading 3 7" xfId="4040" xr:uid="{00000000-0005-0000-0000-0000060E0000}"/>
    <cellStyle name="Heading 3 8" xfId="2579" xr:uid="{00000000-0005-0000-0000-0000070E0000}"/>
    <cellStyle name="Heading 4" xfId="420" xr:uid="{00000000-0005-0000-0000-0000080E0000}"/>
    <cellStyle name="Heading 4 2" xfId="1085" xr:uid="{00000000-0005-0000-0000-0000090E0000}"/>
    <cellStyle name="Heading 4 2 2" xfId="3574" xr:uid="{00000000-0005-0000-0000-00000A0E0000}"/>
    <cellStyle name="Heading 4 2 2 2" xfId="5186" xr:uid="{00000000-0005-0000-0000-00000B0E0000}"/>
    <cellStyle name="Heading 4 2 2 3" xfId="8558" xr:uid="{00000000-0005-0000-0000-00000C0E0000}"/>
    <cellStyle name="Heading 4 2 3" xfId="3327" xr:uid="{00000000-0005-0000-0000-00000D0E0000}"/>
    <cellStyle name="Heading 4 2 3 2" xfId="4958" xr:uid="{00000000-0005-0000-0000-00000E0E0000}"/>
    <cellStyle name="Heading 4 2 3 3" xfId="8362" xr:uid="{00000000-0005-0000-0000-00000F0E0000}"/>
    <cellStyle name="Heading 4 2 4" xfId="4043" xr:uid="{00000000-0005-0000-0000-0000100E0000}"/>
    <cellStyle name="Heading 4 2 5" xfId="6365" xr:uid="{00000000-0005-0000-0000-0000110E0000}"/>
    <cellStyle name="Heading 4 3" xfId="3328" xr:uid="{00000000-0005-0000-0000-0000120E0000}"/>
    <cellStyle name="Heading 4 3 2" xfId="4959" xr:uid="{00000000-0005-0000-0000-0000130E0000}"/>
    <cellStyle name="Heading 4 3 3" xfId="8363" xr:uid="{00000000-0005-0000-0000-0000140E0000}"/>
    <cellStyle name="Heading 4 4" xfId="3329" xr:uid="{00000000-0005-0000-0000-0000150E0000}"/>
    <cellStyle name="Heading 4 4 2" xfId="4960" xr:uid="{00000000-0005-0000-0000-0000160E0000}"/>
    <cellStyle name="Heading 4 4 3" xfId="8364" xr:uid="{00000000-0005-0000-0000-0000170E0000}"/>
    <cellStyle name="Heading 4 5" xfId="3330" xr:uid="{00000000-0005-0000-0000-0000180E0000}"/>
    <cellStyle name="Heading 4 5 2" xfId="4961" xr:uid="{00000000-0005-0000-0000-0000190E0000}"/>
    <cellStyle name="Heading 4 5 3" xfId="8365" xr:uid="{00000000-0005-0000-0000-00001A0E0000}"/>
    <cellStyle name="Heading 4 6" xfId="3326" xr:uid="{00000000-0005-0000-0000-00001B0E0000}"/>
    <cellStyle name="Heading 4 6 2" xfId="4957" xr:uid="{00000000-0005-0000-0000-00001C0E0000}"/>
    <cellStyle name="Heading 4 6 3" xfId="8361" xr:uid="{00000000-0005-0000-0000-00001D0E0000}"/>
    <cellStyle name="Heading 4 7" xfId="4042" xr:uid="{00000000-0005-0000-0000-00001E0E0000}"/>
    <cellStyle name="Heading 4 8" xfId="2578" xr:uid="{00000000-0005-0000-0000-00001F0E0000}"/>
    <cellStyle name="Heading 5" xfId="8873" xr:uid="{00000000-0005-0000-0000-0000200E0000}"/>
    <cellStyle name="HEADING1" xfId="421" xr:uid="{00000000-0005-0000-0000-0000210E0000}"/>
    <cellStyle name="Heading1 2" xfId="8871" xr:uid="{00000000-0005-0000-0000-0000220E0000}"/>
    <cellStyle name="Heading1 3" xfId="2666"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4" xr:uid="{00000000-0005-0000-0000-0000280E0000}"/>
    <cellStyle name="Hiperligação 2 3" xfId="7852" xr:uid="{00000000-0005-0000-0000-0000290E0000}"/>
    <cellStyle name="Hiperligação 2 4" xfId="2640"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6" xr:uid="{00000000-0005-0000-0000-00002F0E0000}"/>
    <cellStyle name="Incorrecto 3" xfId="430" xr:uid="{00000000-0005-0000-0000-0000300E0000}"/>
    <cellStyle name="Incorrecto 3 2" xfId="1004" xr:uid="{00000000-0005-0000-0000-0000310E0000}"/>
    <cellStyle name="Incorrecto 4" xfId="431" xr:uid="{00000000-0005-0000-0000-0000320E0000}"/>
    <cellStyle name="Input" xfId="432" xr:uid="{00000000-0005-0000-0000-0000330E0000}"/>
    <cellStyle name="Input 1" xfId="433" xr:uid="{00000000-0005-0000-0000-0000340E0000}"/>
    <cellStyle name="Input 10" xfId="4045" xr:uid="{00000000-0005-0000-0000-0000350E0000}"/>
    <cellStyle name="Input 11" xfId="2117" xr:uid="{00000000-0005-0000-0000-0000360E0000}"/>
    <cellStyle name="Input 2" xfId="434" xr:uid="{00000000-0005-0000-0000-0000370E0000}"/>
    <cellStyle name="Input 2 2" xfId="3333" xr:uid="{00000000-0005-0000-0000-0000380E0000}"/>
    <cellStyle name="Input 2 2 2" xfId="4964" xr:uid="{00000000-0005-0000-0000-0000390E0000}"/>
    <cellStyle name="Input 2 2 3" xfId="8368" xr:uid="{00000000-0005-0000-0000-00003A0E0000}"/>
    <cellStyle name="Input 2 3" xfId="3334" xr:uid="{00000000-0005-0000-0000-00003B0E0000}"/>
    <cellStyle name="Input 2 3 2" xfId="4965" xr:uid="{00000000-0005-0000-0000-00003C0E0000}"/>
    <cellStyle name="Input 2 3 3" xfId="8369" xr:uid="{00000000-0005-0000-0000-00003D0E0000}"/>
    <cellStyle name="Input 2 4" xfId="3335" xr:uid="{00000000-0005-0000-0000-00003E0E0000}"/>
    <cellStyle name="Input 2 4 2" xfId="4966" xr:uid="{00000000-0005-0000-0000-00003F0E0000}"/>
    <cellStyle name="Input 2 4 3" xfId="8370" xr:uid="{00000000-0005-0000-0000-0000400E0000}"/>
    <cellStyle name="Input 2 5" xfId="3578" xr:uid="{00000000-0005-0000-0000-0000410E0000}"/>
    <cellStyle name="Input 2 5 2" xfId="5190" xr:uid="{00000000-0005-0000-0000-0000420E0000}"/>
    <cellStyle name="Input 2 5 3" xfId="8562" xr:uid="{00000000-0005-0000-0000-0000430E0000}"/>
    <cellStyle name="Input 2 6" xfId="3332" xr:uid="{00000000-0005-0000-0000-0000440E0000}"/>
    <cellStyle name="Input 2 6 2" xfId="4963" xr:uid="{00000000-0005-0000-0000-0000450E0000}"/>
    <cellStyle name="Input 2 6 3" xfId="8367" xr:uid="{00000000-0005-0000-0000-0000460E0000}"/>
    <cellStyle name="Input 2 7" xfId="4046" xr:uid="{00000000-0005-0000-0000-0000470E0000}"/>
    <cellStyle name="Input 2 8" xfId="6366" xr:uid="{00000000-0005-0000-0000-0000480E0000}"/>
    <cellStyle name="Input 2 9" xfId="1086" xr:uid="{00000000-0005-0000-0000-0000490E0000}"/>
    <cellStyle name="Input 3" xfId="3336" xr:uid="{00000000-0005-0000-0000-00004A0E0000}"/>
    <cellStyle name="Input 3 2" xfId="3337" xr:uid="{00000000-0005-0000-0000-00004B0E0000}"/>
    <cellStyle name="Input 3 2 2" xfId="4968" xr:uid="{00000000-0005-0000-0000-00004C0E0000}"/>
    <cellStyle name="Input 3 2 3" xfId="8372" xr:uid="{00000000-0005-0000-0000-00004D0E0000}"/>
    <cellStyle name="Input 3 3" xfId="3338" xr:uid="{00000000-0005-0000-0000-00004E0E0000}"/>
    <cellStyle name="Input 3 3 2" xfId="4969" xr:uid="{00000000-0005-0000-0000-00004F0E0000}"/>
    <cellStyle name="Input 3 3 3" xfId="8373" xr:uid="{00000000-0005-0000-0000-0000500E0000}"/>
    <cellStyle name="Input 3 4" xfId="3339" xr:uid="{00000000-0005-0000-0000-0000510E0000}"/>
    <cellStyle name="Input 3 4 2" xfId="4970" xr:uid="{00000000-0005-0000-0000-0000520E0000}"/>
    <cellStyle name="Input 3 4 3" xfId="8374" xr:uid="{00000000-0005-0000-0000-0000530E0000}"/>
    <cellStyle name="Input 3 5" xfId="4967" xr:uid="{00000000-0005-0000-0000-0000540E0000}"/>
    <cellStyle name="Input 3 6" xfId="8371" xr:uid="{00000000-0005-0000-0000-0000550E0000}"/>
    <cellStyle name="Input 4" xfId="3340" xr:uid="{00000000-0005-0000-0000-0000560E0000}"/>
    <cellStyle name="Input 4 2" xfId="3341" xr:uid="{00000000-0005-0000-0000-0000570E0000}"/>
    <cellStyle name="Input 4 2 2" xfId="4972" xr:uid="{00000000-0005-0000-0000-0000580E0000}"/>
    <cellStyle name="Input 4 2 3" xfId="8376" xr:uid="{00000000-0005-0000-0000-0000590E0000}"/>
    <cellStyle name="Input 4 3" xfId="3342" xr:uid="{00000000-0005-0000-0000-00005A0E0000}"/>
    <cellStyle name="Input 4 3 2" xfId="4973" xr:uid="{00000000-0005-0000-0000-00005B0E0000}"/>
    <cellStyle name="Input 4 3 3" xfId="8377" xr:uid="{00000000-0005-0000-0000-00005C0E0000}"/>
    <cellStyle name="Input 4 4" xfId="3343" xr:uid="{00000000-0005-0000-0000-00005D0E0000}"/>
    <cellStyle name="Input 4 4 2" xfId="4974" xr:uid="{00000000-0005-0000-0000-00005E0E0000}"/>
    <cellStyle name="Input 4 4 3" xfId="8378" xr:uid="{00000000-0005-0000-0000-00005F0E0000}"/>
    <cellStyle name="Input 4 5" xfId="4971" xr:uid="{00000000-0005-0000-0000-0000600E0000}"/>
    <cellStyle name="Input 4 6" xfId="8375" xr:uid="{00000000-0005-0000-0000-0000610E0000}"/>
    <cellStyle name="Input 5" xfId="3344" xr:uid="{00000000-0005-0000-0000-0000620E0000}"/>
    <cellStyle name="Input 5 2" xfId="3345" xr:uid="{00000000-0005-0000-0000-0000630E0000}"/>
    <cellStyle name="Input 5 2 2" xfId="4976" xr:uid="{00000000-0005-0000-0000-0000640E0000}"/>
    <cellStyle name="Input 5 2 3" xfId="8380" xr:uid="{00000000-0005-0000-0000-0000650E0000}"/>
    <cellStyle name="Input 5 3" xfId="3346" xr:uid="{00000000-0005-0000-0000-0000660E0000}"/>
    <cellStyle name="Input 5 3 2" xfId="4977" xr:uid="{00000000-0005-0000-0000-0000670E0000}"/>
    <cellStyle name="Input 5 3 3" xfId="8381" xr:uid="{00000000-0005-0000-0000-0000680E0000}"/>
    <cellStyle name="Input 5 4" xfId="3347" xr:uid="{00000000-0005-0000-0000-0000690E0000}"/>
    <cellStyle name="Input 5 4 2" xfId="4978" xr:uid="{00000000-0005-0000-0000-00006A0E0000}"/>
    <cellStyle name="Input 5 4 3" xfId="8382" xr:uid="{00000000-0005-0000-0000-00006B0E0000}"/>
    <cellStyle name="Input 5 5" xfId="4975" xr:uid="{00000000-0005-0000-0000-00006C0E0000}"/>
    <cellStyle name="Input 5 6" xfId="8379" xr:uid="{00000000-0005-0000-0000-00006D0E0000}"/>
    <cellStyle name="Input 6" xfId="3348" xr:uid="{00000000-0005-0000-0000-00006E0E0000}"/>
    <cellStyle name="Input 6 2" xfId="4979" xr:uid="{00000000-0005-0000-0000-00006F0E0000}"/>
    <cellStyle name="Input 6 3" xfId="8383" xr:uid="{00000000-0005-0000-0000-0000700E0000}"/>
    <cellStyle name="Input 7" xfId="3349" xr:uid="{00000000-0005-0000-0000-0000710E0000}"/>
    <cellStyle name="Input 7 2" xfId="4980" xr:uid="{00000000-0005-0000-0000-0000720E0000}"/>
    <cellStyle name="Input 7 3" xfId="8384" xr:uid="{00000000-0005-0000-0000-0000730E0000}"/>
    <cellStyle name="Input 8" xfId="3350" xr:uid="{00000000-0005-0000-0000-0000740E0000}"/>
    <cellStyle name="Input 8 2" xfId="4981" xr:uid="{00000000-0005-0000-0000-0000750E0000}"/>
    <cellStyle name="Input 8 3" xfId="8385" xr:uid="{00000000-0005-0000-0000-0000760E0000}"/>
    <cellStyle name="Input 9" xfId="3331" xr:uid="{00000000-0005-0000-0000-0000770E0000}"/>
    <cellStyle name="Input 9 2" xfId="4962" xr:uid="{00000000-0005-0000-0000-0000780E0000}"/>
    <cellStyle name="Input 9 3" xfId="8366"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7" xr:uid="{00000000-0005-0000-0000-00007F0E0000}"/>
    <cellStyle name="Linked Cell 2 2" xfId="3581" xr:uid="{00000000-0005-0000-0000-0000800E0000}"/>
    <cellStyle name="Linked Cell 2 2 2" xfId="5193" xr:uid="{00000000-0005-0000-0000-0000810E0000}"/>
    <cellStyle name="Linked Cell 2 2 3" xfId="8565" xr:uid="{00000000-0005-0000-0000-0000820E0000}"/>
    <cellStyle name="Linked Cell 2 3" xfId="3352" xr:uid="{00000000-0005-0000-0000-0000830E0000}"/>
    <cellStyle name="Linked Cell 2 3 2" xfId="4983" xr:uid="{00000000-0005-0000-0000-0000840E0000}"/>
    <cellStyle name="Linked Cell 2 3 3" xfId="8387" xr:uid="{00000000-0005-0000-0000-0000850E0000}"/>
    <cellStyle name="Linked Cell 2 4" xfId="4048" xr:uid="{00000000-0005-0000-0000-0000860E0000}"/>
    <cellStyle name="Linked Cell 2 5" xfId="6367" xr:uid="{00000000-0005-0000-0000-0000870E0000}"/>
    <cellStyle name="Linked Cell 3" xfId="3353" xr:uid="{00000000-0005-0000-0000-0000880E0000}"/>
    <cellStyle name="Linked Cell 3 2" xfId="4984" xr:uid="{00000000-0005-0000-0000-0000890E0000}"/>
    <cellStyle name="Linked Cell 3 3" xfId="8388" xr:uid="{00000000-0005-0000-0000-00008A0E0000}"/>
    <cellStyle name="Linked Cell 4" xfId="3354" xr:uid="{00000000-0005-0000-0000-00008B0E0000}"/>
    <cellStyle name="Linked Cell 4 2" xfId="4985" xr:uid="{00000000-0005-0000-0000-00008C0E0000}"/>
    <cellStyle name="Linked Cell 4 3" xfId="8389" xr:uid="{00000000-0005-0000-0000-00008D0E0000}"/>
    <cellStyle name="Linked Cell 5" xfId="3355" xr:uid="{00000000-0005-0000-0000-00008E0E0000}"/>
    <cellStyle name="Linked Cell 5 2" xfId="4986" xr:uid="{00000000-0005-0000-0000-00008F0E0000}"/>
    <cellStyle name="Linked Cell 5 3" xfId="8390" xr:uid="{00000000-0005-0000-0000-0000900E0000}"/>
    <cellStyle name="Linked Cell 6" xfId="3351" xr:uid="{00000000-0005-0000-0000-0000910E0000}"/>
    <cellStyle name="Linked Cell 6 2" xfId="4982" xr:uid="{00000000-0005-0000-0000-0000920E0000}"/>
    <cellStyle name="Linked Cell 6 3" xfId="8386" xr:uid="{00000000-0005-0000-0000-0000930E0000}"/>
    <cellStyle name="Linked Cell 7" xfId="4047" xr:uid="{00000000-0005-0000-0000-0000940E0000}"/>
    <cellStyle name="Linked Cell 8" xfId="2494" xr:uid="{00000000-0005-0000-0000-0000950E0000}"/>
    <cellStyle name="Locked Cell - PerformancePoint" xfId="8781" xr:uid="{00000000-0005-0000-0000-0000960E0000}"/>
    <cellStyle name="Millares_CALDERA.XLC" xfId="440" xr:uid="{00000000-0005-0000-0000-0000970E0000}"/>
    <cellStyle name="Milliers [0]_CONV" xfId="8782" xr:uid="{00000000-0005-0000-0000-0000980E0000}"/>
    <cellStyle name="Milliers_CONV" xfId="8783" xr:uid="{00000000-0005-0000-0000-0000990E0000}"/>
    <cellStyle name="Moeda 10" xfId="3823" xr:uid="{00000000-0005-0000-0000-00009A0E0000}"/>
    <cellStyle name="Moeda 10 2" xfId="8734" xr:uid="{00000000-0005-0000-0000-00009B0E0000}"/>
    <cellStyle name="Moeda 10 2 2" xfId="8958" xr:uid="{00000000-0005-0000-0000-00009C0E0000}"/>
    <cellStyle name="Moeda 10 2 2 2" xfId="9122" xr:uid="{00000000-0005-0000-0000-00009D0E0000}"/>
    <cellStyle name="Moeda 10 2 2 2 2" xfId="9495" xr:uid="{4DBE9825-C259-4686-A39D-D7CEC502FBCF}"/>
    <cellStyle name="Moeda 10 2 2 2 3" xfId="9831" xr:uid="{5E70C963-D787-4C35-90BB-E4BABD71A16F}"/>
    <cellStyle name="Moeda 10 2 2 3" xfId="9341" xr:uid="{04147F13-E44A-4DFC-B99E-5BAAF4FE2162}"/>
    <cellStyle name="Moeda 10 2 2 4" xfId="9677" xr:uid="{18505A0C-ED1D-4BF7-B6F8-69731B83856E}"/>
    <cellStyle name="Moeda 10 2 3" xfId="9045" xr:uid="{00000000-0005-0000-0000-00009E0E0000}"/>
    <cellStyle name="Moeda 10 2 3 2" xfId="9418" xr:uid="{9DA3C718-4F18-4075-8F3F-1D9E9CBCE369}"/>
    <cellStyle name="Moeda 10 2 3 3" xfId="9754" xr:uid="{B7728980-BDE3-4A65-85A1-43AFA957A3DB}"/>
    <cellStyle name="Moeda 10 2 4" xfId="9263" xr:uid="{9BC9289B-5BA6-46D2-8591-11A5512692BB}"/>
    <cellStyle name="Moeda 10 2 5" xfId="9599" xr:uid="{24725A42-5646-42DB-93C6-270150F87B6B}"/>
    <cellStyle name="Moeda 10 3" xfId="8932" xr:uid="{00000000-0005-0000-0000-00009F0E0000}"/>
    <cellStyle name="Moeda 10 3 2" xfId="9096" xr:uid="{00000000-0005-0000-0000-0000A00E0000}"/>
    <cellStyle name="Moeda 10 3 2 2" xfId="9469" xr:uid="{E402856D-E214-4173-991E-44089BECFF2F}"/>
    <cellStyle name="Moeda 10 3 2 3" xfId="9805" xr:uid="{E7C7D345-38CB-450D-B378-5DB452D484B5}"/>
    <cellStyle name="Moeda 10 3 3" xfId="9315" xr:uid="{B076EB90-6D4F-463A-BC94-181B81247505}"/>
    <cellStyle name="Moeda 10 3 4" xfId="9651" xr:uid="{23427D4F-10E8-4485-A2BF-FFF6D611D71F}"/>
    <cellStyle name="Moeda 10 4" xfId="9019" xr:uid="{00000000-0005-0000-0000-0000A10E0000}"/>
    <cellStyle name="Moeda 10 4 2" xfId="9392" xr:uid="{C3FDCF00-CA93-442F-88C5-F2C5D4E627DA}"/>
    <cellStyle name="Moeda 10 4 3" xfId="9728" xr:uid="{63CD8045-251C-4100-824A-EDC0D091430C}"/>
    <cellStyle name="Moeda 10 5" xfId="9237" xr:uid="{ADB3D283-7010-4CCA-9D3D-BCE28BF494C9}"/>
    <cellStyle name="Moeda 10 6" xfId="9573" xr:uid="{BF8C641B-E6FA-4CAC-8646-79B57057248A}"/>
    <cellStyle name="Moeda 11" xfId="8881" xr:uid="{00000000-0005-0000-0000-0000A20E0000}"/>
    <cellStyle name="Moeda 11 2" xfId="8965" xr:uid="{00000000-0005-0000-0000-0000A30E0000}"/>
    <cellStyle name="Moeda 11 2 2" xfId="9128" xr:uid="{00000000-0005-0000-0000-0000A40E0000}"/>
    <cellStyle name="Moeda 11 2 2 2" xfId="9501" xr:uid="{90BC6E02-B07E-4699-BBA0-A3A71186F3B4}"/>
    <cellStyle name="Moeda 11 2 2 3" xfId="9837" xr:uid="{E08E6E90-FD7E-4004-9D94-9CDC6515F8D1}"/>
    <cellStyle name="Moeda 11 2 3" xfId="9347" xr:uid="{76D945F3-B383-4124-9F5E-43C3E5BE92EA}"/>
    <cellStyle name="Moeda 11 2 4" xfId="9683" xr:uid="{383DBCEE-9A7E-484D-89CC-AC2B6722F260}"/>
    <cellStyle name="Moeda 11 3" xfId="9050" xr:uid="{00000000-0005-0000-0000-0000A50E0000}"/>
    <cellStyle name="Moeda 11 3 2" xfId="9423" xr:uid="{841C7277-A70B-411F-829C-9B8419E26968}"/>
    <cellStyle name="Moeda 11 3 3" xfId="9759" xr:uid="{0DECCF1B-D978-4586-86B8-2C2DB8BF43F6}"/>
    <cellStyle name="Moeda 11 4" xfId="9269" xr:uid="{EFD8F6BA-6011-46C4-AEFF-8E89DCECD9C2}"/>
    <cellStyle name="Moeda 11 5" xfId="9605" xr:uid="{E4477231-6AD5-40FE-8F5D-E08846D2F4EE}"/>
    <cellStyle name="Moeda 12" xfId="9140" xr:uid="{00000000-0005-0000-0000-0000A60E0000}"/>
    <cellStyle name="Moeda 12 2" xfId="9504" xr:uid="{D66FBD58-282E-4C16-ADD7-C52A4B04871F}"/>
    <cellStyle name="Moeda 12 3" xfId="9840" xr:uid="{8A31B8B0-81DC-4DF3-A057-71E8D15ACACF}"/>
    <cellStyle name="Moeda 13" xfId="9151" xr:uid="{00000000-0005-0000-0000-0000A70E0000}"/>
    <cellStyle name="Moeda 13 2" xfId="9505" xr:uid="{E2F15DB6-58DA-475A-85A2-3FC7C1252A4E}"/>
    <cellStyle name="Moeda 13 3" xfId="9841" xr:uid="{4B533E15-3C37-4E31-BEDB-1F64813E8879}"/>
    <cellStyle name="Moeda 14" xfId="9164" xr:uid="{00000000-0005-0000-0000-0000A80E0000}"/>
    <cellStyle name="Moeda 14 2" xfId="9506" xr:uid="{EADDFFBB-F222-4053-8DFF-8B47BBC37A80}"/>
    <cellStyle name="Moeda 14 3" xfId="9842"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9" xr:uid="{A3986014-947F-4C10-BF90-81293FA2C789}"/>
    <cellStyle name="Moeda 2 2 2 11" xfId="9515" xr:uid="{60E0A67F-050B-4E7A-887B-39014EDD14FC}"/>
    <cellStyle name="Moeda 2 2 2 2" xfId="2969" xr:uid="{00000000-0005-0000-0000-0000AC0E0000}"/>
    <cellStyle name="Moeda 2 2 2 2 2" xfId="8025" xr:uid="{00000000-0005-0000-0000-0000AD0E0000}"/>
    <cellStyle name="Moeda 2 2 2 2 2 2" xfId="8944" xr:uid="{00000000-0005-0000-0000-0000AE0E0000}"/>
    <cellStyle name="Moeda 2 2 2 2 2 2 2" xfId="9108" xr:uid="{00000000-0005-0000-0000-0000AF0E0000}"/>
    <cellStyle name="Moeda 2 2 2 2 2 2 2 2" xfId="9481" xr:uid="{14E758A5-461B-4FCF-A5F6-0F68D1AACADF}"/>
    <cellStyle name="Moeda 2 2 2 2 2 2 2 3" xfId="9817" xr:uid="{C15E817B-8A05-4202-B1C9-78CDB37847E1}"/>
    <cellStyle name="Moeda 2 2 2 2 2 2 3" xfId="9327" xr:uid="{43AD5BE2-C6DC-4A68-9973-B24CEC02407D}"/>
    <cellStyle name="Moeda 2 2 2 2 2 2 4" xfId="9663" xr:uid="{4A6003CD-A8CF-4F9F-AA74-BEB8FDEE1F03}"/>
    <cellStyle name="Moeda 2 2 2 2 2 3" xfId="9031" xr:uid="{00000000-0005-0000-0000-0000B00E0000}"/>
    <cellStyle name="Moeda 2 2 2 2 2 3 2" xfId="9404" xr:uid="{88E3BD78-2023-4AE5-8BF6-676448B61131}"/>
    <cellStyle name="Moeda 2 2 2 2 2 3 3" xfId="9740" xr:uid="{75058079-9FF9-4E0E-92E8-2A5F3636B35F}"/>
    <cellStyle name="Moeda 2 2 2 2 2 4" xfId="9249" xr:uid="{4EC8216E-85F2-4E08-BF78-CD6B2D6AC3A7}"/>
    <cellStyle name="Moeda 2 2 2 2 2 5" xfId="9585" xr:uid="{EDBEF766-0059-4699-8A4C-1AB3B8CA82C1}"/>
    <cellStyle name="Moeda 2 2 2 2 3" xfId="8913" xr:uid="{00000000-0005-0000-0000-0000B10E0000}"/>
    <cellStyle name="Moeda 2 2 2 2 3 2" xfId="9077" xr:uid="{00000000-0005-0000-0000-0000B20E0000}"/>
    <cellStyle name="Moeda 2 2 2 2 3 2 2" xfId="9450" xr:uid="{321A6FB5-6E74-4CCF-955E-57A900918099}"/>
    <cellStyle name="Moeda 2 2 2 2 3 2 3" xfId="9786" xr:uid="{2C4EDBD5-9D3C-44C3-BD82-57627D0A5715}"/>
    <cellStyle name="Moeda 2 2 2 2 3 3" xfId="9296" xr:uid="{D1F036AD-0F8A-469B-BDE2-BCC2CB75A3B0}"/>
    <cellStyle name="Moeda 2 2 2 2 3 4" xfId="9632" xr:uid="{055DBFD6-8FBF-45EF-AC5E-9E5F746D19A9}"/>
    <cellStyle name="Moeda 2 2 2 2 4" xfId="9002" xr:uid="{00000000-0005-0000-0000-0000B30E0000}"/>
    <cellStyle name="Moeda 2 2 2 2 4 2" xfId="9375" xr:uid="{D1775836-DCB6-4766-ADA8-E8925DF36DC1}"/>
    <cellStyle name="Moeda 2 2 2 2 4 3" xfId="9711" xr:uid="{A052A9F7-C2A5-4EF0-9748-ADD25A50071A}"/>
    <cellStyle name="Moeda 2 2 2 2 5" xfId="9218" xr:uid="{A2F23EAD-F38F-41D9-A51D-6C02D7F98F08}"/>
    <cellStyle name="Moeda 2 2 2 2 6" xfId="9554" xr:uid="{1B76C055-D155-4659-AE9A-398A5F986E38}"/>
    <cellStyle name="Moeda 2 2 2 3" xfId="3069" xr:uid="{00000000-0005-0000-0000-0000B40E0000}"/>
    <cellStyle name="Moeda 2 2 2 3 2" xfId="8125" xr:uid="{00000000-0005-0000-0000-0000B50E0000}"/>
    <cellStyle name="Moeda 2 2 2 3 2 2" xfId="8950" xr:uid="{00000000-0005-0000-0000-0000B60E0000}"/>
    <cellStyle name="Moeda 2 2 2 3 2 2 2" xfId="9114" xr:uid="{00000000-0005-0000-0000-0000B70E0000}"/>
    <cellStyle name="Moeda 2 2 2 3 2 2 2 2" xfId="9487" xr:uid="{D7EF4D58-C412-4F1B-91CF-E810FD874297}"/>
    <cellStyle name="Moeda 2 2 2 3 2 2 2 3" xfId="9823" xr:uid="{09E82B5C-7590-436E-8D5A-A624DFA7212B}"/>
    <cellStyle name="Moeda 2 2 2 3 2 2 3" xfId="9333" xr:uid="{596BA784-3D57-4C81-98CE-C252EA7EC16B}"/>
    <cellStyle name="Moeda 2 2 2 3 2 2 4" xfId="9669" xr:uid="{71F58FA4-B5C0-4CFA-B867-58B9D92B2D27}"/>
    <cellStyle name="Moeda 2 2 2 3 2 3" xfId="9037" xr:uid="{00000000-0005-0000-0000-0000B80E0000}"/>
    <cellStyle name="Moeda 2 2 2 3 2 3 2" xfId="9410" xr:uid="{E5FA3569-2073-433D-B133-7EDF2B70FA2B}"/>
    <cellStyle name="Moeda 2 2 2 3 2 3 3" xfId="9746" xr:uid="{4EE739ED-5B41-4E13-8709-92AD17325E60}"/>
    <cellStyle name="Moeda 2 2 2 3 2 4" xfId="9255" xr:uid="{A42B5C6B-1849-4508-8322-8CCA5078465E}"/>
    <cellStyle name="Moeda 2 2 2 3 2 5" xfId="9591" xr:uid="{F23259E2-CD1F-4203-B1B3-9D3424A8F6B4}"/>
    <cellStyle name="Moeda 2 2 2 3 3" xfId="8919" xr:uid="{00000000-0005-0000-0000-0000B90E0000}"/>
    <cellStyle name="Moeda 2 2 2 3 3 2" xfId="9083" xr:uid="{00000000-0005-0000-0000-0000BA0E0000}"/>
    <cellStyle name="Moeda 2 2 2 3 3 2 2" xfId="9456" xr:uid="{733BE04B-085B-473F-A601-E9C4C023EA0D}"/>
    <cellStyle name="Moeda 2 2 2 3 3 2 3" xfId="9792" xr:uid="{6C2FD1FF-B44D-4349-997A-6BCE5A92D662}"/>
    <cellStyle name="Moeda 2 2 2 3 3 3" xfId="9302" xr:uid="{1C010FBE-F42C-42F5-8B1C-62316532D30D}"/>
    <cellStyle name="Moeda 2 2 2 3 3 4" xfId="9638" xr:uid="{5F40CA43-D591-4DF2-BF00-611A32B3F1DB}"/>
    <cellStyle name="Moeda 2 2 2 3 4" xfId="9008" xr:uid="{00000000-0005-0000-0000-0000BB0E0000}"/>
    <cellStyle name="Moeda 2 2 2 3 4 2" xfId="9381" xr:uid="{B4BB1608-83B2-4E3F-861A-05ACEFF5A775}"/>
    <cellStyle name="Moeda 2 2 2 3 4 3" xfId="9717" xr:uid="{4AA37733-BC6A-489A-A393-C4B3C1F213FE}"/>
    <cellStyle name="Moeda 2 2 2 3 5" xfId="9224" xr:uid="{8B515B4F-B1FF-4BE4-A8A5-F7E364FE691E}"/>
    <cellStyle name="Moeda 2 2 2 3 6" xfId="9560" xr:uid="{E46BB371-6EC9-48DD-8ED7-C0BF23301461}"/>
    <cellStyle name="Moeda 2 2 2 4" xfId="3778" xr:uid="{00000000-0005-0000-0000-0000BC0E0000}"/>
    <cellStyle name="Moeda 2 2 2 4 2" xfId="8689" xr:uid="{00000000-0005-0000-0000-0000BD0E0000}"/>
    <cellStyle name="Moeda 2 2 2 4 2 2" xfId="8955" xr:uid="{00000000-0005-0000-0000-0000BE0E0000}"/>
    <cellStyle name="Moeda 2 2 2 4 2 2 2" xfId="9119" xr:uid="{00000000-0005-0000-0000-0000BF0E0000}"/>
    <cellStyle name="Moeda 2 2 2 4 2 2 2 2" xfId="9492" xr:uid="{6D73FE94-263A-44D9-9D8A-661997092FBB}"/>
    <cellStyle name="Moeda 2 2 2 4 2 2 2 3" xfId="9828" xr:uid="{7B2A2A15-91C2-4263-80D2-A77DE73F008A}"/>
    <cellStyle name="Moeda 2 2 2 4 2 2 3" xfId="9338" xr:uid="{6A52F953-03F6-457C-A074-F7A4899DBA69}"/>
    <cellStyle name="Moeda 2 2 2 4 2 2 4" xfId="9674" xr:uid="{F05E7B57-113B-47D5-A9D8-4F5827924CE5}"/>
    <cellStyle name="Moeda 2 2 2 4 2 3" xfId="9042" xr:uid="{00000000-0005-0000-0000-0000C00E0000}"/>
    <cellStyle name="Moeda 2 2 2 4 2 3 2" xfId="9415" xr:uid="{5BDB1C64-6304-464D-83D5-891C33121694}"/>
    <cellStyle name="Moeda 2 2 2 4 2 3 3" xfId="9751" xr:uid="{FC2E8FB7-4718-4457-9FAB-7CAEAB402C03}"/>
    <cellStyle name="Moeda 2 2 2 4 2 4" xfId="9260" xr:uid="{DE30596C-3A88-4A79-B118-69B6A9B17ED1}"/>
    <cellStyle name="Moeda 2 2 2 4 2 5" xfId="9596" xr:uid="{FAE140CD-D8D1-48CF-AED6-41F220D0BC4D}"/>
    <cellStyle name="Moeda 2 2 2 4 3" xfId="8929" xr:uid="{00000000-0005-0000-0000-0000C10E0000}"/>
    <cellStyle name="Moeda 2 2 2 4 3 2" xfId="9093" xr:uid="{00000000-0005-0000-0000-0000C20E0000}"/>
    <cellStyle name="Moeda 2 2 2 4 3 2 2" xfId="9466" xr:uid="{3CD2E3EC-AF59-4D65-92BF-A837C2F94F0D}"/>
    <cellStyle name="Moeda 2 2 2 4 3 2 3" xfId="9802" xr:uid="{23D53667-0DD9-4627-9583-B797CB4DD4F9}"/>
    <cellStyle name="Moeda 2 2 2 4 3 3" xfId="9312" xr:uid="{F3BF0A02-9663-4B02-850E-A9F47F2A1597}"/>
    <cellStyle name="Moeda 2 2 2 4 3 4" xfId="9648" xr:uid="{A1230BAF-385F-4556-94A5-EAADDD97561D}"/>
    <cellStyle name="Moeda 2 2 2 4 4" xfId="9016" xr:uid="{00000000-0005-0000-0000-0000C30E0000}"/>
    <cellStyle name="Moeda 2 2 2 4 4 2" xfId="9389" xr:uid="{DA1865CB-2CEC-4345-80A9-A2BD19D16C12}"/>
    <cellStyle name="Moeda 2 2 2 4 4 3" xfId="9725" xr:uid="{B4808C56-FFD5-4D5C-97B4-5D9505F224E1}"/>
    <cellStyle name="Moeda 2 2 2 4 5" xfId="9234" xr:uid="{F11B144C-95FE-4B90-BDB6-DABB6F36B310}"/>
    <cellStyle name="Moeda 2 2 2 4 6" xfId="9570" xr:uid="{3A47D561-A859-4A3B-AAA6-4848A5DC460D}"/>
    <cellStyle name="Moeda 2 2 2 5" xfId="2876" xr:uid="{00000000-0005-0000-0000-0000C40E0000}"/>
    <cellStyle name="Moeda 2 2 2 5 2" xfId="8907" xr:uid="{00000000-0005-0000-0000-0000C50E0000}"/>
    <cellStyle name="Moeda 2 2 2 5 2 2" xfId="9071" xr:uid="{00000000-0005-0000-0000-0000C60E0000}"/>
    <cellStyle name="Moeda 2 2 2 5 2 2 2" xfId="9444" xr:uid="{B836975F-8ABA-4D4C-A94C-5BE42C1C60AF}"/>
    <cellStyle name="Moeda 2 2 2 5 2 2 3" xfId="9780" xr:uid="{0DD3EC01-A86C-4A60-899B-738A801476B6}"/>
    <cellStyle name="Moeda 2 2 2 5 2 3" xfId="9290" xr:uid="{1CFE3118-3C76-4820-80C2-8330A6F3DF13}"/>
    <cellStyle name="Moeda 2 2 2 5 2 4" xfId="9626" xr:uid="{3F87595E-9F86-4161-92CD-8E3ED06C12A3}"/>
    <cellStyle name="Moeda 2 2 2 5 3" xfId="8996" xr:uid="{00000000-0005-0000-0000-0000C70E0000}"/>
    <cellStyle name="Moeda 2 2 2 5 3 2" xfId="9369" xr:uid="{A3B1C66C-490B-4269-B533-2C1FA500750E}"/>
    <cellStyle name="Moeda 2 2 2 5 3 3" xfId="9705" xr:uid="{C215F091-C325-4F8F-8E16-E49A1F04B2B0}"/>
    <cellStyle name="Moeda 2 2 2 5 4" xfId="9212" xr:uid="{0484A6B6-0ECC-4E95-89F5-CF3D41376306}"/>
    <cellStyle name="Moeda 2 2 2 5 5" xfId="9548" xr:uid="{AA222CFA-8B31-41DD-AF94-1D82AB6C5AEE}"/>
    <cellStyle name="Moeda 2 2 2 6" xfId="7853" xr:uid="{00000000-0005-0000-0000-0000C80E0000}"/>
    <cellStyle name="Moeda 2 2 2 6 2" xfId="8935" xr:uid="{00000000-0005-0000-0000-0000C90E0000}"/>
    <cellStyle name="Moeda 2 2 2 6 2 2" xfId="9099" xr:uid="{00000000-0005-0000-0000-0000CA0E0000}"/>
    <cellStyle name="Moeda 2 2 2 6 2 2 2" xfId="9472" xr:uid="{84FD5F03-7C19-4787-8AE3-26B775DDAC77}"/>
    <cellStyle name="Moeda 2 2 2 6 2 2 3" xfId="9808" xr:uid="{2C73568C-BECC-4CAD-8446-66604FE344F5}"/>
    <cellStyle name="Moeda 2 2 2 6 2 3" xfId="9318" xr:uid="{A9AECA4A-596A-4F52-B0A3-56C5DE8004E6}"/>
    <cellStyle name="Moeda 2 2 2 6 2 4" xfId="9654" xr:uid="{C20227D0-7CD3-4715-8F38-C951C356A00E}"/>
    <cellStyle name="Moeda 2 2 2 6 3" xfId="9022" xr:uid="{00000000-0005-0000-0000-0000CB0E0000}"/>
    <cellStyle name="Moeda 2 2 2 6 3 2" xfId="9395" xr:uid="{545339FB-71C0-4479-AF87-50903439A7F0}"/>
    <cellStyle name="Moeda 2 2 2 6 3 3" xfId="9731" xr:uid="{B1E57761-2F79-4498-A326-3228E32BBB6E}"/>
    <cellStyle name="Moeda 2 2 2 6 4" xfId="9240" xr:uid="{0B02131A-BCBE-4403-939E-22A13EED32E9}"/>
    <cellStyle name="Moeda 2 2 2 6 5" xfId="9576" xr:uid="{576CD525-A938-49C4-B756-6BF61BEDA8B2}"/>
    <cellStyle name="Moeda 2 2 2 7" xfId="8898" xr:uid="{00000000-0005-0000-0000-0000CC0E0000}"/>
    <cellStyle name="Moeda 2 2 2 7 2" xfId="9062" xr:uid="{00000000-0005-0000-0000-0000CD0E0000}"/>
    <cellStyle name="Moeda 2 2 2 7 2 2" xfId="9435" xr:uid="{2536416F-452C-453C-9833-3FAB32D3264B}"/>
    <cellStyle name="Moeda 2 2 2 7 2 3" xfId="9771" xr:uid="{00FBB6F4-3604-47F7-9DA9-12D2B231E519}"/>
    <cellStyle name="Moeda 2 2 2 7 3" xfId="9281" xr:uid="{7C11D158-D381-40FD-9398-C531CA68930D}"/>
    <cellStyle name="Moeda 2 2 2 7 4" xfId="9617" xr:uid="{0DD3AE6A-1EF3-462C-BA47-B7043FDA0202}"/>
    <cellStyle name="Moeda 2 2 2 8" xfId="8987" xr:uid="{00000000-0005-0000-0000-0000CE0E0000}"/>
    <cellStyle name="Moeda 2 2 2 8 2" xfId="9360" xr:uid="{4E915A9B-B028-49FC-9DE4-1D7B5C85D3DB}"/>
    <cellStyle name="Moeda 2 2 2 8 3" xfId="9696" xr:uid="{959075E1-34F8-4A7C-8CEB-12F3E75136B7}"/>
    <cellStyle name="Moeda 2 2 2 9" xfId="2641" xr:uid="{00000000-0005-0000-0000-0000CF0E0000}"/>
    <cellStyle name="Moeda 2 2 2 9 2" xfId="9203" xr:uid="{2886D2AE-FF2C-4476-9B03-4E9A31D02D75}"/>
    <cellStyle name="Moeda 2 2 2 9 3" xfId="9539" xr:uid="{2094CB75-4DD2-4EEC-83C1-E5078A678BD5}"/>
    <cellStyle name="Moeda 2 2 3" xfId="2642" xr:uid="{00000000-0005-0000-0000-0000D00E0000}"/>
    <cellStyle name="Moeda 2 2 3 10" xfId="9540" xr:uid="{037FB5EE-8F97-488D-9F17-624981EC5E60}"/>
    <cellStyle name="Moeda 2 2 3 2" xfId="2970" xr:uid="{00000000-0005-0000-0000-0000D10E0000}"/>
    <cellStyle name="Moeda 2 2 3 2 2" xfId="8026" xr:uid="{00000000-0005-0000-0000-0000D20E0000}"/>
    <cellStyle name="Moeda 2 2 3 2 2 2" xfId="8945" xr:uid="{00000000-0005-0000-0000-0000D30E0000}"/>
    <cellStyle name="Moeda 2 2 3 2 2 2 2" xfId="9109" xr:uid="{00000000-0005-0000-0000-0000D40E0000}"/>
    <cellStyle name="Moeda 2 2 3 2 2 2 2 2" xfId="9482" xr:uid="{75078B0F-6A23-4F72-AEF8-8E001572C1C2}"/>
    <cellStyle name="Moeda 2 2 3 2 2 2 2 3" xfId="9818" xr:uid="{F104A88A-158C-43E0-A569-76EB247500CE}"/>
    <cellStyle name="Moeda 2 2 3 2 2 2 3" xfId="9328" xr:uid="{CBC5B8BB-2252-45CD-A478-4BE0B2ED88DE}"/>
    <cellStyle name="Moeda 2 2 3 2 2 2 4" xfId="9664" xr:uid="{2D47AF01-5538-4F67-8746-9A9D199AE636}"/>
    <cellStyle name="Moeda 2 2 3 2 2 3" xfId="9032" xr:uid="{00000000-0005-0000-0000-0000D50E0000}"/>
    <cellStyle name="Moeda 2 2 3 2 2 3 2" xfId="9405" xr:uid="{BD549992-168A-4567-871F-FAAE98CBBC27}"/>
    <cellStyle name="Moeda 2 2 3 2 2 3 3" xfId="9741" xr:uid="{7D441BFA-8696-42A1-9021-B2C1E66C8145}"/>
    <cellStyle name="Moeda 2 2 3 2 2 4" xfId="9250" xr:uid="{71AD1431-7849-4837-8E85-ABB079A72D92}"/>
    <cellStyle name="Moeda 2 2 3 2 2 5" xfId="9586" xr:uid="{0BB6542D-1741-431D-BC0A-782AD96E8829}"/>
    <cellStyle name="Moeda 2 2 3 2 3" xfId="8914" xr:uid="{00000000-0005-0000-0000-0000D60E0000}"/>
    <cellStyle name="Moeda 2 2 3 2 3 2" xfId="9078" xr:uid="{00000000-0005-0000-0000-0000D70E0000}"/>
    <cellStyle name="Moeda 2 2 3 2 3 2 2" xfId="9451" xr:uid="{7EF4C592-0AB9-4935-B4BE-07801CF26080}"/>
    <cellStyle name="Moeda 2 2 3 2 3 2 3" xfId="9787" xr:uid="{F48CCD1A-04AE-431C-82B4-B01C01305867}"/>
    <cellStyle name="Moeda 2 2 3 2 3 3" xfId="9297" xr:uid="{671EDFE9-842A-4791-8961-91FAD66AC9DD}"/>
    <cellStyle name="Moeda 2 2 3 2 3 4" xfId="9633" xr:uid="{546149D1-3A3B-4CD4-9DF4-E6F45B1F84C3}"/>
    <cellStyle name="Moeda 2 2 3 2 4" xfId="9003" xr:uid="{00000000-0005-0000-0000-0000D80E0000}"/>
    <cellStyle name="Moeda 2 2 3 2 4 2" xfId="9376" xr:uid="{45ED85B8-2EED-453A-A8CD-019F2C68D469}"/>
    <cellStyle name="Moeda 2 2 3 2 4 3" xfId="9712" xr:uid="{D09BEED8-99F4-4601-99CF-5D16F2264074}"/>
    <cellStyle name="Moeda 2 2 3 2 5" xfId="9219" xr:uid="{47A5F72B-BE9C-4E0E-808A-7364045590E2}"/>
    <cellStyle name="Moeda 2 2 3 2 6" xfId="9555" xr:uid="{689FDB34-EF95-4B23-998E-DE975D53C3B7}"/>
    <cellStyle name="Moeda 2 2 3 3" xfId="3070" xr:uid="{00000000-0005-0000-0000-0000D90E0000}"/>
    <cellStyle name="Moeda 2 2 3 3 2" xfId="8126" xr:uid="{00000000-0005-0000-0000-0000DA0E0000}"/>
    <cellStyle name="Moeda 2 2 3 3 2 2" xfId="8951" xr:uid="{00000000-0005-0000-0000-0000DB0E0000}"/>
    <cellStyle name="Moeda 2 2 3 3 2 2 2" xfId="9115" xr:uid="{00000000-0005-0000-0000-0000DC0E0000}"/>
    <cellStyle name="Moeda 2 2 3 3 2 2 2 2" xfId="9488" xr:uid="{1F716C85-CBCB-486E-A82C-80076F3E8171}"/>
    <cellStyle name="Moeda 2 2 3 3 2 2 2 3" xfId="9824" xr:uid="{2FC7618F-3329-41FA-9A0F-716863480881}"/>
    <cellStyle name="Moeda 2 2 3 3 2 2 3" xfId="9334" xr:uid="{E03BDDB1-655C-4611-BECD-C52D6A41CB1D}"/>
    <cellStyle name="Moeda 2 2 3 3 2 2 4" xfId="9670" xr:uid="{C5C6B784-86F7-48DA-92A8-34615DACE687}"/>
    <cellStyle name="Moeda 2 2 3 3 2 3" xfId="9038" xr:uid="{00000000-0005-0000-0000-0000DD0E0000}"/>
    <cellStyle name="Moeda 2 2 3 3 2 3 2" xfId="9411" xr:uid="{DD11EF0B-CB5C-452B-9AEF-BC320A5FF7F6}"/>
    <cellStyle name="Moeda 2 2 3 3 2 3 3" xfId="9747" xr:uid="{23BD2457-E6CF-4B3F-ABEC-B4CEE9CB8714}"/>
    <cellStyle name="Moeda 2 2 3 3 2 4" xfId="9256" xr:uid="{A156666F-77A1-4037-B29B-0481E8F1700F}"/>
    <cellStyle name="Moeda 2 2 3 3 2 5" xfId="9592" xr:uid="{A8C1F5DB-339D-4555-9C9C-CD49E5D4AEDB}"/>
    <cellStyle name="Moeda 2 2 3 3 3" xfId="8920" xr:uid="{00000000-0005-0000-0000-0000DE0E0000}"/>
    <cellStyle name="Moeda 2 2 3 3 3 2" xfId="9084" xr:uid="{00000000-0005-0000-0000-0000DF0E0000}"/>
    <cellStyle name="Moeda 2 2 3 3 3 2 2" xfId="9457" xr:uid="{2602AC88-CCA4-4A23-8D7A-DC05F906C779}"/>
    <cellStyle name="Moeda 2 2 3 3 3 2 3" xfId="9793" xr:uid="{FDDF586D-7CC8-4F6F-ACDC-A6288E278B02}"/>
    <cellStyle name="Moeda 2 2 3 3 3 3" xfId="9303" xr:uid="{01D1866A-72E3-4CF5-ABA5-53A7143A842F}"/>
    <cellStyle name="Moeda 2 2 3 3 3 4" xfId="9639" xr:uid="{846E8594-9309-496F-952C-172C1410C40E}"/>
    <cellStyle name="Moeda 2 2 3 3 4" xfId="9009" xr:uid="{00000000-0005-0000-0000-0000E00E0000}"/>
    <cellStyle name="Moeda 2 2 3 3 4 2" xfId="9382" xr:uid="{CCC07D3A-7C52-44B7-844F-4884F4F75019}"/>
    <cellStyle name="Moeda 2 2 3 3 4 3" xfId="9718" xr:uid="{C0384AAA-7B4E-4831-B436-30EC6364A9BA}"/>
    <cellStyle name="Moeda 2 2 3 3 5" xfId="9225" xr:uid="{3B4D49F1-8D3D-4690-ACC9-C9161287DD30}"/>
    <cellStyle name="Moeda 2 2 3 3 6" xfId="9561" xr:uid="{5AACF6C7-BBC1-403C-A50A-C14E2091EBCD}"/>
    <cellStyle name="Moeda 2 2 3 4" xfId="3728" xr:uid="{00000000-0005-0000-0000-0000E10E0000}"/>
    <cellStyle name="Moeda 2 2 3 4 2" xfId="8642" xr:uid="{00000000-0005-0000-0000-0000E20E0000}"/>
    <cellStyle name="Moeda 2 2 3 4 2 2" xfId="8953" xr:uid="{00000000-0005-0000-0000-0000E30E0000}"/>
    <cellStyle name="Moeda 2 2 3 4 2 2 2" xfId="9117" xr:uid="{00000000-0005-0000-0000-0000E40E0000}"/>
    <cellStyle name="Moeda 2 2 3 4 2 2 2 2" xfId="9490" xr:uid="{7A57632B-C953-4AA5-97B2-4DA8B327B594}"/>
    <cellStyle name="Moeda 2 2 3 4 2 2 2 3" xfId="9826" xr:uid="{4A6585FD-3C5D-460F-968E-69555ED0B6A8}"/>
    <cellStyle name="Moeda 2 2 3 4 2 2 3" xfId="9336" xr:uid="{03843AAD-C94B-401E-B027-1837483636AB}"/>
    <cellStyle name="Moeda 2 2 3 4 2 2 4" xfId="9672" xr:uid="{20A7A4B4-2C8D-4F5F-A651-CF2144C34C33}"/>
    <cellStyle name="Moeda 2 2 3 4 2 3" xfId="9040" xr:uid="{00000000-0005-0000-0000-0000E50E0000}"/>
    <cellStyle name="Moeda 2 2 3 4 2 3 2" xfId="9413" xr:uid="{0B2A111D-B8A2-4E2E-A16E-906433C9BA64}"/>
    <cellStyle name="Moeda 2 2 3 4 2 3 3" xfId="9749" xr:uid="{42CDCD08-C8C4-4349-90F4-A6BB95853D20}"/>
    <cellStyle name="Moeda 2 2 3 4 2 4" xfId="9258" xr:uid="{AC3C71C3-83CF-4395-9E17-5C604219A75E}"/>
    <cellStyle name="Moeda 2 2 3 4 2 5" xfId="9594" xr:uid="{2F8E354D-2CEA-4F91-B9AA-D0B5EEDED074}"/>
    <cellStyle name="Moeda 2 2 3 4 3" xfId="8926" xr:uid="{00000000-0005-0000-0000-0000E60E0000}"/>
    <cellStyle name="Moeda 2 2 3 4 3 2" xfId="9090" xr:uid="{00000000-0005-0000-0000-0000E70E0000}"/>
    <cellStyle name="Moeda 2 2 3 4 3 2 2" xfId="9463" xr:uid="{E86F4F94-19AE-4184-8AB7-38D452A0684E}"/>
    <cellStyle name="Moeda 2 2 3 4 3 2 3" xfId="9799" xr:uid="{6D00CD74-DA9E-4862-9671-984E2C918CC5}"/>
    <cellStyle name="Moeda 2 2 3 4 3 3" xfId="9309" xr:uid="{2858E557-8AD7-4431-971C-FD40B9697A29}"/>
    <cellStyle name="Moeda 2 2 3 4 3 4" xfId="9645" xr:uid="{029C5CAB-9FA1-4420-AFA6-9F4FF400CD79}"/>
    <cellStyle name="Moeda 2 2 3 4 4" xfId="9013" xr:uid="{00000000-0005-0000-0000-0000E80E0000}"/>
    <cellStyle name="Moeda 2 2 3 4 4 2" xfId="9386" xr:uid="{23EFB0C8-607B-41D6-A4EC-1B12558DCA49}"/>
    <cellStyle name="Moeda 2 2 3 4 4 3" xfId="9722" xr:uid="{B7670B34-88AC-46A7-A68D-9BBB7B40C737}"/>
    <cellStyle name="Moeda 2 2 3 4 5" xfId="9231" xr:uid="{4D516E1D-6D15-4326-879E-BE3CF833F86D}"/>
    <cellStyle name="Moeda 2 2 3 4 6" xfId="9567" xr:uid="{610DCFD5-71DE-43A1-ADCC-C711D29FEB32}"/>
    <cellStyle name="Moeda 2 2 3 5" xfId="2877" xr:uid="{00000000-0005-0000-0000-0000E90E0000}"/>
    <cellStyle name="Moeda 2 2 3 5 2" xfId="8908" xr:uid="{00000000-0005-0000-0000-0000EA0E0000}"/>
    <cellStyle name="Moeda 2 2 3 5 2 2" xfId="9072" xr:uid="{00000000-0005-0000-0000-0000EB0E0000}"/>
    <cellStyle name="Moeda 2 2 3 5 2 2 2" xfId="9445" xr:uid="{7CD6FA6F-8AAE-41DA-922F-84455F58090E}"/>
    <cellStyle name="Moeda 2 2 3 5 2 2 3" xfId="9781" xr:uid="{FC639772-B80B-4162-91CF-74E9F27CDCB0}"/>
    <cellStyle name="Moeda 2 2 3 5 2 3" xfId="9291" xr:uid="{BF64507A-DA10-4989-AFEE-D70690D9E178}"/>
    <cellStyle name="Moeda 2 2 3 5 2 4" xfId="9627" xr:uid="{4212F609-2B4F-49EB-945D-ACFF32D6F559}"/>
    <cellStyle name="Moeda 2 2 3 5 3" xfId="8997" xr:uid="{00000000-0005-0000-0000-0000EC0E0000}"/>
    <cellStyle name="Moeda 2 2 3 5 3 2" xfId="9370" xr:uid="{E817D1EF-45E6-434D-823A-EB63A8D27D2C}"/>
    <cellStyle name="Moeda 2 2 3 5 3 3" xfId="9706" xr:uid="{0A36DED2-6ECA-43A0-89E5-2D69D7A40BC3}"/>
    <cellStyle name="Moeda 2 2 3 5 4" xfId="9213" xr:uid="{85BA6ACF-70E1-4971-900D-BB0393EDEB16}"/>
    <cellStyle name="Moeda 2 2 3 5 5" xfId="9549" xr:uid="{1D2BB4FD-354C-474C-80F2-BD23AAB8E8DE}"/>
    <cellStyle name="Moeda 2 2 3 6" xfId="7854" xr:uid="{00000000-0005-0000-0000-0000ED0E0000}"/>
    <cellStyle name="Moeda 2 2 3 6 2" xfId="8936" xr:uid="{00000000-0005-0000-0000-0000EE0E0000}"/>
    <cellStyle name="Moeda 2 2 3 6 2 2" xfId="9100" xr:uid="{00000000-0005-0000-0000-0000EF0E0000}"/>
    <cellStyle name="Moeda 2 2 3 6 2 2 2" xfId="9473" xr:uid="{48FB0468-AC59-44FE-B34B-E7BCE9FE6C70}"/>
    <cellStyle name="Moeda 2 2 3 6 2 2 3" xfId="9809" xr:uid="{D9BA95E7-E707-4884-8D37-E18E6F43604E}"/>
    <cellStyle name="Moeda 2 2 3 6 2 3" xfId="9319" xr:uid="{2CB353E1-3B90-441F-BA79-609BD13AE234}"/>
    <cellStyle name="Moeda 2 2 3 6 2 4" xfId="9655" xr:uid="{C863C32B-F6BE-415E-92DF-493C13C1E1ED}"/>
    <cellStyle name="Moeda 2 2 3 6 3" xfId="9023" xr:uid="{00000000-0005-0000-0000-0000F00E0000}"/>
    <cellStyle name="Moeda 2 2 3 6 3 2" xfId="9396" xr:uid="{FE42ECDC-C827-497A-8CAE-E7279074DC50}"/>
    <cellStyle name="Moeda 2 2 3 6 3 3" xfId="9732" xr:uid="{285DD579-EE6D-4AD1-8BA4-9548A384426C}"/>
    <cellStyle name="Moeda 2 2 3 6 4" xfId="9241" xr:uid="{8684A34A-BA1C-4E3A-B095-C4AC746A6660}"/>
    <cellStyle name="Moeda 2 2 3 6 5" xfId="9577" xr:uid="{7B42FACE-781D-4FAB-A291-E30FB12F9BB9}"/>
    <cellStyle name="Moeda 2 2 3 7" xfId="8899" xr:uid="{00000000-0005-0000-0000-0000F10E0000}"/>
    <cellStyle name="Moeda 2 2 3 7 2" xfId="9063" xr:uid="{00000000-0005-0000-0000-0000F20E0000}"/>
    <cellStyle name="Moeda 2 2 3 7 2 2" xfId="9436" xr:uid="{5DDEB3B6-9D77-4A83-8144-15C86D97364E}"/>
    <cellStyle name="Moeda 2 2 3 7 2 3" xfId="9772" xr:uid="{84EFBF21-D0BB-4494-B34D-8FF1E4E0531D}"/>
    <cellStyle name="Moeda 2 2 3 7 3" xfId="9282" xr:uid="{53484C6B-3932-4018-935E-3B75FDDE7132}"/>
    <cellStyle name="Moeda 2 2 3 7 4" xfId="9618" xr:uid="{27B1D0EC-9A1E-4F04-819C-784D40EEB950}"/>
    <cellStyle name="Moeda 2 2 3 8" xfId="8988" xr:uid="{00000000-0005-0000-0000-0000F30E0000}"/>
    <cellStyle name="Moeda 2 2 3 8 2" xfId="9361" xr:uid="{C8A2E2A3-6609-429F-B0F9-A204D9A15434}"/>
    <cellStyle name="Moeda 2 2 3 8 3" xfId="9697" xr:uid="{027B77B8-0DD3-496A-92C6-D22EB97D06DA}"/>
    <cellStyle name="Moeda 2 2 3 9" xfId="9204" xr:uid="{C5D624CC-05E6-4D39-AAB9-77FE97EC982D}"/>
    <cellStyle name="Moeda 2 2 4" xfId="8891" xr:uid="{00000000-0005-0000-0000-0000F40E0000}"/>
    <cellStyle name="Moeda 2 2 4 2" xfId="9055" xr:uid="{00000000-0005-0000-0000-0000F50E0000}"/>
    <cellStyle name="Moeda 2 2 4 2 2" xfId="9428" xr:uid="{A89C2E15-BD12-42F3-A4D1-505C6D601E1B}"/>
    <cellStyle name="Moeda 2 2 4 2 3" xfId="9764" xr:uid="{0F7DA045-350E-4C31-AEB9-25DC0F446F94}"/>
    <cellStyle name="Moeda 2 2 4 3" xfId="9274" xr:uid="{24AED9C7-FB73-468C-B177-1DCBC2064148}"/>
    <cellStyle name="Moeda 2 2 4 4" xfId="9610" xr:uid="{BC8C6D82-25FE-4C51-9A55-E0BEA567E353}"/>
    <cellStyle name="Moeda 2 2 5" xfId="8980" xr:uid="{00000000-0005-0000-0000-0000F60E0000}"/>
    <cellStyle name="Moeda 2 2 5 2" xfId="9353" xr:uid="{DF638B7F-3FC1-41FA-98E6-414FF532A3A3}"/>
    <cellStyle name="Moeda 2 2 5 3" xfId="9689" xr:uid="{F4A1E723-C8A8-4277-8FEA-EB007EF166B5}"/>
    <cellStyle name="Moeda 2 2 6" xfId="2121" xr:uid="{00000000-0005-0000-0000-0000F70E0000}"/>
    <cellStyle name="Moeda 2 2 6 2" xfId="9196" xr:uid="{D4D522EB-42F9-46AF-A2CE-CDC934584D79}"/>
    <cellStyle name="Moeda 2 2 6 3" xfId="9532" xr:uid="{2CA5D266-1A79-4D68-905F-D88770EEDB6F}"/>
    <cellStyle name="Moeda 2 2 7" xfId="9178" xr:uid="{0FF7DEC3-6666-458E-A1AB-B3DBC15B7585}"/>
    <cellStyle name="Moeda 2 2 8" xfId="9514" xr:uid="{24A27CDB-E854-43FD-944A-7E253785A815}"/>
    <cellStyle name="Moeda 2 3" xfId="2643" xr:uid="{00000000-0005-0000-0000-0000F80E0000}"/>
    <cellStyle name="Moeda 2 3 10" xfId="9541" xr:uid="{BC6C821E-7322-401C-91B6-06DDB94BF604}"/>
    <cellStyle name="Moeda 2 3 2" xfId="2968" xr:uid="{00000000-0005-0000-0000-0000F90E0000}"/>
    <cellStyle name="Moeda 2 3 2 2" xfId="8024" xr:uid="{00000000-0005-0000-0000-0000FA0E0000}"/>
    <cellStyle name="Moeda 2 3 2 2 2" xfId="8943" xr:uid="{00000000-0005-0000-0000-0000FB0E0000}"/>
    <cellStyle name="Moeda 2 3 2 2 2 2" xfId="9107" xr:uid="{00000000-0005-0000-0000-0000FC0E0000}"/>
    <cellStyle name="Moeda 2 3 2 2 2 2 2" xfId="9480" xr:uid="{E124CA1D-3BEC-4B96-BDCB-33229D4726D6}"/>
    <cellStyle name="Moeda 2 3 2 2 2 2 3" xfId="9816" xr:uid="{EFD96125-3C03-40FD-BBEC-E00F4C03BB29}"/>
    <cellStyle name="Moeda 2 3 2 2 2 3" xfId="9326" xr:uid="{C0E1B54A-8C08-4D8B-B0F4-8B775B94DC14}"/>
    <cellStyle name="Moeda 2 3 2 2 2 4" xfId="9662" xr:uid="{D524348C-1809-4EFE-96D5-A3BDDACEFF0B}"/>
    <cellStyle name="Moeda 2 3 2 2 3" xfId="9030" xr:uid="{00000000-0005-0000-0000-0000FD0E0000}"/>
    <cellStyle name="Moeda 2 3 2 2 3 2" xfId="9403" xr:uid="{DB99C297-81EB-4015-8F36-93F6DC2CE56A}"/>
    <cellStyle name="Moeda 2 3 2 2 3 3" xfId="9739" xr:uid="{0E93398D-9D15-44BE-96E9-A893038F9D69}"/>
    <cellStyle name="Moeda 2 3 2 2 4" xfId="9248" xr:uid="{3EB23049-DCA3-40F4-ACD7-BC343256000D}"/>
    <cellStyle name="Moeda 2 3 2 2 5" xfId="9584" xr:uid="{E725EEBE-9122-4D5E-9B08-FCFC92EB10F1}"/>
    <cellStyle name="Moeda 2 3 2 3" xfId="8912" xr:uid="{00000000-0005-0000-0000-0000FE0E0000}"/>
    <cellStyle name="Moeda 2 3 2 3 2" xfId="9076" xr:uid="{00000000-0005-0000-0000-0000FF0E0000}"/>
    <cellStyle name="Moeda 2 3 2 3 2 2" xfId="9449" xr:uid="{F776626A-831E-4B16-8A1C-7964D6AECA6A}"/>
    <cellStyle name="Moeda 2 3 2 3 2 3" xfId="9785" xr:uid="{20194233-2D60-4259-9387-47592BE225D5}"/>
    <cellStyle name="Moeda 2 3 2 3 3" xfId="9295" xr:uid="{115CF040-5CB1-450E-A2EF-B885D36071A9}"/>
    <cellStyle name="Moeda 2 3 2 3 4" xfId="9631" xr:uid="{86BC90DC-4C3F-4EBC-A0C4-F9F0DD7C1460}"/>
    <cellStyle name="Moeda 2 3 2 4" xfId="9001" xr:uid="{00000000-0005-0000-0000-0000000F0000}"/>
    <cellStyle name="Moeda 2 3 2 4 2" xfId="9374" xr:uid="{02499231-B163-43EC-8F95-03ABFAE2A9E5}"/>
    <cellStyle name="Moeda 2 3 2 4 3" xfId="9710" xr:uid="{4B8E8022-CE71-4D1A-8223-599D414A608A}"/>
    <cellStyle name="Moeda 2 3 2 5" xfId="9217" xr:uid="{E1558D09-807E-4F0B-8115-4999E7598398}"/>
    <cellStyle name="Moeda 2 3 2 6" xfId="9553" xr:uid="{027D9411-83FD-4CA7-82AB-1520D67C6179}"/>
    <cellStyle name="Moeda 2 3 3" xfId="3068" xr:uid="{00000000-0005-0000-0000-0000010F0000}"/>
    <cellStyle name="Moeda 2 3 3 2" xfId="8124" xr:uid="{00000000-0005-0000-0000-0000020F0000}"/>
    <cellStyle name="Moeda 2 3 3 2 2" xfId="8949" xr:uid="{00000000-0005-0000-0000-0000030F0000}"/>
    <cellStyle name="Moeda 2 3 3 2 2 2" xfId="9113" xr:uid="{00000000-0005-0000-0000-0000040F0000}"/>
    <cellStyle name="Moeda 2 3 3 2 2 2 2" xfId="9486" xr:uid="{08375617-875B-40EA-B0CC-92FC04ADF2DD}"/>
    <cellStyle name="Moeda 2 3 3 2 2 2 3" xfId="9822" xr:uid="{CE58660B-E9A5-45A3-A47E-385D59899DD8}"/>
    <cellStyle name="Moeda 2 3 3 2 2 3" xfId="9332" xr:uid="{13C62CA8-605E-46C8-9969-81AA36C520C3}"/>
    <cellStyle name="Moeda 2 3 3 2 2 4" xfId="9668" xr:uid="{A946EE8C-07EB-421C-A192-933CD60DA0FC}"/>
    <cellStyle name="Moeda 2 3 3 2 3" xfId="9036" xr:uid="{00000000-0005-0000-0000-0000050F0000}"/>
    <cellStyle name="Moeda 2 3 3 2 3 2" xfId="9409" xr:uid="{F1F0BF8F-F76C-448E-9A32-BB86E567BC6D}"/>
    <cellStyle name="Moeda 2 3 3 2 3 3" xfId="9745" xr:uid="{7DDA4D3E-69CA-4EE6-AA53-6269D0EA3634}"/>
    <cellStyle name="Moeda 2 3 3 2 4" xfId="9254" xr:uid="{55AE0C49-306B-48C6-B98A-DF939E826342}"/>
    <cellStyle name="Moeda 2 3 3 2 5" xfId="9590" xr:uid="{BC157377-8247-4931-BB03-F16F9B730259}"/>
    <cellStyle name="Moeda 2 3 3 3" xfId="8918" xr:uid="{00000000-0005-0000-0000-0000060F0000}"/>
    <cellStyle name="Moeda 2 3 3 3 2" xfId="9082" xr:uid="{00000000-0005-0000-0000-0000070F0000}"/>
    <cellStyle name="Moeda 2 3 3 3 2 2" xfId="9455" xr:uid="{BD1794FE-5AE0-46EF-8BB8-435A52D9CD0A}"/>
    <cellStyle name="Moeda 2 3 3 3 2 3" xfId="9791" xr:uid="{7C888334-BCA4-4FDC-8F94-E0F2F33D72DA}"/>
    <cellStyle name="Moeda 2 3 3 3 3" xfId="9301" xr:uid="{B0AECB27-3637-40BF-9472-BB3334A95FA5}"/>
    <cellStyle name="Moeda 2 3 3 3 4" xfId="9637" xr:uid="{E0963D3F-05F5-44B1-9957-0E425EBAF4E5}"/>
    <cellStyle name="Moeda 2 3 3 4" xfId="9007" xr:uid="{00000000-0005-0000-0000-0000080F0000}"/>
    <cellStyle name="Moeda 2 3 3 4 2" xfId="9380" xr:uid="{33D4A681-4247-4A4E-8D84-6D910FDB2AB6}"/>
    <cellStyle name="Moeda 2 3 3 4 3" xfId="9716" xr:uid="{F93BBDEF-20B9-42A7-8997-FA76FC040384}"/>
    <cellStyle name="Moeda 2 3 3 5" xfId="9223" xr:uid="{569C6EB9-8CB8-4486-99EF-A49D334B74D3}"/>
    <cellStyle name="Moeda 2 3 3 6" xfId="9559" xr:uid="{C8C6E8B7-2D36-441E-99DF-6D53E5CD9ECC}"/>
    <cellStyle name="Moeda 2 3 4" xfId="3848" xr:uid="{00000000-0005-0000-0000-0000090F0000}"/>
    <cellStyle name="Moeda 2 3 4 2" xfId="8759" xr:uid="{00000000-0005-0000-0000-00000A0F0000}"/>
    <cellStyle name="Moeda 2 3 4 2 2" xfId="8959" xr:uid="{00000000-0005-0000-0000-00000B0F0000}"/>
    <cellStyle name="Moeda 2 3 4 2 2 2" xfId="9123" xr:uid="{00000000-0005-0000-0000-00000C0F0000}"/>
    <cellStyle name="Moeda 2 3 4 2 2 2 2" xfId="9496" xr:uid="{E4D13802-8C47-428E-9289-4DAE695E05BF}"/>
    <cellStyle name="Moeda 2 3 4 2 2 2 3" xfId="9832" xr:uid="{C6572853-91A8-4EF0-A3F5-2B94E40AD275}"/>
    <cellStyle name="Moeda 2 3 4 2 2 3" xfId="9342" xr:uid="{3F5DB055-59BD-41A3-A8CC-8C27A1145125}"/>
    <cellStyle name="Moeda 2 3 4 2 2 4" xfId="9678" xr:uid="{CEDEC03D-756A-4694-8097-FAE4923F5725}"/>
    <cellStyle name="Moeda 2 3 4 2 3" xfId="9046" xr:uid="{00000000-0005-0000-0000-00000D0F0000}"/>
    <cellStyle name="Moeda 2 3 4 2 3 2" xfId="9419" xr:uid="{E835493E-1526-4DF7-B9AF-FDD3FF49DCFB}"/>
    <cellStyle name="Moeda 2 3 4 2 3 3" xfId="9755" xr:uid="{2F58B4DC-E543-4429-B4AD-D49429A040B3}"/>
    <cellStyle name="Moeda 2 3 4 2 4" xfId="9264" xr:uid="{A9BF539E-1D9E-4DF6-BD4D-CD79AB23E64A}"/>
    <cellStyle name="Moeda 2 3 4 2 5" xfId="9600" xr:uid="{8D6D3001-30B9-4D68-AF3F-48F85BA9DCB9}"/>
    <cellStyle name="Moeda 2 3 4 3" xfId="8933" xr:uid="{00000000-0005-0000-0000-00000E0F0000}"/>
    <cellStyle name="Moeda 2 3 4 3 2" xfId="9097" xr:uid="{00000000-0005-0000-0000-00000F0F0000}"/>
    <cellStyle name="Moeda 2 3 4 3 2 2" xfId="9470" xr:uid="{7F10A417-EFB9-49DF-97D9-6311E036DF53}"/>
    <cellStyle name="Moeda 2 3 4 3 2 3" xfId="9806" xr:uid="{CDBAF970-FE24-4991-804D-B8E095AF262D}"/>
    <cellStyle name="Moeda 2 3 4 3 3" xfId="9316" xr:uid="{B54B9CA1-EEEA-458C-A51E-F3C1D6A24846}"/>
    <cellStyle name="Moeda 2 3 4 3 4" xfId="9652" xr:uid="{99E60F6B-BE26-4524-9A2A-6BBBE1E54778}"/>
    <cellStyle name="Moeda 2 3 4 4" xfId="9020" xr:uid="{00000000-0005-0000-0000-0000100F0000}"/>
    <cellStyle name="Moeda 2 3 4 4 2" xfId="9393" xr:uid="{04515895-07E1-4C01-8BF7-BE1597256297}"/>
    <cellStyle name="Moeda 2 3 4 4 3" xfId="9729" xr:uid="{AA4734A1-25DB-424E-A192-FBB20A63FF58}"/>
    <cellStyle name="Moeda 2 3 4 5" xfId="9238" xr:uid="{F19F64F6-24D5-48C1-9E85-4578567E4383}"/>
    <cellStyle name="Moeda 2 3 4 6" xfId="9574" xr:uid="{401D56DD-928B-4ED0-BBF3-8A8348256C02}"/>
    <cellStyle name="Moeda 2 3 5" xfId="2875" xr:uid="{00000000-0005-0000-0000-0000110F0000}"/>
    <cellStyle name="Moeda 2 3 5 2" xfId="8906" xr:uid="{00000000-0005-0000-0000-0000120F0000}"/>
    <cellStyle name="Moeda 2 3 5 2 2" xfId="9070" xr:uid="{00000000-0005-0000-0000-0000130F0000}"/>
    <cellStyle name="Moeda 2 3 5 2 2 2" xfId="9443" xr:uid="{9EF29357-6B53-48F7-9F6D-42E07BE1E79E}"/>
    <cellStyle name="Moeda 2 3 5 2 2 3" xfId="9779" xr:uid="{9EBDCFD0-4C13-4BDC-B378-47E0BD4DA71A}"/>
    <cellStyle name="Moeda 2 3 5 2 3" xfId="9289" xr:uid="{DD62C066-9118-4606-B1C9-B987DDD0E24B}"/>
    <cellStyle name="Moeda 2 3 5 2 4" xfId="9625" xr:uid="{342C37D7-BD11-430E-B1F1-369AB1C64614}"/>
    <cellStyle name="Moeda 2 3 5 3" xfId="8995" xr:uid="{00000000-0005-0000-0000-0000140F0000}"/>
    <cellStyle name="Moeda 2 3 5 3 2" xfId="9368" xr:uid="{7341E6AD-745B-4738-A967-01FF1CABA6CF}"/>
    <cellStyle name="Moeda 2 3 5 3 3" xfId="9704" xr:uid="{AE57BE86-E5BD-4742-800C-FAA18860F741}"/>
    <cellStyle name="Moeda 2 3 5 4" xfId="9211" xr:uid="{226A820F-C435-4D83-8C2C-339FB754DF54}"/>
    <cellStyle name="Moeda 2 3 5 5" xfId="9547" xr:uid="{4BA58A0C-0D3B-426C-8AE9-80D0DEB58940}"/>
    <cellStyle name="Moeda 2 3 6" xfId="7855" xr:uid="{00000000-0005-0000-0000-0000150F0000}"/>
    <cellStyle name="Moeda 2 3 6 2" xfId="8937" xr:uid="{00000000-0005-0000-0000-0000160F0000}"/>
    <cellStyle name="Moeda 2 3 6 2 2" xfId="9101" xr:uid="{00000000-0005-0000-0000-0000170F0000}"/>
    <cellStyle name="Moeda 2 3 6 2 2 2" xfId="9474" xr:uid="{A23192A3-EACB-47AD-A8B6-E4C80BF0AFD0}"/>
    <cellStyle name="Moeda 2 3 6 2 2 3" xfId="9810" xr:uid="{15B07FB6-79A7-4B62-80B7-DF14583E66E8}"/>
    <cellStyle name="Moeda 2 3 6 2 3" xfId="9320" xr:uid="{F9AF3A87-56B8-4B60-991E-B2F7E936A278}"/>
    <cellStyle name="Moeda 2 3 6 2 4" xfId="9656" xr:uid="{C8A7747C-A3D0-482E-A476-E6B984CC3A8F}"/>
    <cellStyle name="Moeda 2 3 6 3" xfId="9024" xr:uid="{00000000-0005-0000-0000-0000180F0000}"/>
    <cellStyle name="Moeda 2 3 6 3 2" xfId="9397" xr:uid="{2A0675FC-82C7-4156-82C7-A211F6045973}"/>
    <cellStyle name="Moeda 2 3 6 3 3" xfId="9733" xr:uid="{0D6FCD32-E62F-4003-8476-09BCEAB034D0}"/>
    <cellStyle name="Moeda 2 3 6 4" xfId="9242" xr:uid="{0F2FA396-9621-4B0E-9B6B-7BFF106600D2}"/>
    <cellStyle name="Moeda 2 3 6 5" xfId="9578" xr:uid="{CFEE32A2-D5E2-4610-A48F-3CC240E2003C}"/>
    <cellStyle name="Moeda 2 3 7" xfId="8900" xr:uid="{00000000-0005-0000-0000-0000190F0000}"/>
    <cellStyle name="Moeda 2 3 7 2" xfId="9064" xr:uid="{00000000-0005-0000-0000-00001A0F0000}"/>
    <cellStyle name="Moeda 2 3 7 2 2" xfId="9437" xr:uid="{76154F89-5143-433C-8CA5-779CC8B2194F}"/>
    <cellStyle name="Moeda 2 3 7 2 3" xfId="9773" xr:uid="{B87BAC12-19B2-4717-9637-B0E441267261}"/>
    <cellStyle name="Moeda 2 3 7 3" xfId="9283" xr:uid="{14AA5A19-3DD1-4AAC-90B7-02460405F3FC}"/>
    <cellStyle name="Moeda 2 3 7 4" xfId="9619" xr:uid="{48E6C6B9-B124-4D58-806B-6662C8C47314}"/>
    <cellStyle name="Moeda 2 3 8" xfId="8989" xr:uid="{00000000-0005-0000-0000-00001B0F0000}"/>
    <cellStyle name="Moeda 2 3 8 2" xfId="9362" xr:uid="{35D08E40-E336-44BD-99A4-49C7FF4FA1EE}"/>
    <cellStyle name="Moeda 2 3 8 3" xfId="9698" xr:uid="{8FC4AA24-7509-4FB2-9C03-2BAA966562AD}"/>
    <cellStyle name="Moeda 2 3 9" xfId="9205" xr:uid="{B7EBE210-BBF8-4A76-90A2-7D2291854E0A}"/>
    <cellStyle name="Moeda 2 4" xfId="2644" xr:uid="{00000000-0005-0000-0000-00001C0F0000}"/>
    <cellStyle name="Moeda 2 5" xfId="2645" xr:uid="{00000000-0005-0000-0000-00001D0F0000}"/>
    <cellStyle name="Moeda 2 5 10" xfId="9542" xr:uid="{19D1328C-9025-4B2D-BA6A-F5CC6790E4D7}"/>
    <cellStyle name="Moeda 2 5 2" xfId="2971" xr:uid="{00000000-0005-0000-0000-00001E0F0000}"/>
    <cellStyle name="Moeda 2 5 2 2" xfId="8027" xr:uid="{00000000-0005-0000-0000-00001F0F0000}"/>
    <cellStyle name="Moeda 2 5 2 2 2" xfId="8946" xr:uid="{00000000-0005-0000-0000-0000200F0000}"/>
    <cellStyle name="Moeda 2 5 2 2 2 2" xfId="9110" xr:uid="{00000000-0005-0000-0000-0000210F0000}"/>
    <cellStyle name="Moeda 2 5 2 2 2 2 2" xfId="9483" xr:uid="{883E4E9B-F268-487C-BA91-23D35D7B0426}"/>
    <cellStyle name="Moeda 2 5 2 2 2 2 3" xfId="9819" xr:uid="{9EEC76DE-FB52-494E-8C66-D16021DE0D91}"/>
    <cellStyle name="Moeda 2 5 2 2 2 3" xfId="9329" xr:uid="{5A721D82-E4FA-448E-B07A-9D07CDC0C491}"/>
    <cellStyle name="Moeda 2 5 2 2 2 4" xfId="9665" xr:uid="{20BC8FEB-E52D-457A-86B7-CAC7611F766E}"/>
    <cellStyle name="Moeda 2 5 2 2 3" xfId="9033" xr:uid="{00000000-0005-0000-0000-0000220F0000}"/>
    <cellStyle name="Moeda 2 5 2 2 3 2" xfId="9406" xr:uid="{67679E23-341E-4ADA-AC96-05D1407AAE7D}"/>
    <cellStyle name="Moeda 2 5 2 2 3 3" xfId="9742" xr:uid="{FEC0AA7C-DD57-40AD-8DB3-0B0F0EEBC818}"/>
    <cellStyle name="Moeda 2 5 2 2 4" xfId="9251" xr:uid="{17717A73-D172-41B6-A063-5D1446634773}"/>
    <cellStyle name="Moeda 2 5 2 2 5" xfId="9587" xr:uid="{9FD0CC69-6C01-401F-9295-860D9139886A}"/>
    <cellStyle name="Moeda 2 5 2 3" xfId="8915" xr:uid="{00000000-0005-0000-0000-0000230F0000}"/>
    <cellStyle name="Moeda 2 5 2 3 2" xfId="9079" xr:uid="{00000000-0005-0000-0000-0000240F0000}"/>
    <cellStyle name="Moeda 2 5 2 3 2 2" xfId="9452" xr:uid="{1DFD64FB-C8EF-4532-9F15-F2EF2B39A8CB}"/>
    <cellStyle name="Moeda 2 5 2 3 2 3" xfId="9788" xr:uid="{11B23B37-642D-4BAD-875D-3D2BCE5F79BE}"/>
    <cellStyle name="Moeda 2 5 2 3 3" xfId="9298" xr:uid="{C16F51D5-991F-404C-B78E-E625E1542B29}"/>
    <cellStyle name="Moeda 2 5 2 3 4" xfId="9634" xr:uid="{EF72ACBD-D9B0-4496-846E-234F2F653207}"/>
    <cellStyle name="Moeda 2 5 2 4" xfId="9004" xr:uid="{00000000-0005-0000-0000-0000250F0000}"/>
    <cellStyle name="Moeda 2 5 2 4 2" xfId="9377" xr:uid="{EAFA423D-4884-404A-951A-68836FC5F7C8}"/>
    <cellStyle name="Moeda 2 5 2 4 3" xfId="9713" xr:uid="{AFD3D505-68D8-46D2-933E-A977211A6528}"/>
    <cellStyle name="Moeda 2 5 2 5" xfId="9220" xr:uid="{E4D3A45E-97CF-4D6A-9834-D400C8C2736D}"/>
    <cellStyle name="Moeda 2 5 2 6" xfId="9556" xr:uid="{7F456A23-9157-4B07-BB33-6616688DB54F}"/>
    <cellStyle name="Moeda 2 5 3" xfId="3071" xr:uid="{00000000-0005-0000-0000-0000260F0000}"/>
    <cellStyle name="Moeda 2 5 3 2" xfId="8127" xr:uid="{00000000-0005-0000-0000-0000270F0000}"/>
    <cellStyle name="Moeda 2 5 3 2 2" xfId="8952" xr:uid="{00000000-0005-0000-0000-0000280F0000}"/>
    <cellStyle name="Moeda 2 5 3 2 2 2" xfId="9116" xr:uid="{00000000-0005-0000-0000-0000290F0000}"/>
    <cellStyle name="Moeda 2 5 3 2 2 2 2" xfId="9489" xr:uid="{D39B15D5-B0F1-4601-A362-0B7FD3757F83}"/>
    <cellStyle name="Moeda 2 5 3 2 2 2 3" xfId="9825" xr:uid="{8E80ED7C-EC4D-49F6-A766-A127AC9DC01F}"/>
    <cellStyle name="Moeda 2 5 3 2 2 3" xfId="9335" xr:uid="{4CF965E2-1C51-4F41-9201-05769F3B4B0D}"/>
    <cellStyle name="Moeda 2 5 3 2 2 4" xfId="9671" xr:uid="{EE29AEE5-F470-4C3F-8CAD-2BA6AEB6F1CD}"/>
    <cellStyle name="Moeda 2 5 3 2 3" xfId="9039" xr:uid="{00000000-0005-0000-0000-00002A0F0000}"/>
    <cellStyle name="Moeda 2 5 3 2 3 2" xfId="9412" xr:uid="{5A45FC7E-A73A-47F8-9DF5-A59F6938CA45}"/>
    <cellStyle name="Moeda 2 5 3 2 3 3" xfId="9748" xr:uid="{B20AF8A7-10C1-4E34-AF10-C435BF5A01D4}"/>
    <cellStyle name="Moeda 2 5 3 2 4" xfId="9257" xr:uid="{BB5540AF-3E3F-4C6F-919B-D499E4788728}"/>
    <cellStyle name="Moeda 2 5 3 2 5" xfId="9593" xr:uid="{94086E4F-1D27-4A04-80A5-DA890D69F259}"/>
    <cellStyle name="Moeda 2 5 3 3" xfId="8921" xr:uid="{00000000-0005-0000-0000-00002B0F0000}"/>
    <cellStyle name="Moeda 2 5 3 3 2" xfId="9085" xr:uid="{00000000-0005-0000-0000-00002C0F0000}"/>
    <cellStyle name="Moeda 2 5 3 3 2 2" xfId="9458" xr:uid="{B909F51D-C133-4874-A1D8-26BA9749C957}"/>
    <cellStyle name="Moeda 2 5 3 3 2 3" xfId="9794" xr:uid="{B834AB17-B4A5-4491-9A57-7B54842C8233}"/>
    <cellStyle name="Moeda 2 5 3 3 3" xfId="9304" xr:uid="{16094909-BCCE-467B-906B-89D3B6AFD42C}"/>
    <cellStyle name="Moeda 2 5 3 3 4" xfId="9640" xr:uid="{80AFE0E0-DA21-4DF5-AEDD-5F5D2D26A575}"/>
    <cellStyle name="Moeda 2 5 3 4" xfId="9010" xr:uid="{00000000-0005-0000-0000-00002D0F0000}"/>
    <cellStyle name="Moeda 2 5 3 4 2" xfId="9383" xr:uid="{84A5BFE9-3B90-4124-8D78-785F6177A322}"/>
    <cellStyle name="Moeda 2 5 3 4 3" xfId="9719" xr:uid="{45A8A133-4A65-4CF7-88B1-3B1230359BB1}"/>
    <cellStyle name="Moeda 2 5 3 5" xfId="9226" xr:uid="{C855CAFF-9726-43C2-9CAD-B7346061B315}"/>
    <cellStyle name="Moeda 2 5 3 6" xfId="9562" xr:uid="{3E8E332D-B861-4BE8-9A1B-612053BEFD81}"/>
    <cellStyle name="Moeda 2 5 4" xfId="3818" xr:uid="{00000000-0005-0000-0000-00002E0F0000}"/>
    <cellStyle name="Moeda 2 5 4 2" xfId="8729" xr:uid="{00000000-0005-0000-0000-00002F0F0000}"/>
    <cellStyle name="Moeda 2 5 4 2 2" xfId="8957" xr:uid="{00000000-0005-0000-0000-0000300F0000}"/>
    <cellStyle name="Moeda 2 5 4 2 2 2" xfId="9121" xr:uid="{00000000-0005-0000-0000-0000310F0000}"/>
    <cellStyle name="Moeda 2 5 4 2 2 2 2" xfId="9494" xr:uid="{96CCAC90-2DE8-41DA-BEE8-E76A259EE8E7}"/>
    <cellStyle name="Moeda 2 5 4 2 2 2 3" xfId="9830" xr:uid="{AFBD4CB5-9998-4F6E-86FD-B982BA955B0D}"/>
    <cellStyle name="Moeda 2 5 4 2 2 3" xfId="9340" xr:uid="{C1A6F2E5-33AB-404A-A0D2-D306327629AB}"/>
    <cellStyle name="Moeda 2 5 4 2 2 4" xfId="9676" xr:uid="{78AA5D2B-5DCA-4C0F-AABA-1DB7D17BDA6B}"/>
    <cellStyle name="Moeda 2 5 4 2 3" xfId="9044" xr:uid="{00000000-0005-0000-0000-0000320F0000}"/>
    <cellStyle name="Moeda 2 5 4 2 3 2" xfId="9417" xr:uid="{E64F8B29-3EEC-4351-89F6-542906DFC947}"/>
    <cellStyle name="Moeda 2 5 4 2 3 3" xfId="9753" xr:uid="{ECD6B9BF-252E-4E2D-865E-50B5FE925D3D}"/>
    <cellStyle name="Moeda 2 5 4 2 4" xfId="9262" xr:uid="{D4AF6A6B-8C61-4829-B52E-1BA7870F1ED4}"/>
    <cellStyle name="Moeda 2 5 4 2 5" xfId="9598" xr:uid="{65B75DFE-3F95-4B60-9707-9221BCAED915}"/>
    <cellStyle name="Moeda 2 5 4 3" xfId="8931" xr:uid="{00000000-0005-0000-0000-0000330F0000}"/>
    <cellStyle name="Moeda 2 5 4 3 2" xfId="9095" xr:uid="{00000000-0005-0000-0000-0000340F0000}"/>
    <cellStyle name="Moeda 2 5 4 3 2 2" xfId="9468" xr:uid="{524E0482-744B-412D-A486-8BEB261FA56E}"/>
    <cellStyle name="Moeda 2 5 4 3 2 3" xfId="9804" xr:uid="{7DF65217-C385-46EC-BD78-CFEC39680C12}"/>
    <cellStyle name="Moeda 2 5 4 3 3" xfId="9314" xr:uid="{11315AEC-589D-4095-8B42-8BDDEF356B8F}"/>
    <cellStyle name="Moeda 2 5 4 3 4" xfId="9650" xr:uid="{7DB1CAED-0363-40F5-A6AB-A9EA0D54674C}"/>
    <cellStyle name="Moeda 2 5 4 4" xfId="9018" xr:uid="{00000000-0005-0000-0000-0000350F0000}"/>
    <cellStyle name="Moeda 2 5 4 4 2" xfId="9391" xr:uid="{E27637BA-E897-452A-B113-E763C03CDD7C}"/>
    <cellStyle name="Moeda 2 5 4 4 3" xfId="9727" xr:uid="{D5FC1A7C-1E96-404C-ADBE-9443DB9499F5}"/>
    <cellStyle name="Moeda 2 5 4 5" xfId="9236" xr:uid="{D58C9021-90CB-4A8F-BECF-2C61C334083B}"/>
    <cellStyle name="Moeda 2 5 4 6" xfId="9572" xr:uid="{97B3AE66-8D03-497A-8B94-B1728928A9EF}"/>
    <cellStyle name="Moeda 2 5 5" xfId="2878" xr:uid="{00000000-0005-0000-0000-0000360F0000}"/>
    <cellStyle name="Moeda 2 5 5 2" xfId="8909" xr:uid="{00000000-0005-0000-0000-0000370F0000}"/>
    <cellStyle name="Moeda 2 5 5 2 2" xfId="9073" xr:uid="{00000000-0005-0000-0000-0000380F0000}"/>
    <cellStyle name="Moeda 2 5 5 2 2 2" xfId="9446" xr:uid="{AB2B091B-C165-42F1-84DE-D14FFB7E27A6}"/>
    <cellStyle name="Moeda 2 5 5 2 2 3" xfId="9782" xr:uid="{8CE562DC-9138-42F0-B744-91FE222631F0}"/>
    <cellStyle name="Moeda 2 5 5 2 3" xfId="9292" xr:uid="{BF440540-3302-48FE-AC53-8DC4749A5C95}"/>
    <cellStyle name="Moeda 2 5 5 2 4" xfId="9628" xr:uid="{0FEFA8ED-3E25-460A-B4A9-B062B6A0A095}"/>
    <cellStyle name="Moeda 2 5 5 3" xfId="8998" xr:uid="{00000000-0005-0000-0000-0000390F0000}"/>
    <cellStyle name="Moeda 2 5 5 3 2" xfId="9371" xr:uid="{0DA83143-9CE0-4F41-8B24-376BFCE65A89}"/>
    <cellStyle name="Moeda 2 5 5 3 3" xfId="9707" xr:uid="{1F3EB228-2917-4BF4-A35C-B913730E9DE9}"/>
    <cellStyle name="Moeda 2 5 5 4" xfId="9214" xr:uid="{2DD8064B-7B67-4B30-996F-9FBE650D542C}"/>
    <cellStyle name="Moeda 2 5 5 5" xfId="9550" xr:uid="{8736FCC3-A686-4B3E-8EFB-A81F3BEB6D59}"/>
    <cellStyle name="Moeda 2 5 6" xfId="7856" xr:uid="{00000000-0005-0000-0000-00003A0F0000}"/>
    <cellStyle name="Moeda 2 5 6 2" xfId="8938" xr:uid="{00000000-0005-0000-0000-00003B0F0000}"/>
    <cellStyle name="Moeda 2 5 6 2 2" xfId="9102" xr:uid="{00000000-0005-0000-0000-00003C0F0000}"/>
    <cellStyle name="Moeda 2 5 6 2 2 2" xfId="9475" xr:uid="{B14B211B-455B-44EC-87B7-763034FF264C}"/>
    <cellStyle name="Moeda 2 5 6 2 2 3" xfId="9811" xr:uid="{E2936154-CD2E-4579-BAD2-CFA17202F993}"/>
    <cellStyle name="Moeda 2 5 6 2 3" xfId="9321" xr:uid="{983A5608-B41E-4CC1-809E-1C44FCA654D4}"/>
    <cellStyle name="Moeda 2 5 6 2 4" xfId="9657" xr:uid="{073C69BD-0A13-4F4D-9037-9BCAA95092CD}"/>
    <cellStyle name="Moeda 2 5 6 3" xfId="9025" xr:uid="{00000000-0005-0000-0000-00003D0F0000}"/>
    <cellStyle name="Moeda 2 5 6 3 2" xfId="9398" xr:uid="{BBA76062-CC87-486D-B27B-C46F96F80E20}"/>
    <cellStyle name="Moeda 2 5 6 3 3" xfId="9734" xr:uid="{54C54529-C470-476F-A228-E2FF98E0E831}"/>
    <cellStyle name="Moeda 2 5 6 4" xfId="9243" xr:uid="{426DEEC5-96C7-4B1A-84AD-9C5C02BF7A68}"/>
    <cellStyle name="Moeda 2 5 6 5" xfId="9579" xr:uid="{5F037F1B-6336-4F77-9830-AFA400FE9BE3}"/>
    <cellStyle name="Moeda 2 5 7" xfId="8901" xr:uid="{00000000-0005-0000-0000-00003E0F0000}"/>
    <cellStyle name="Moeda 2 5 7 2" xfId="9065" xr:uid="{00000000-0005-0000-0000-00003F0F0000}"/>
    <cellStyle name="Moeda 2 5 7 2 2" xfId="9438" xr:uid="{A253BB06-839B-4257-80B1-FF7D5701E51E}"/>
    <cellStyle name="Moeda 2 5 7 2 3" xfId="9774" xr:uid="{33520ED1-FA7C-40E4-94EC-0689A437E3FD}"/>
    <cellStyle name="Moeda 2 5 7 3" xfId="9284" xr:uid="{8EB419D9-18FE-4D6B-8907-EA025465E3A4}"/>
    <cellStyle name="Moeda 2 5 7 4" xfId="9620" xr:uid="{4C42021E-AF04-4F2D-AD03-B49830985E5B}"/>
    <cellStyle name="Moeda 2 5 8" xfId="8990" xr:uid="{00000000-0005-0000-0000-0000400F0000}"/>
    <cellStyle name="Moeda 2 5 8 2" xfId="9363" xr:uid="{505578B6-98B4-42AA-9CF8-EA6296BF521B}"/>
    <cellStyle name="Moeda 2 5 8 3" xfId="9699" xr:uid="{03760EAF-AFFD-45E1-BE3E-7F4FC2117D2A}"/>
    <cellStyle name="Moeda 2 5 9" xfId="9206" xr:uid="{20E97374-BACD-422F-AAF6-9DAF5125E88A}"/>
    <cellStyle name="Moeda 2 6" xfId="3356" xr:uid="{00000000-0005-0000-0000-0000410F0000}"/>
    <cellStyle name="Moeda 2 6 2" xfId="8922" xr:uid="{00000000-0005-0000-0000-0000420F0000}"/>
    <cellStyle name="Moeda 2 6 2 2" xfId="9086" xr:uid="{00000000-0005-0000-0000-0000430F0000}"/>
    <cellStyle name="Moeda 2 6 2 2 2" xfId="9459" xr:uid="{AC62173E-D381-44B3-88A5-B87BF965FF04}"/>
    <cellStyle name="Moeda 2 6 2 2 3" xfId="9795" xr:uid="{3AA69C3E-84F4-44A8-B829-D5D3F778BAFA}"/>
    <cellStyle name="Moeda 2 6 2 3" xfId="9305" xr:uid="{7653D28E-B33A-4D41-8BAA-60F8C4E86E39}"/>
    <cellStyle name="Moeda 2 6 2 4" xfId="9641" xr:uid="{DDF76CDD-6673-4805-BCE9-2439D1362171}"/>
    <cellStyle name="Moeda 2 6 3" xfId="9011" xr:uid="{00000000-0005-0000-0000-0000440F0000}"/>
    <cellStyle name="Moeda 2 6 3 2" xfId="9384" xr:uid="{6C0F8298-5A53-4224-802D-506A2C1BCD65}"/>
    <cellStyle name="Moeda 2 6 3 3" xfId="9720" xr:uid="{AFF10409-4B64-4BFE-9936-1B1F54070756}"/>
    <cellStyle name="Moeda 2 6 4" xfId="9227" xr:uid="{733D4A0A-ED94-4AF7-BB06-DD54F555D26C}"/>
    <cellStyle name="Moeda 2 6 5" xfId="9563" xr:uid="{DFFB72C4-86E8-4124-BA95-CA78C4644885}"/>
    <cellStyle name="Moeda 2 7" xfId="1088" xr:uid="{00000000-0005-0000-0000-0000450F0000}"/>
    <cellStyle name="Moeda 3" xfId="444" xr:uid="{00000000-0005-0000-0000-0000460F0000}"/>
    <cellStyle name="Moeda 3 2" xfId="445" xr:uid="{00000000-0005-0000-0000-0000470F0000}"/>
    <cellStyle name="Moeda 3 2 2" xfId="9181" xr:uid="{702CD275-021E-457A-A12B-DBEDD8072455}"/>
    <cellStyle name="Moeda 3 2 3" xfId="9517" xr:uid="{FF2DD642-61DC-4FDB-A636-16132FA967DF}"/>
    <cellStyle name="Moeda 3 3" xfId="1089" xr:uid="{00000000-0005-0000-0000-0000480F0000}"/>
    <cellStyle name="Moeda 3 4" xfId="9180" xr:uid="{C405D62F-DA9F-4248-920B-89BE2E4ABBB1}"/>
    <cellStyle name="Moeda 3 5" xfId="9516" xr:uid="{75C5F969-64A0-4C77-83F3-138529277E90}"/>
    <cellStyle name="Moeda 4" xfId="1090" xr:uid="{00000000-0005-0000-0000-0000490F0000}"/>
    <cellStyle name="Moeda 5" xfId="1091" xr:uid="{00000000-0005-0000-0000-00004A0F0000}"/>
    <cellStyle name="Moeda 6" xfId="446" xr:uid="{00000000-0005-0000-0000-00004B0F0000}"/>
    <cellStyle name="Moeda 6 2" xfId="447" xr:uid="{00000000-0005-0000-0000-00004C0F0000}"/>
    <cellStyle name="Moeda 6 2 2" xfId="1094" xr:uid="{00000000-0005-0000-0000-00004D0F0000}"/>
    <cellStyle name="Moeda 6 2 3" xfId="1093" xr:uid="{00000000-0005-0000-0000-00004E0F0000}"/>
    <cellStyle name="Moeda 6 2 4" xfId="9183" xr:uid="{E7BA933C-8C3B-4A2D-B368-5A7BED8685B0}"/>
    <cellStyle name="Moeda 6 2 5" xfId="9519" xr:uid="{C92733F1-ADDF-4037-826C-6685EF36D4CD}"/>
    <cellStyle name="Moeda 6 3" xfId="1092" xr:uid="{00000000-0005-0000-0000-00004F0F0000}"/>
    <cellStyle name="Moeda 6 4" xfId="9182" xr:uid="{5AB8BF0C-EAC3-45E2-A6B6-D1554D3265C0}"/>
    <cellStyle name="Moeda 6 5" xfId="9518" xr:uid="{FD639FBC-11EE-4764-9BFC-60C8F6C1113E}"/>
    <cellStyle name="Moeda 7" xfId="448" xr:uid="{00000000-0005-0000-0000-0000500F0000}"/>
    <cellStyle name="Moeda 7 2" xfId="449" xr:uid="{00000000-0005-0000-0000-0000510F0000}"/>
    <cellStyle name="Moeda 7 2 2" xfId="9185" xr:uid="{38554414-9DA5-42D7-9326-4863E5CDE628}"/>
    <cellStyle name="Moeda 7 2 3" xfId="9521" xr:uid="{0E4FAA92-A5EC-4264-BB4F-583F90AFAA3A}"/>
    <cellStyle name="Moeda 7 3" xfId="1095" xr:uid="{00000000-0005-0000-0000-0000520F0000}"/>
    <cellStyle name="Moeda 7 4" xfId="9184" xr:uid="{985A888D-465B-425F-9703-45C08BBF0054}"/>
    <cellStyle name="Moeda 7 5" xfId="9520" xr:uid="{6C26C939-A7C0-4D16-8A2A-7AF330B7E636}"/>
    <cellStyle name="Moeda 8" xfId="2646" xr:uid="{00000000-0005-0000-0000-0000530F0000}"/>
    <cellStyle name="Moeda 8 10" xfId="9543" xr:uid="{A4DC3A53-71B1-4ABD-BF3E-46FEDBD9CE76}"/>
    <cellStyle name="Moeda 8 2" xfId="2913" xr:uid="{00000000-0005-0000-0000-0000540F0000}"/>
    <cellStyle name="Moeda 8 2 2" xfId="7971" xr:uid="{00000000-0005-0000-0000-0000550F0000}"/>
    <cellStyle name="Moeda 8 2 2 2" xfId="8941" xr:uid="{00000000-0005-0000-0000-0000560F0000}"/>
    <cellStyle name="Moeda 8 2 2 2 2" xfId="9105" xr:uid="{00000000-0005-0000-0000-0000570F0000}"/>
    <cellStyle name="Moeda 8 2 2 2 2 2" xfId="9478" xr:uid="{8FACC1FE-D5A9-4A00-8567-F84B04200964}"/>
    <cellStyle name="Moeda 8 2 2 2 2 3" xfId="9814" xr:uid="{1AFD5211-78DE-4000-8441-F1CD3ED68655}"/>
    <cellStyle name="Moeda 8 2 2 2 3" xfId="9324" xr:uid="{052D5888-ECC4-4B8C-A5D7-86B1C781A45D}"/>
    <cellStyle name="Moeda 8 2 2 2 4" xfId="9660" xr:uid="{F23262A0-5C60-405E-B959-EE63F05C75D2}"/>
    <cellStyle name="Moeda 8 2 2 3" xfId="9028" xr:uid="{00000000-0005-0000-0000-0000580F0000}"/>
    <cellStyle name="Moeda 8 2 2 3 2" xfId="9401" xr:uid="{350EC1A6-C967-483C-8949-DE4E9E1E2BC5}"/>
    <cellStyle name="Moeda 8 2 2 3 3" xfId="9737" xr:uid="{E2F4DD19-7AFC-419D-962E-5B669E1EFF19}"/>
    <cellStyle name="Moeda 8 2 2 4" xfId="9246" xr:uid="{B0DFC27B-0B09-4695-96C7-D514C256E6BC}"/>
    <cellStyle name="Moeda 8 2 2 5" xfId="9582" xr:uid="{224938E8-B835-4BFA-A119-96DF161B48EB}"/>
    <cellStyle name="Moeda 8 2 3" xfId="8910" xr:uid="{00000000-0005-0000-0000-0000590F0000}"/>
    <cellStyle name="Moeda 8 2 3 2" xfId="9074" xr:uid="{00000000-0005-0000-0000-00005A0F0000}"/>
    <cellStyle name="Moeda 8 2 3 2 2" xfId="9447" xr:uid="{E005DCCF-E92A-48D6-9305-2B9B8E4E1E56}"/>
    <cellStyle name="Moeda 8 2 3 2 3" xfId="9783" xr:uid="{2FD6FF54-1F48-4161-8344-E8823E9392F2}"/>
    <cellStyle name="Moeda 8 2 3 3" xfId="9293" xr:uid="{B335331C-BC69-4275-8A48-4847A192F052}"/>
    <cellStyle name="Moeda 8 2 3 4" xfId="9629" xr:uid="{ECF902E7-9347-4431-9814-39323740ACF7}"/>
    <cellStyle name="Moeda 8 2 4" xfId="8999" xr:uid="{00000000-0005-0000-0000-00005B0F0000}"/>
    <cellStyle name="Moeda 8 2 4 2" xfId="9372" xr:uid="{BC1FB08B-BD25-4BBD-93DE-614DD22E5EC0}"/>
    <cellStyle name="Moeda 8 2 4 3" xfId="9708" xr:uid="{DB13D66E-1CF6-40B1-9712-343EF2CCA60C}"/>
    <cellStyle name="Moeda 8 2 5" xfId="9215" xr:uid="{D82287A6-9226-47B4-B832-E58C537745E6}"/>
    <cellStyle name="Moeda 8 2 6" xfId="9551" xr:uid="{D79E709F-FF79-45CB-B543-03869DA18AE1}"/>
    <cellStyle name="Moeda 8 3" xfId="3005" xr:uid="{00000000-0005-0000-0000-00005C0F0000}"/>
    <cellStyle name="Moeda 8 3 2" xfId="8061" xr:uid="{00000000-0005-0000-0000-00005D0F0000}"/>
    <cellStyle name="Moeda 8 3 2 2" xfId="8947" xr:uid="{00000000-0005-0000-0000-00005E0F0000}"/>
    <cellStyle name="Moeda 8 3 2 2 2" xfId="9111" xr:uid="{00000000-0005-0000-0000-00005F0F0000}"/>
    <cellStyle name="Moeda 8 3 2 2 2 2" xfId="9484" xr:uid="{02B65141-DDF0-480E-A060-977C5F2F1435}"/>
    <cellStyle name="Moeda 8 3 2 2 2 3" xfId="9820" xr:uid="{0954280F-BFBD-414D-AC09-662F048E0BE1}"/>
    <cellStyle name="Moeda 8 3 2 2 3" xfId="9330" xr:uid="{AF6B68DA-3FA7-4105-AEB0-9BF08C3C8A2F}"/>
    <cellStyle name="Moeda 8 3 2 2 4" xfId="9666" xr:uid="{340AE874-0390-42D1-8AA6-EC238121264E}"/>
    <cellStyle name="Moeda 8 3 2 3" xfId="9034" xr:uid="{00000000-0005-0000-0000-0000600F0000}"/>
    <cellStyle name="Moeda 8 3 2 3 2" xfId="9407" xr:uid="{9DEC43D4-DDC1-4E75-B579-9C1D28A96E7B}"/>
    <cellStyle name="Moeda 8 3 2 3 3" xfId="9743" xr:uid="{C7F75639-A2F1-40BC-8FDF-C86A16117104}"/>
    <cellStyle name="Moeda 8 3 2 4" xfId="9252" xr:uid="{CFF5ADD9-B592-4813-942D-EAB45151DF99}"/>
    <cellStyle name="Moeda 8 3 2 5" xfId="9588" xr:uid="{E37B6EB5-7058-486F-98CA-8E37A55C0EA8}"/>
    <cellStyle name="Moeda 8 3 3" xfId="8916" xr:uid="{00000000-0005-0000-0000-0000610F0000}"/>
    <cellStyle name="Moeda 8 3 3 2" xfId="9080" xr:uid="{00000000-0005-0000-0000-0000620F0000}"/>
    <cellStyle name="Moeda 8 3 3 2 2" xfId="9453" xr:uid="{C2E34AD0-F916-4E70-AEF6-98D71C10EF7B}"/>
    <cellStyle name="Moeda 8 3 3 2 3" xfId="9789" xr:uid="{94DF10C7-399B-4E90-A198-61A300FC4F4C}"/>
    <cellStyle name="Moeda 8 3 3 3" xfId="9299" xr:uid="{6B1D0FBA-9948-407C-82AF-4A86CF6D3A1A}"/>
    <cellStyle name="Moeda 8 3 3 4" xfId="9635" xr:uid="{69E56929-B045-4FEB-A10F-C94173D06DF3}"/>
    <cellStyle name="Moeda 8 3 4" xfId="9005" xr:uid="{00000000-0005-0000-0000-0000630F0000}"/>
    <cellStyle name="Moeda 8 3 4 2" xfId="9378" xr:uid="{31E66184-E417-4D33-A688-5E35CEB9809C}"/>
    <cellStyle name="Moeda 8 3 4 3" xfId="9714" xr:uid="{E09A5DC0-3E10-45F1-BE55-3EF0595518E3}"/>
    <cellStyle name="Moeda 8 3 5" xfId="9221" xr:uid="{A2B2F95D-65C9-44FD-9524-4B156A0CC40C}"/>
    <cellStyle name="Moeda 8 3 6" xfId="9557" xr:uid="{3BA99CB8-B068-4A33-A6B7-58AC9BF958A4}"/>
    <cellStyle name="Moeda 8 4" xfId="3809" xr:uid="{00000000-0005-0000-0000-0000640F0000}"/>
    <cellStyle name="Moeda 8 4 2" xfId="8720" xr:uid="{00000000-0005-0000-0000-0000650F0000}"/>
    <cellStyle name="Moeda 8 4 2 2" xfId="8956" xr:uid="{00000000-0005-0000-0000-0000660F0000}"/>
    <cellStyle name="Moeda 8 4 2 2 2" xfId="9120" xr:uid="{00000000-0005-0000-0000-0000670F0000}"/>
    <cellStyle name="Moeda 8 4 2 2 2 2" xfId="9493" xr:uid="{5DFC12DA-CF55-464E-8275-E4D2E65CC1ED}"/>
    <cellStyle name="Moeda 8 4 2 2 2 3" xfId="9829" xr:uid="{68FD8D8D-41E1-487D-83A7-DA4CF2586D85}"/>
    <cellStyle name="Moeda 8 4 2 2 3" xfId="9339" xr:uid="{34C2C5A4-0159-4F59-8143-CE1F729AB5E6}"/>
    <cellStyle name="Moeda 8 4 2 2 4" xfId="9675" xr:uid="{05ED4CB5-34C2-4E5B-B4D8-AB211B2D2DE3}"/>
    <cellStyle name="Moeda 8 4 2 3" xfId="9043" xr:uid="{00000000-0005-0000-0000-0000680F0000}"/>
    <cellStyle name="Moeda 8 4 2 3 2" xfId="9416" xr:uid="{D38A8FAE-5E9F-433F-8E5B-053169C80A57}"/>
    <cellStyle name="Moeda 8 4 2 3 3" xfId="9752" xr:uid="{A8FBFE20-A751-452E-84CA-72ADDA73D22D}"/>
    <cellStyle name="Moeda 8 4 2 4" xfId="9261" xr:uid="{361EF5E1-7492-42EF-A6CC-E81AA92C5D6F}"/>
    <cellStyle name="Moeda 8 4 2 5" xfId="9597" xr:uid="{375D1AD4-C539-41C9-8F68-C861ACD2C895}"/>
    <cellStyle name="Moeda 8 4 3" xfId="8930" xr:uid="{00000000-0005-0000-0000-0000690F0000}"/>
    <cellStyle name="Moeda 8 4 3 2" xfId="9094" xr:uid="{00000000-0005-0000-0000-00006A0F0000}"/>
    <cellStyle name="Moeda 8 4 3 2 2" xfId="9467" xr:uid="{AFF927FA-621B-444A-82A4-A06A022DD541}"/>
    <cellStyle name="Moeda 8 4 3 2 3" xfId="9803" xr:uid="{E2FCB87C-1BFA-404D-8744-E81B05A862D1}"/>
    <cellStyle name="Moeda 8 4 3 3" xfId="9313" xr:uid="{D66C7ABF-437F-4081-8453-2946C60D8A74}"/>
    <cellStyle name="Moeda 8 4 3 4" xfId="9649" xr:uid="{8D534DA8-F005-46B2-9781-47BDDBB7F8BB}"/>
    <cellStyle name="Moeda 8 4 4" xfId="9017" xr:uid="{00000000-0005-0000-0000-00006B0F0000}"/>
    <cellStyle name="Moeda 8 4 4 2" xfId="9390" xr:uid="{A9A5D29E-3CDA-492D-8E4D-58BD7E2340D2}"/>
    <cellStyle name="Moeda 8 4 4 3" xfId="9726" xr:uid="{210B9679-4426-40BF-BE55-A620A5106C5B}"/>
    <cellStyle name="Moeda 8 4 5" xfId="9235" xr:uid="{0448B6E7-8EF1-45C1-B353-626B55FA3A06}"/>
    <cellStyle name="Moeda 8 4 6" xfId="9571" xr:uid="{10064A77-7B82-4562-805E-396F704162B7}"/>
    <cellStyle name="Moeda 8 5" xfId="2804" xr:uid="{00000000-0005-0000-0000-00006C0F0000}"/>
    <cellStyle name="Moeda 8 5 2" xfId="8904" xr:uid="{00000000-0005-0000-0000-00006D0F0000}"/>
    <cellStyle name="Moeda 8 5 2 2" xfId="9068" xr:uid="{00000000-0005-0000-0000-00006E0F0000}"/>
    <cellStyle name="Moeda 8 5 2 2 2" xfId="9441" xr:uid="{F84CCF05-5126-4B30-9E03-26B941E431F8}"/>
    <cellStyle name="Moeda 8 5 2 2 3" xfId="9777" xr:uid="{548464D8-F4AB-4291-B1CE-C2E9F7BCBCE8}"/>
    <cellStyle name="Moeda 8 5 2 3" xfId="9287" xr:uid="{96434A18-C9E1-4AB4-881B-AF67BBC12F8A}"/>
    <cellStyle name="Moeda 8 5 2 4" xfId="9623" xr:uid="{98498D58-F84E-419C-825B-BC91F99F8154}"/>
    <cellStyle name="Moeda 8 5 3" xfId="8993" xr:uid="{00000000-0005-0000-0000-00006F0F0000}"/>
    <cellStyle name="Moeda 8 5 3 2" xfId="9366" xr:uid="{E8B9DBC6-29D8-49D2-BB07-EEEC65C7284F}"/>
    <cellStyle name="Moeda 8 5 3 3" xfId="9702" xr:uid="{4EA07194-AE50-4D64-AC0C-797A0A2A1FE9}"/>
    <cellStyle name="Moeda 8 5 4" xfId="9209" xr:uid="{C73904E5-F31A-488C-A513-581D0C8B5F7E}"/>
    <cellStyle name="Moeda 8 5 5" xfId="9545" xr:uid="{888C0875-A39E-42EB-8A54-CF36454ACC26}"/>
    <cellStyle name="Moeda 8 6" xfId="7857" xr:uid="{00000000-0005-0000-0000-0000700F0000}"/>
    <cellStyle name="Moeda 8 6 2" xfId="8939" xr:uid="{00000000-0005-0000-0000-0000710F0000}"/>
    <cellStyle name="Moeda 8 6 2 2" xfId="9103" xr:uid="{00000000-0005-0000-0000-0000720F0000}"/>
    <cellStyle name="Moeda 8 6 2 2 2" xfId="9476" xr:uid="{946055EC-3571-4C1D-8EFF-07C0E0B7B5A2}"/>
    <cellStyle name="Moeda 8 6 2 2 3" xfId="9812" xr:uid="{F0233EF8-2EF9-4223-A84A-835E7F35D8AD}"/>
    <cellStyle name="Moeda 8 6 2 3" xfId="9322" xr:uid="{9D921154-9223-4AFE-951D-47F9E138530A}"/>
    <cellStyle name="Moeda 8 6 2 4" xfId="9658" xr:uid="{661CBB39-E7F1-4504-BD13-D9D36A871912}"/>
    <cellStyle name="Moeda 8 6 3" xfId="9026" xr:uid="{00000000-0005-0000-0000-0000730F0000}"/>
    <cellStyle name="Moeda 8 6 3 2" xfId="9399" xr:uid="{48151CEF-9B55-4E60-8FAE-3BBE4634F14A}"/>
    <cellStyle name="Moeda 8 6 3 3" xfId="9735" xr:uid="{1FA3D580-41B8-495B-B4F5-FF9E27E011BA}"/>
    <cellStyle name="Moeda 8 6 4" xfId="9244" xr:uid="{D06CA4A7-8F05-4528-83D4-B5FFB0D53B67}"/>
    <cellStyle name="Moeda 8 6 5" xfId="9580" xr:uid="{9C96043B-4F51-429A-BB6F-694D20013029}"/>
    <cellStyle name="Moeda 8 7" xfId="8902" xr:uid="{00000000-0005-0000-0000-0000740F0000}"/>
    <cellStyle name="Moeda 8 7 2" xfId="9066" xr:uid="{00000000-0005-0000-0000-0000750F0000}"/>
    <cellStyle name="Moeda 8 7 2 2" xfId="9439" xr:uid="{BAD620B6-2020-4F4F-A2C2-F7D4D9FE16E0}"/>
    <cellStyle name="Moeda 8 7 2 3" xfId="9775" xr:uid="{1715D132-6682-4362-BB36-A529A1EA8542}"/>
    <cellStyle name="Moeda 8 7 3" xfId="9285" xr:uid="{31C4E58D-E3DE-4CC8-A941-FA9062514990}"/>
    <cellStyle name="Moeda 8 7 4" xfId="9621" xr:uid="{8660C66B-A025-4A0E-8E1A-520D3D4F5EEB}"/>
    <cellStyle name="Moeda 8 8" xfId="8991" xr:uid="{00000000-0005-0000-0000-0000760F0000}"/>
    <cellStyle name="Moeda 8 8 2" xfId="9364" xr:uid="{3AE7AB4F-E969-47BB-A90D-501B5D42FC93}"/>
    <cellStyle name="Moeda 8 8 3" xfId="9700" xr:uid="{18E49EDC-7F39-4813-8E48-E3E92D45416A}"/>
    <cellStyle name="Moeda 8 9" xfId="9207" xr:uid="{7770DD80-25D7-43DA-B474-88F148A1206C}"/>
    <cellStyle name="Moeda 9" xfId="450" xr:uid="{00000000-0005-0000-0000-0000770F0000}"/>
    <cellStyle name="Moeda 9 10" xfId="9186" xr:uid="{B1D64D48-8B94-4A06-A375-D283877D5589}"/>
    <cellStyle name="Moeda 9 11" xfId="9522" xr:uid="{BB6B8362-4770-4F0D-8BAE-A189C3769981}"/>
    <cellStyle name="Moeda 9 2" xfId="451" xr:uid="{00000000-0005-0000-0000-0000780F0000}"/>
    <cellStyle name="Moeda 9 2 2" xfId="7984" xr:uid="{00000000-0005-0000-0000-0000790F0000}"/>
    <cellStyle name="Moeda 9 2 2 2" xfId="8942" xr:uid="{00000000-0005-0000-0000-00007A0F0000}"/>
    <cellStyle name="Moeda 9 2 2 2 2" xfId="9106" xr:uid="{00000000-0005-0000-0000-00007B0F0000}"/>
    <cellStyle name="Moeda 9 2 2 2 2 2" xfId="9479" xr:uid="{A946055E-7EF1-4761-91A2-19E586E31FBF}"/>
    <cellStyle name="Moeda 9 2 2 2 2 3" xfId="9815" xr:uid="{A77AEF73-4A44-4675-8B2E-47013EB2508F}"/>
    <cellStyle name="Moeda 9 2 2 2 3" xfId="9325" xr:uid="{4C7B6FC8-0E46-4E79-A59C-B5CD550BD98D}"/>
    <cellStyle name="Moeda 9 2 2 2 4" xfId="9661" xr:uid="{C96D44E5-52AB-4DC8-AA86-D4BF855182FF}"/>
    <cellStyle name="Moeda 9 2 2 3" xfId="9029" xr:uid="{00000000-0005-0000-0000-00007C0F0000}"/>
    <cellStyle name="Moeda 9 2 2 3 2" xfId="9402" xr:uid="{03EDC0DA-CE94-4E84-8615-CEAD5192F172}"/>
    <cellStyle name="Moeda 9 2 2 3 3" xfId="9738" xr:uid="{72723E19-CA7A-488E-A28D-4E9B51330819}"/>
    <cellStyle name="Moeda 9 2 2 4" xfId="9247" xr:uid="{3302327D-784B-4F94-AADC-EB20446563BF}"/>
    <cellStyle name="Moeda 9 2 2 5" xfId="9583" xr:uid="{62566B9D-0B48-48B8-AA3B-E43D1619681B}"/>
    <cellStyle name="Moeda 9 2 3" xfId="8911" xr:uid="{00000000-0005-0000-0000-00007D0F0000}"/>
    <cellStyle name="Moeda 9 2 3 2" xfId="9075" xr:uid="{00000000-0005-0000-0000-00007E0F0000}"/>
    <cellStyle name="Moeda 9 2 3 2 2" xfId="9448" xr:uid="{A0B7DC72-D9F5-4039-934D-1A7870052E2A}"/>
    <cellStyle name="Moeda 9 2 3 2 3" xfId="9784" xr:uid="{E4B57DDD-2776-4738-A903-7061E30B9137}"/>
    <cellStyle name="Moeda 9 2 3 3" xfId="9294" xr:uid="{8B13D977-A38C-4321-BDB0-8A10F887C685}"/>
    <cellStyle name="Moeda 9 2 3 4" xfId="9630" xr:uid="{220D9817-69FB-49F5-9011-363F64802B74}"/>
    <cellStyle name="Moeda 9 2 4" xfId="9000" xr:uid="{00000000-0005-0000-0000-00007F0F0000}"/>
    <cellStyle name="Moeda 9 2 4 2" xfId="9373" xr:uid="{EE4F189D-1DA8-43DC-9290-2457214EE4F2}"/>
    <cellStyle name="Moeda 9 2 4 3" xfId="9709" xr:uid="{0BB6A93A-664F-4312-BF66-B0C6A8441B20}"/>
    <cellStyle name="Moeda 9 2 5" xfId="2927" xr:uid="{00000000-0005-0000-0000-0000800F0000}"/>
    <cellStyle name="Moeda 9 2 5 2" xfId="9216" xr:uid="{060E5A97-0311-4FA3-9AF3-1DB349EF4475}"/>
    <cellStyle name="Moeda 9 2 5 3" xfId="9552" xr:uid="{052B51BD-FC89-4025-9E8F-367C3CC01B99}"/>
    <cellStyle name="Moeda 9 2 6" xfId="9187" xr:uid="{6BABF5F7-424D-4A9A-948E-14CF64907833}"/>
    <cellStyle name="Moeda 9 2 7" xfId="9523" xr:uid="{CB7E85E4-731F-4ED4-ACC6-4EFEE68D4C25}"/>
    <cellStyle name="Moeda 9 3" xfId="3020" xr:uid="{00000000-0005-0000-0000-0000810F0000}"/>
    <cellStyle name="Moeda 9 3 2" xfId="8076" xr:uid="{00000000-0005-0000-0000-0000820F0000}"/>
    <cellStyle name="Moeda 9 3 2 2" xfId="8948" xr:uid="{00000000-0005-0000-0000-0000830F0000}"/>
    <cellStyle name="Moeda 9 3 2 2 2" xfId="9112" xr:uid="{00000000-0005-0000-0000-0000840F0000}"/>
    <cellStyle name="Moeda 9 3 2 2 2 2" xfId="9485" xr:uid="{FCEDD0C0-39FB-438E-BAAD-AD75DB52FC92}"/>
    <cellStyle name="Moeda 9 3 2 2 2 3" xfId="9821" xr:uid="{FD59FB7A-1143-4CA3-9762-62C6C7182152}"/>
    <cellStyle name="Moeda 9 3 2 2 3" xfId="9331" xr:uid="{1CA50135-527B-4804-A608-25FD75C3F655}"/>
    <cellStyle name="Moeda 9 3 2 2 4" xfId="9667" xr:uid="{02DE3E6B-3EA5-401E-B5CB-3263FCCCDA03}"/>
    <cellStyle name="Moeda 9 3 2 3" xfId="9035" xr:uid="{00000000-0005-0000-0000-0000850F0000}"/>
    <cellStyle name="Moeda 9 3 2 3 2" xfId="9408" xr:uid="{1CE6FF0C-D4DF-4719-B455-971B3CCA03BD}"/>
    <cellStyle name="Moeda 9 3 2 3 3" xfId="9744" xr:uid="{0E4ADD42-C79D-4829-BDD0-980EDE874F71}"/>
    <cellStyle name="Moeda 9 3 2 4" xfId="9253" xr:uid="{BDBE92B9-837A-48B7-9A72-F65BA58BE7D0}"/>
    <cellStyle name="Moeda 9 3 2 5" xfId="9589" xr:uid="{6972FC93-260B-466B-99B6-49AD89D3C8C7}"/>
    <cellStyle name="Moeda 9 3 3" xfId="8917" xr:uid="{00000000-0005-0000-0000-0000860F0000}"/>
    <cellStyle name="Moeda 9 3 3 2" xfId="9081" xr:uid="{00000000-0005-0000-0000-0000870F0000}"/>
    <cellStyle name="Moeda 9 3 3 2 2" xfId="9454" xr:uid="{6BE313B7-EF17-46D1-AEA8-6C6A632D10E4}"/>
    <cellStyle name="Moeda 9 3 3 2 3" xfId="9790" xr:uid="{97DC5CE3-3D1E-4F74-B215-848741DAB9FA}"/>
    <cellStyle name="Moeda 9 3 3 3" xfId="9300" xr:uid="{10DC0F89-11B2-48B6-8AEE-6BE489AE7073}"/>
    <cellStyle name="Moeda 9 3 3 4" xfId="9636" xr:uid="{74BA6571-D74C-4A08-B253-060881FC8FF3}"/>
    <cellStyle name="Moeda 9 3 4" xfId="9006" xr:uid="{00000000-0005-0000-0000-0000880F0000}"/>
    <cellStyle name="Moeda 9 3 4 2" xfId="9379" xr:uid="{8D534F2B-8678-49A5-89BD-0004A21F158D}"/>
    <cellStyle name="Moeda 9 3 4 3" xfId="9715" xr:uid="{5C425681-8E09-4EFF-8B90-7BB9CDE81A0D}"/>
    <cellStyle name="Moeda 9 3 5" xfId="9222" xr:uid="{FA9830E3-C410-4B22-A66D-B3D7168638DE}"/>
    <cellStyle name="Moeda 9 3 6" xfId="9558" xr:uid="{A9CE5B53-BE63-474F-B7A3-EBEF50F61AA9}"/>
    <cellStyle name="Moeda 9 4" xfId="3734" xr:uid="{00000000-0005-0000-0000-0000890F0000}"/>
    <cellStyle name="Moeda 9 4 2" xfId="8648" xr:uid="{00000000-0005-0000-0000-00008A0F0000}"/>
    <cellStyle name="Moeda 9 4 2 2" xfId="8954" xr:uid="{00000000-0005-0000-0000-00008B0F0000}"/>
    <cellStyle name="Moeda 9 4 2 2 2" xfId="9118" xr:uid="{00000000-0005-0000-0000-00008C0F0000}"/>
    <cellStyle name="Moeda 9 4 2 2 2 2" xfId="9491" xr:uid="{29AF3452-410C-417F-A120-DD2E361E9AD1}"/>
    <cellStyle name="Moeda 9 4 2 2 2 3" xfId="9827" xr:uid="{8DC7DADF-2B54-4CD8-83BE-32D2DD4A363C}"/>
    <cellStyle name="Moeda 9 4 2 2 3" xfId="9337" xr:uid="{1DE7FC57-3F0F-4106-8768-C6A78DAA4200}"/>
    <cellStyle name="Moeda 9 4 2 2 4" xfId="9673" xr:uid="{0391DCDF-BA15-4DAB-B7C9-1E0211C505F0}"/>
    <cellStyle name="Moeda 9 4 2 3" xfId="9041" xr:uid="{00000000-0005-0000-0000-00008D0F0000}"/>
    <cellStyle name="Moeda 9 4 2 3 2" xfId="9414" xr:uid="{7D81150C-F6D2-40D8-B8FA-B684CF73D6DB}"/>
    <cellStyle name="Moeda 9 4 2 3 3" xfId="9750" xr:uid="{A5074302-3600-43CD-9092-4DA60AAE0A34}"/>
    <cellStyle name="Moeda 9 4 2 4" xfId="9259" xr:uid="{CC8FAE12-CD9A-43DD-8850-436F73173951}"/>
    <cellStyle name="Moeda 9 4 2 5" xfId="9595" xr:uid="{0FEB122C-A689-4D23-826C-ADCE239A8987}"/>
    <cellStyle name="Moeda 9 4 3" xfId="8927" xr:uid="{00000000-0005-0000-0000-00008E0F0000}"/>
    <cellStyle name="Moeda 9 4 3 2" xfId="9091" xr:uid="{00000000-0005-0000-0000-00008F0F0000}"/>
    <cellStyle name="Moeda 9 4 3 2 2" xfId="9464" xr:uid="{AB697B72-F18F-426C-A278-621FD30FD802}"/>
    <cellStyle name="Moeda 9 4 3 2 3" xfId="9800" xr:uid="{21362690-7A6F-4BB4-BCEE-256D5691A425}"/>
    <cellStyle name="Moeda 9 4 3 3" xfId="9310" xr:uid="{ABCF8692-1A97-470B-B1DC-EF5939F5FE0C}"/>
    <cellStyle name="Moeda 9 4 3 4" xfId="9646" xr:uid="{8740DA7F-C142-4EFA-911E-3D62C543C2A0}"/>
    <cellStyle name="Moeda 9 4 4" xfId="9014" xr:uid="{00000000-0005-0000-0000-0000900F0000}"/>
    <cellStyle name="Moeda 9 4 4 2" xfId="9387" xr:uid="{AAD25EA7-BB5E-4626-BDE5-4543C79237A8}"/>
    <cellStyle name="Moeda 9 4 4 3" xfId="9723" xr:uid="{7D2ABE73-917B-441F-A3B4-7B21061BB9A5}"/>
    <cellStyle name="Moeda 9 4 5" xfId="9232" xr:uid="{2F7DE599-1E40-46A6-8092-087F8C19A416}"/>
    <cellStyle name="Moeda 9 4 6" xfId="9568" xr:uid="{8B13E079-6416-4B96-BC46-BFF5FED8A040}"/>
    <cellStyle name="Moeda 9 5" xfId="2821" xr:uid="{00000000-0005-0000-0000-0000910F0000}"/>
    <cellStyle name="Moeda 9 5 2" xfId="8905" xr:uid="{00000000-0005-0000-0000-0000920F0000}"/>
    <cellStyle name="Moeda 9 5 2 2" xfId="9069" xr:uid="{00000000-0005-0000-0000-0000930F0000}"/>
    <cellStyle name="Moeda 9 5 2 2 2" xfId="9442" xr:uid="{CAAD1CAF-12A3-4ACA-9961-6BDB7FEA5915}"/>
    <cellStyle name="Moeda 9 5 2 2 3" xfId="9778" xr:uid="{C3DC4E50-75C6-45AF-8AD6-7CF87C99F0E5}"/>
    <cellStyle name="Moeda 9 5 2 3" xfId="9288" xr:uid="{04F3BF1E-4E14-43E5-BC4C-B3D0F509C186}"/>
    <cellStyle name="Moeda 9 5 2 4" xfId="9624" xr:uid="{0FBE178C-B67F-4199-9A32-3A50BCFF9952}"/>
    <cellStyle name="Moeda 9 5 3" xfId="8994" xr:uid="{00000000-0005-0000-0000-0000940F0000}"/>
    <cellStyle name="Moeda 9 5 3 2" xfId="9367" xr:uid="{5164F0E1-6F4C-4754-8D63-93201012985D}"/>
    <cellStyle name="Moeda 9 5 3 3" xfId="9703" xr:uid="{812C1596-CF8E-47D7-B6C4-D12DAF35CDB1}"/>
    <cellStyle name="Moeda 9 5 4" xfId="9210" xr:uid="{2E8A2B30-7E03-4521-9C47-AA5F49575EFD}"/>
    <cellStyle name="Moeda 9 5 5" xfId="9546" xr:uid="{6EE371FB-4606-4865-B4E6-C79B1A6BDC92}"/>
    <cellStyle name="Moeda 9 6" xfId="7858" xr:uid="{00000000-0005-0000-0000-0000950F0000}"/>
    <cellStyle name="Moeda 9 6 2" xfId="8940" xr:uid="{00000000-0005-0000-0000-0000960F0000}"/>
    <cellStyle name="Moeda 9 6 2 2" xfId="9104" xr:uid="{00000000-0005-0000-0000-0000970F0000}"/>
    <cellStyle name="Moeda 9 6 2 2 2" xfId="9477" xr:uid="{294DC0DF-35D9-4AA4-9D0E-83F46597639C}"/>
    <cellStyle name="Moeda 9 6 2 2 3" xfId="9813" xr:uid="{538B72C1-F0B9-4A5B-A623-1920093220DA}"/>
    <cellStyle name="Moeda 9 6 2 3" xfId="9323" xr:uid="{AB3531FD-FD64-40CE-B783-0FAE0EEF6037}"/>
    <cellStyle name="Moeda 9 6 2 4" xfId="9659" xr:uid="{F3FCC9DF-47D0-44B4-97F0-4DDC1D9F30F6}"/>
    <cellStyle name="Moeda 9 6 3" xfId="9027" xr:uid="{00000000-0005-0000-0000-0000980F0000}"/>
    <cellStyle name="Moeda 9 6 3 2" xfId="9400" xr:uid="{78D743E5-3C4C-4968-AEA5-EB25C3CD6BC7}"/>
    <cellStyle name="Moeda 9 6 3 3" xfId="9736" xr:uid="{F22832AB-B5DE-4617-AA6E-F2C2560BEA62}"/>
    <cellStyle name="Moeda 9 6 4" xfId="9245" xr:uid="{EE284F4B-9203-4035-A0EE-0822C26B039E}"/>
    <cellStyle name="Moeda 9 6 5" xfId="9581" xr:uid="{1145FFD5-2BD0-46DE-8D2D-EB4CCD65E1FE}"/>
    <cellStyle name="Moeda 9 7" xfId="8903" xr:uid="{00000000-0005-0000-0000-0000990F0000}"/>
    <cellStyle name="Moeda 9 7 2" xfId="9067" xr:uid="{00000000-0005-0000-0000-00009A0F0000}"/>
    <cellStyle name="Moeda 9 7 2 2" xfId="9440" xr:uid="{B2559190-9DE5-437B-BCBA-1E9E30FDE672}"/>
    <cellStyle name="Moeda 9 7 2 3" xfId="9776" xr:uid="{B34B3CD5-C666-416C-9515-2BC454A9A0E6}"/>
    <cellStyle name="Moeda 9 7 3" xfId="9286" xr:uid="{70DE6E6C-E8C7-4B5C-9D15-FB624E8D248F}"/>
    <cellStyle name="Moeda 9 7 4" xfId="9622" xr:uid="{29B83BE8-5C5E-4053-81B4-7FFA662E4E41}"/>
    <cellStyle name="Moeda 9 8" xfId="8992" xr:uid="{00000000-0005-0000-0000-00009B0F0000}"/>
    <cellStyle name="Moeda 9 8 2" xfId="9365" xr:uid="{427A296D-BF2F-46C2-A537-B30DF43AA0EE}"/>
    <cellStyle name="Moeda 9 8 3" xfId="9701" xr:uid="{471B21FF-98B7-4BDA-A7B7-ACC57F37B8A2}"/>
    <cellStyle name="Moeda 9 9" xfId="2647" xr:uid="{00000000-0005-0000-0000-00009C0F0000}"/>
    <cellStyle name="Moeda 9 9 2" xfId="9208" xr:uid="{784E127B-224D-4EF7-BE77-6E0E51C2A4BA}"/>
    <cellStyle name="Moeda 9 9 3" xfId="9544" xr:uid="{E69DAA3F-929F-4ECA-BFDD-5D9BE2ED6479}"/>
    <cellStyle name="Moneda_CALDERA.XLC" xfId="452" xr:uid="{00000000-0005-0000-0000-00009D0F0000}"/>
    <cellStyle name="Monétaire [0]_CONV" xfId="8784" xr:uid="{00000000-0005-0000-0000-00009E0F0000}"/>
    <cellStyle name="Monétaire_CONV" xfId="8785"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8" xr:uid="{00000000-0005-0000-0000-0000A40F0000}"/>
    <cellStyle name="Neutral 2" xfId="1096" xr:uid="{00000000-0005-0000-0000-0000A50F0000}"/>
    <cellStyle name="Neutral 2 2" xfId="3577" xr:uid="{00000000-0005-0000-0000-0000A60F0000}"/>
    <cellStyle name="Neutral 2 2 2" xfId="5189" xr:uid="{00000000-0005-0000-0000-0000A70F0000}"/>
    <cellStyle name="Neutral 2 2 3" xfId="8561" xr:uid="{00000000-0005-0000-0000-0000A80F0000}"/>
    <cellStyle name="Neutral 2 3" xfId="3358" xr:uid="{00000000-0005-0000-0000-0000A90F0000}"/>
    <cellStyle name="Neutral 2 3 2" xfId="4988" xr:uid="{00000000-0005-0000-0000-0000AA0F0000}"/>
    <cellStyle name="Neutral 2 3 3" xfId="8392" xr:uid="{00000000-0005-0000-0000-0000AB0F0000}"/>
    <cellStyle name="Neutral 2 4" xfId="4050" xr:uid="{00000000-0005-0000-0000-0000AC0F0000}"/>
    <cellStyle name="Neutral 2 5" xfId="6368" xr:uid="{00000000-0005-0000-0000-0000AD0F0000}"/>
    <cellStyle name="Neutral 3" xfId="3359" xr:uid="{00000000-0005-0000-0000-0000AE0F0000}"/>
    <cellStyle name="Neutral 3 2" xfId="4989" xr:uid="{00000000-0005-0000-0000-0000AF0F0000}"/>
    <cellStyle name="Neutral 3 3" xfId="8393" xr:uid="{00000000-0005-0000-0000-0000B00F0000}"/>
    <cellStyle name="Neutral 4" xfId="3360" xr:uid="{00000000-0005-0000-0000-0000B10F0000}"/>
    <cellStyle name="Neutral 4 2" xfId="4990" xr:uid="{00000000-0005-0000-0000-0000B20F0000}"/>
    <cellStyle name="Neutral 4 3" xfId="8394" xr:uid="{00000000-0005-0000-0000-0000B30F0000}"/>
    <cellStyle name="Neutral 5" xfId="3361" xr:uid="{00000000-0005-0000-0000-0000B40F0000}"/>
    <cellStyle name="Neutral 5 2" xfId="4991" xr:uid="{00000000-0005-0000-0000-0000B50F0000}"/>
    <cellStyle name="Neutral 5 3" xfId="8395" xr:uid="{00000000-0005-0000-0000-0000B60F0000}"/>
    <cellStyle name="Neutral 6" xfId="3362" xr:uid="{00000000-0005-0000-0000-0000B70F0000}"/>
    <cellStyle name="Neutral 6 2" xfId="4992" xr:uid="{00000000-0005-0000-0000-0000B80F0000}"/>
    <cellStyle name="Neutral 6 3" xfId="8396" xr:uid="{00000000-0005-0000-0000-0000B90F0000}"/>
    <cellStyle name="Neutral 7" xfId="3357" xr:uid="{00000000-0005-0000-0000-0000BA0F0000}"/>
    <cellStyle name="Neutral 7 2" xfId="4987" xr:uid="{00000000-0005-0000-0000-0000BB0F0000}"/>
    <cellStyle name="Neutral 7 3" xfId="8391" xr:uid="{00000000-0005-0000-0000-0000BC0F0000}"/>
    <cellStyle name="Neutral 8" xfId="4049" xr:uid="{00000000-0005-0000-0000-0000BD0F0000}"/>
    <cellStyle name="Neutral 9" xfId="7361" xr:uid="{00000000-0005-0000-0000-0000BE0F0000}"/>
    <cellStyle name="Neutro 2" xfId="457" xr:uid="{00000000-0005-0000-0000-0000BF0F0000}"/>
    <cellStyle name="Neutro 2 2" xfId="6287" xr:uid="{00000000-0005-0000-0000-0000C00F0000}"/>
    <cellStyle name="Neutro 3" xfId="458" xr:uid="{00000000-0005-0000-0000-0000C10F0000}"/>
    <cellStyle name="Neutro 3 2" xfId="1005"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1" xr:uid="{00000000-0005-0000-0000-0000CB0F0000}"/>
    <cellStyle name="Normal 10 10 3" xfId="7433" xr:uid="{00000000-0005-0000-0000-0000CC0F0000}"/>
    <cellStyle name="Normal 10 10 4" xfId="2200" xr:uid="{00000000-0005-0000-0000-0000CD0F0000}"/>
    <cellStyle name="Normal 10 11" xfId="466" xr:uid="{00000000-0005-0000-0000-0000CE0F0000}"/>
    <cellStyle name="Normal 10 11 2" xfId="4052" xr:uid="{00000000-0005-0000-0000-0000CF0F0000}"/>
    <cellStyle name="Normal 10 11 3" xfId="7434" xr:uid="{00000000-0005-0000-0000-0000D00F0000}"/>
    <cellStyle name="Normal 10 11 4" xfId="2201" xr:uid="{00000000-0005-0000-0000-0000D10F0000}"/>
    <cellStyle name="Normal 10 12" xfId="467" xr:uid="{00000000-0005-0000-0000-0000D20F0000}"/>
    <cellStyle name="Normal 10 12 2" xfId="4053" xr:uid="{00000000-0005-0000-0000-0000D30F0000}"/>
    <cellStyle name="Normal 10 12 3" xfId="7435" xr:uid="{00000000-0005-0000-0000-0000D40F0000}"/>
    <cellStyle name="Normal 10 12 4" xfId="2202" xr:uid="{00000000-0005-0000-0000-0000D50F0000}"/>
    <cellStyle name="Normal 10 13" xfId="468" xr:uid="{00000000-0005-0000-0000-0000D60F0000}"/>
    <cellStyle name="Normal 10 13 2" xfId="4054" xr:uid="{00000000-0005-0000-0000-0000D70F0000}"/>
    <cellStyle name="Normal 10 13 3" xfId="7436" xr:uid="{00000000-0005-0000-0000-0000D80F0000}"/>
    <cellStyle name="Normal 10 13 4" xfId="2203" xr:uid="{00000000-0005-0000-0000-0000D90F0000}"/>
    <cellStyle name="Normal 10 14" xfId="2204" xr:uid="{00000000-0005-0000-0000-0000DA0F0000}"/>
    <cellStyle name="Normal 10 14 2" xfId="4055" xr:uid="{00000000-0005-0000-0000-0000DB0F0000}"/>
    <cellStyle name="Normal 10 14 3" xfId="7437" xr:uid="{00000000-0005-0000-0000-0000DC0F0000}"/>
    <cellStyle name="Normal 10 15" xfId="2205" xr:uid="{00000000-0005-0000-0000-0000DD0F0000}"/>
    <cellStyle name="Normal 10 15 2" xfId="4056" xr:uid="{00000000-0005-0000-0000-0000DE0F0000}"/>
    <cellStyle name="Normal 10 15 3" xfId="7438" xr:uid="{00000000-0005-0000-0000-0000DF0F0000}"/>
    <cellStyle name="Normal 10 16" xfId="2206" xr:uid="{00000000-0005-0000-0000-0000E00F0000}"/>
    <cellStyle name="Normal 10 16 2" xfId="4057" xr:uid="{00000000-0005-0000-0000-0000E10F0000}"/>
    <cellStyle name="Normal 10 16 3" xfId="7439" xr:uid="{00000000-0005-0000-0000-0000E20F0000}"/>
    <cellStyle name="Normal 10 17" xfId="2207" xr:uid="{00000000-0005-0000-0000-0000E30F0000}"/>
    <cellStyle name="Normal 10 17 2" xfId="4058" xr:uid="{00000000-0005-0000-0000-0000E40F0000}"/>
    <cellStyle name="Normal 10 17 3" xfId="7440" xr:uid="{00000000-0005-0000-0000-0000E50F0000}"/>
    <cellStyle name="Normal 10 18" xfId="2208" xr:uid="{00000000-0005-0000-0000-0000E60F0000}"/>
    <cellStyle name="Normal 10 18 2" xfId="4059" xr:uid="{00000000-0005-0000-0000-0000E70F0000}"/>
    <cellStyle name="Normal 10 18 3" xfId="7441" xr:uid="{00000000-0005-0000-0000-0000E80F0000}"/>
    <cellStyle name="Normal 10 19" xfId="2209" xr:uid="{00000000-0005-0000-0000-0000E90F0000}"/>
    <cellStyle name="Normal 10 19 2" xfId="4060" xr:uid="{00000000-0005-0000-0000-0000EA0F0000}"/>
    <cellStyle name="Normal 10 19 3" xfId="7442" xr:uid="{00000000-0005-0000-0000-0000EB0F0000}"/>
    <cellStyle name="Normal 10 2" xfId="469" xr:uid="{00000000-0005-0000-0000-0000EC0F0000}"/>
    <cellStyle name="Normal 10 2 10" xfId="6459" xr:uid="{00000000-0005-0000-0000-0000ED0F0000}"/>
    <cellStyle name="Normal 10 2 11" xfId="1207" xr:uid="{00000000-0005-0000-0000-0000EE0F0000}"/>
    <cellStyle name="Normal 10 2 2" xfId="1278" xr:uid="{00000000-0005-0000-0000-0000EF0F0000}"/>
    <cellStyle name="Normal 10 2 2 2" xfId="1550" xr:uid="{00000000-0005-0000-0000-0000F00F0000}"/>
    <cellStyle name="Normal 10 2 2 2 2" xfId="5577" xr:uid="{00000000-0005-0000-0000-0000F10F0000}"/>
    <cellStyle name="Normal 10 2 2 2 3" xfId="6802" xr:uid="{00000000-0005-0000-0000-0000F20F0000}"/>
    <cellStyle name="Normal 10 2 2 3" xfId="1755" xr:uid="{00000000-0005-0000-0000-0000F30F0000}"/>
    <cellStyle name="Normal 10 2 2 3 2" xfId="5777" xr:uid="{00000000-0005-0000-0000-0000F40F0000}"/>
    <cellStyle name="Normal 10 2 2 3 3" xfId="7002" xr:uid="{00000000-0005-0000-0000-0000F50F0000}"/>
    <cellStyle name="Normal 10 2 2 4" xfId="2002" xr:uid="{00000000-0005-0000-0000-0000F60F0000}"/>
    <cellStyle name="Normal 10 2 2 4 2" xfId="6021" xr:uid="{00000000-0005-0000-0000-0000F70F0000}"/>
    <cellStyle name="Normal 10 2 2 4 3" xfId="7249" xr:uid="{00000000-0005-0000-0000-0000F80F0000}"/>
    <cellStyle name="Normal 10 2 2 5" xfId="3643" xr:uid="{00000000-0005-0000-0000-0000F90F0000}"/>
    <cellStyle name="Normal 10 2 2 5 2" xfId="5315" xr:uid="{00000000-0005-0000-0000-0000FA0F0000}"/>
    <cellStyle name="Normal 10 2 2 5 3" xfId="8600" xr:uid="{00000000-0005-0000-0000-0000FB0F0000}"/>
    <cellStyle name="Normal 10 2 2 6" xfId="3365" xr:uid="{00000000-0005-0000-0000-0000FC0F0000}"/>
    <cellStyle name="Normal 10 2 2 7" xfId="4995" xr:uid="{00000000-0005-0000-0000-0000FD0F0000}"/>
    <cellStyle name="Normal 10 2 2 8" xfId="6530" xr:uid="{00000000-0005-0000-0000-0000FE0F0000}"/>
    <cellStyle name="Normal 10 2 3" xfId="1325" xr:uid="{00000000-0005-0000-0000-0000FF0F0000}"/>
    <cellStyle name="Normal 10 2 3 2" xfId="1593" xr:uid="{00000000-0005-0000-0000-000000100000}"/>
    <cellStyle name="Normal 10 2 3 2 2" xfId="5619" xr:uid="{00000000-0005-0000-0000-000001100000}"/>
    <cellStyle name="Normal 10 2 3 2 3" xfId="6844" xr:uid="{00000000-0005-0000-0000-000002100000}"/>
    <cellStyle name="Normal 10 2 3 3" xfId="1797" xr:uid="{00000000-0005-0000-0000-000003100000}"/>
    <cellStyle name="Normal 10 2 3 3 2" xfId="5818" xr:uid="{00000000-0005-0000-0000-000004100000}"/>
    <cellStyle name="Normal 10 2 3 3 3" xfId="7044" xr:uid="{00000000-0005-0000-0000-000005100000}"/>
    <cellStyle name="Normal 10 2 3 4" xfId="2001" xr:uid="{00000000-0005-0000-0000-000006100000}"/>
    <cellStyle name="Normal 10 2 3 4 2" xfId="6020" xr:uid="{00000000-0005-0000-0000-000007100000}"/>
    <cellStyle name="Normal 10 2 3 4 3" xfId="7248" xr:uid="{00000000-0005-0000-0000-000008100000}"/>
    <cellStyle name="Normal 10 2 3 5" xfId="5361" xr:uid="{00000000-0005-0000-0000-000009100000}"/>
    <cellStyle name="Normal 10 2 3 6" xfId="6577" xr:uid="{00000000-0005-0000-0000-00000A100000}"/>
    <cellStyle name="Normal 10 2 4" xfId="1477" xr:uid="{00000000-0005-0000-0000-00000B100000}"/>
    <cellStyle name="Normal 10 2 4 2" xfId="5505" xr:uid="{00000000-0005-0000-0000-00000C100000}"/>
    <cellStyle name="Normal 10 2 4 3" xfId="6729" xr:uid="{00000000-0005-0000-0000-00000D100000}"/>
    <cellStyle name="Normal 10 2 5" xfId="1684" xr:uid="{00000000-0005-0000-0000-00000E100000}"/>
    <cellStyle name="Normal 10 2 5 2" xfId="5706" xr:uid="{00000000-0005-0000-0000-00000F100000}"/>
    <cellStyle name="Normal 10 2 5 3" xfId="6931" xr:uid="{00000000-0005-0000-0000-000010100000}"/>
    <cellStyle name="Normal 10 2 6" xfId="1791" xr:uid="{00000000-0005-0000-0000-000011100000}"/>
    <cellStyle name="Normal 10 2 6 2" xfId="5812" xr:uid="{00000000-0005-0000-0000-000012100000}"/>
    <cellStyle name="Normal 10 2 6 3" xfId="7038" xr:uid="{00000000-0005-0000-0000-000013100000}"/>
    <cellStyle name="Normal 10 2 7" xfId="2210" xr:uid="{00000000-0005-0000-0000-000014100000}"/>
    <cellStyle name="Normal 10 2 7 2" xfId="3619" xr:uid="{00000000-0005-0000-0000-000015100000}"/>
    <cellStyle name="Normal 10 2 7 3" xfId="5248" xr:uid="{00000000-0005-0000-0000-000016100000}"/>
    <cellStyle name="Normal 10 2 7 4" xfId="7443" xr:uid="{00000000-0005-0000-0000-000017100000}"/>
    <cellStyle name="Normal 10 2 8" xfId="3364" xr:uid="{00000000-0005-0000-0000-000018100000}"/>
    <cellStyle name="Normal 10 2 8 2" xfId="4994" xr:uid="{00000000-0005-0000-0000-000019100000}"/>
    <cellStyle name="Normal 10 2 8 3" xfId="8398" xr:uid="{00000000-0005-0000-0000-00001A100000}"/>
    <cellStyle name="Normal 10 2 9" xfId="4061" xr:uid="{00000000-0005-0000-0000-00001B100000}"/>
    <cellStyle name="Normal 10 20" xfId="2211" xr:uid="{00000000-0005-0000-0000-00001C100000}"/>
    <cellStyle name="Normal 10 20 2" xfId="4062" xr:uid="{00000000-0005-0000-0000-00001D100000}"/>
    <cellStyle name="Normal 10 20 3" xfId="7444" xr:uid="{00000000-0005-0000-0000-00001E100000}"/>
    <cellStyle name="Normal 10 21" xfId="2212" xr:uid="{00000000-0005-0000-0000-00001F100000}"/>
    <cellStyle name="Normal 10 21 2" xfId="4063" xr:uid="{00000000-0005-0000-0000-000020100000}"/>
    <cellStyle name="Normal 10 21 3" xfId="7445" xr:uid="{00000000-0005-0000-0000-000021100000}"/>
    <cellStyle name="Normal 10 22" xfId="2213" xr:uid="{00000000-0005-0000-0000-000022100000}"/>
    <cellStyle name="Normal 10 22 2" xfId="4064" xr:uid="{00000000-0005-0000-0000-000023100000}"/>
    <cellStyle name="Normal 10 22 3" xfId="7446" xr:uid="{00000000-0005-0000-0000-000024100000}"/>
    <cellStyle name="Normal 10 23" xfId="2214" xr:uid="{00000000-0005-0000-0000-000025100000}"/>
    <cellStyle name="Normal 10 23 2" xfId="4065" xr:uid="{00000000-0005-0000-0000-000026100000}"/>
    <cellStyle name="Normal 10 23 3" xfId="7447" xr:uid="{00000000-0005-0000-0000-000027100000}"/>
    <cellStyle name="Normal 10 24" xfId="2215" xr:uid="{00000000-0005-0000-0000-000028100000}"/>
    <cellStyle name="Normal 10 24 2" xfId="4066" xr:uid="{00000000-0005-0000-0000-000029100000}"/>
    <cellStyle name="Normal 10 24 3" xfId="7448" xr:uid="{00000000-0005-0000-0000-00002A100000}"/>
    <cellStyle name="Normal 10 25" xfId="2216" xr:uid="{00000000-0005-0000-0000-00002B100000}"/>
    <cellStyle name="Normal 10 25 2" xfId="4067" xr:uid="{00000000-0005-0000-0000-00002C100000}"/>
    <cellStyle name="Normal 10 25 3" xfId="7449" xr:uid="{00000000-0005-0000-0000-00002D100000}"/>
    <cellStyle name="Normal 10 26" xfId="2217" xr:uid="{00000000-0005-0000-0000-00002E100000}"/>
    <cellStyle name="Normal 10 26 2" xfId="4068" xr:uid="{00000000-0005-0000-0000-00002F100000}"/>
    <cellStyle name="Normal 10 26 3" xfId="7450" xr:uid="{00000000-0005-0000-0000-000030100000}"/>
    <cellStyle name="Normal 10 27" xfId="2218" xr:uid="{00000000-0005-0000-0000-000031100000}"/>
    <cellStyle name="Normal 10 27 2" xfId="4069" xr:uid="{00000000-0005-0000-0000-000032100000}"/>
    <cellStyle name="Normal 10 27 3" xfId="7451" xr:uid="{00000000-0005-0000-0000-000033100000}"/>
    <cellStyle name="Normal 10 28" xfId="2219" xr:uid="{00000000-0005-0000-0000-000034100000}"/>
    <cellStyle name="Normal 10 28 2" xfId="4070" xr:uid="{00000000-0005-0000-0000-000035100000}"/>
    <cellStyle name="Normal 10 28 3" xfId="7452" xr:uid="{00000000-0005-0000-0000-000036100000}"/>
    <cellStyle name="Normal 10 29" xfId="2220" xr:uid="{00000000-0005-0000-0000-000037100000}"/>
    <cellStyle name="Normal 10 29 2" xfId="4071" xr:uid="{00000000-0005-0000-0000-000038100000}"/>
    <cellStyle name="Normal 10 29 3" xfId="7453" xr:uid="{00000000-0005-0000-0000-000039100000}"/>
    <cellStyle name="Normal 10 3" xfId="470" xr:uid="{00000000-0005-0000-0000-00003A100000}"/>
    <cellStyle name="Normal 10 3 2" xfId="1527" xr:uid="{00000000-0005-0000-0000-00003B100000}"/>
    <cellStyle name="Normal 10 3 2 2" xfId="5554" xr:uid="{00000000-0005-0000-0000-00003C100000}"/>
    <cellStyle name="Normal 10 3 2 3" xfId="6779" xr:uid="{00000000-0005-0000-0000-00003D100000}"/>
    <cellStyle name="Normal 10 3 3" xfId="1732" xr:uid="{00000000-0005-0000-0000-00003E100000}"/>
    <cellStyle name="Normal 10 3 3 2" xfId="5754" xr:uid="{00000000-0005-0000-0000-00003F100000}"/>
    <cellStyle name="Normal 10 3 3 3" xfId="6979" xr:uid="{00000000-0005-0000-0000-000040100000}"/>
    <cellStyle name="Normal 10 3 4" xfId="1483" xr:uid="{00000000-0005-0000-0000-000041100000}"/>
    <cellStyle name="Normal 10 3 4 2" xfId="5511" xr:uid="{00000000-0005-0000-0000-000042100000}"/>
    <cellStyle name="Normal 10 3 4 3" xfId="6735" xr:uid="{00000000-0005-0000-0000-000043100000}"/>
    <cellStyle name="Normal 10 3 5" xfId="2221" xr:uid="{00000000-0005-0000-0000-000044100000}"/>
    <cellStyle name="Normal 10 3 5 2" xfId="3635" xr:uid="{00000000-0005-0000-0000-000045100000}"/>
    <cellStyle name="Normal 10 3 5 3" xfId="5293" xr:uid="{00000000-0005-0000-0000-000046100000}"/>
    <cellStyle name="Normal 10 3 5 4" xfId="7454" xr:uid="{00000000-0005-0000-0000-000047100000}"/>
    <cellStyle name="Normal 10 3 6" xfId="4072" xr:uid="{00000000-0005-0000-0000-000048100000}"/>
    <cellStyle name="Normal 10 3 7" xfId="6508" xr:uid="{00000000-0005-0000-0000-000049100000}"/>
    <cellStyle name="Normal 10 3 8" xfId="1256" xr:uid="{00000000-0005-0000-0000-00004A100000}"/>
    <cellStyle name="Normal 10 30" xfId="2222" xr:uid="{00000000-0005-0000-0000-00004B100000}"/>
    <cellStyle name="Normal 10 30 2" xfId="4073" xr:uid="{00000000-0005-0000-0000-00004C100000}"/>
    <cellStyle name="Normal 10 30 3" xfId="7455" xr:uid="{00000000-0005-0000-0000-00004D100000}"/>
    <cellStyle name="Normal 10 31" xfId="2223" xr:uid="{00000000-0005-0000-0000-00004E100000}"/>
    <cellStyle name="Normal 10 31 2" xfId="4074" xr:uid="{00000000-0005-0000-0000-00004F100000}"/>
    <cellStyle name="Normal 10 31 3" xfId="7456" xr:uid="{00000000-0005-0000-0000-000050100000}"/>
    <cellStyle name="Normal 10 32" xfId="2224" xr:uid="{00000000-0005-0000-0000-000051100000}"/>
    <cellStyle name="Normal 10 32 2" xfId="4075" xr:uid="{00000000-0005-0000-0000-000052100000}"/>
    <cellStyle name="Normal 10 32 3" xfId="7457" xr:uid="{00000000-0005-0000-0000-000053100000}"/>
    <cellStyle name="Normal 10 33" xfId="2225" xr:uid="{00000000-0005-0000-0000-000054100000}"/>
    <cellStyle name="Normal 10 33 2" xfId="4076" xr:uid="{00000000-0005-0000-0000-000055100000}"/>
    <cellStyle name="Normal 10 33 3" xfId="7458" xr:uid="{00000000-0005-0000-0000-000056100000}"/>
    <cellStyle name="Normal 10 34" xfId="2226" xr:uid="{00000000-0005-0000-0000-000057100000}"/>
    <cellStyle name="Normal 10 34 2" xfId="4077" xr:uid="{00000000-0005-0000-0000-000058100000}"/>
    <cellStyle name="Normal 10 34 3" xfId="7459" xr:uid="{00000000-0005-0000-0000-000059100000}"/>
    <cellStyle name="Normal 10 35" xfId="2227" xr:uid="{00000000-0005-0000-0000-00005A100000}"/>
    <cellStyle name="Normal 10 35 2" xfId="4078" xr:uid="{00000000-0005-0000-0000-00005B100000}"/>
    <cellStyle name="Normal 10 35 3" xfId="7460" xr:uid="{00000000-0005-0000-0000-00005C100000}"/>
    <cellStyle name="Normal 10 36" xfId="2228" xr:uid="{00000000-0005-0000-0000-00005D100000}"/>
    <cellStyle name="Normal 10 36 2" xfId="4079" xr:uid="{00000000-0005-0000-0000-00005E100000}"/>
    <cellStyle name="Normal 10 36 3" xfId="7461" xr:uid="{00000000-0005-0000-0000-00005F100000}"/>
    <cellStyle name="Normal 10 37" xfId="2229" xr:uid="{00000000-0005-0000-0000-000060100000}"/>
    <cellStyle name="Normal 10 37 2" xfId="4080" xr:uid="{00000000-0005-0000-0000-000061100000}"/>
    <cellStyle name="Normal 10 37 3" xfId="7462" xr:uid="{00000000-0005-0000-0000-000062100000}"/>
    <cellStyle name="Normal 10 38" xfId="2230" xr:uid="{00000000-0005-0000-0000-000063100000}"/>
    <cellStyle name="Normal 10 38 2" xfId="4081" xr:uid="{00000000-0005-0000-0000-000064100000}"/>
    <cellStyle name="Normal 10 38 3" xfId="7463" xr:uid="{00000000-0005-0000-0000-000065100000}"/>
    <cellStyle name="Normal 10 39" xfId="2231" xr:uid="{00000000-0005-0000-0000-000066100000}"/>
    <cellStyle name="Normal 10 39 2" xfId="4082" xr:uid="{00000000-0005-0000-0000-000067100000}"/>
    <cellStyle name="Normal 10 39 3" xfId="7464" xr:uid="{00000000-0005-0000-0000-000068100000}"/>
    <cellStyle name="Normal 10 4" xfId="471" xr:uid="{00000000-0005-0000-0000-000069100000}"/>
    <cellStyle name="Normal 10 4 2" xfId="1572" xr:uid="{00000000-0005-0000-0000-00006A100000}"/>
    <cellStyle name="Normal 10 4 2 2" xfId="5598" xr:uid="{00000000-0005-0000-0000-00006B100000}"/>
    <cellStyle name="Normal 10 4 2 3" xfId="6823" xr:uid="{00000000-0005-0000-0000-00006C100000}"/>
    <cellStyle name="Normal 10 4 3" xfId="1776" xr:uid="{00000000-0005-0000-0000-00006D100000}"/>
    <cellStyle name="Normal 10 4 3 2" xfId="5797" xr:uid="{00000000-0005-0000-0000-00006E100000}"/>
    <cellStyle name="Normal 10 4 3 3" xfId="7023" xr:uid="{00000000-0005-0000-0000-00006F100000}"/>
    <cellStyle name="Normal 10 4 4" xfId="1926" xr:uid="{00000000-0005-0000-0000-000070100000}"/>
    <cellStyle name="Normal 10 4 4 2" xfId="5946" xr:uid="{00000000-0005-0000-0000-000071100000}"/>
    <cellStyle name="Normal 10 4 4 3" xfId="7173" xr:uid="{00000000-0005-0000-0000-000072100000}"/>
    <cellStyle name="Normal 10 4 5" xfId="2232" xr:uid="{00000000-0005-0000-0000-000073100000}"/>
    <cellStyle name="Normal 10 4 5 2" xfId="3660" xr:uid="{00000000-0005-0000-0000-000074100000}"/>
    <cellStyle name="Normal 10 4 5 3" xfId="5339" xr:uid="{00000000-0005-0000-0000-000075100000}"/>
    <cellStyle name="Normal 10 4 5 4" xfId="7465" xr:uid="{00000000-0005-0000-0000-000076100000}"/>
    <cellStyle name="Normal 10 4 6" xfId="4083" xr:uid="{00000000-0005-0000-0000-000077100000}"/>
    <cellStyle name="Normal 10 4 7" xfId="6555" xr:uid="{00000000-0005-0000-0000-000078100000}"/>
    <cellStyle name="Normal 10 4 8" xfId="1303" xr:uid="{00000000-0005-0000-0000-000079100000}"/>
    <cellStyle name="Normal 10 40" xfId="2233" xr:uid="{00000000-0005-0000-0000-00007A100000}"/>
    <cellStyle name="Normal 10 40 2" xfId="4084" xr:uid="{00000000-0005-0000-0000-00007B100000}"/>
    <cellStyle name="Normal 10 40 3" xfId="7466" xr:uid="{00000000-0005-0000-0000-00007C100000}"/>
    <cellStyle name="Normal 10 41" xfId="2234" xr:uid="{00000000-0005-0000-0000-00007D100000}"/>
    <cellStyle name="Normal 10 41 2" xfId="4085" xr:uid="{00000000-0005-0000-0000-00007E100000}"/>
    <cellStyle name="Normal 10 41 3" xfId="7467" xr:uid="{00000000-0005-0000-0000-00007F100000}"/>
    <cellStyle name="Normal 10 42" xfId="2235" xr:uid="{00000000-0005-0000-0000-000080100000}"/>
    <cellStyle name="Normal 10 42 2" xfId="4086" xr:uid="{00000000-0005-0000-0000-000081100000}"/>
    <cellStyle name="Normal 10 42 3" xfId="7468" xr:uid="{00000000-0005-0000-0000-000082100000}"/>
    <cellStyle name="Normal 10 43" xfId="2236" xr:uid="{00000000-0005-0000-0000-000083100000}"/>
    <cellStyle name="Normal 10 43 2" xfId="4087" xr:uid="{00000000-0005-0000-0000-000084100000}"/>
    <cellStyle name="Normal 10 43 3" xfId="7469" xr:uid="{00000000-0005-0000-0000-000085100000}"/>
    <cellStyle name="Normal 10 44" xfId="2237" xr:uid="{00000000-0005-0000-0000-000086100000}"/>
    <cellStyle name="Normal 10 44 2" xfId="4088" xr:uid="{00000000-0005-0000-0000-000087100000}"/>
    <cellStyle name="Normal 10 44 3" xfId="7470" xr:uid="{00000000-0005-0000-0000-000088100000}"/>
    <cellStyle name="Normal 10 45" xfId="2238" xr:uid="{00000000-0005-0000-0000-000089100000}"/>
    <cellStyle name="Normal 10 45 2" xfId="4089" xr:uid="{00000000-0005-0000-0000-00008A100000}"/>
    <cellStyle name="Normal 10 45 3" xfId="7471" xr:uid="{00000000-0005-0000-0000-00008B100000}"/>
    <cellStyle name="Normal 10 46" xfId="2239" xr:uid="{00000000-0005-0000-0000-00008C100000}"/>
    <cellStyle name="Normal 10 46 2" xfId="4090" xr:uid="{00000000-0005-0000-0000-00008D100000}"/>
    <cellStyle name="Normal 10 46 3" xfId="7472" xr:uid="{00000000-0005-0000-0000-00008E100000}"/>
    <cellStyle name="Normal 10 47" xfId="2240" xr:uid="{00000000-0005-0000-0000-00008F100000}"/>
    <cellStyle name="Normal 10 47 2" xfId="4091" xr:uid="{00000000-0005-0000-0000-000090100000}"/>
    <cellStyle name="Normal 10 47 3" xfId="7473" xr:uid="{00000000-0005-0000-0000-000091100000}"/>
    <cellStyle name="Normal 10 48" xfId="2241" xr:uid="{00000000-0005-0000-0000-000092100000}"/>
    <cellStyle name="Normal 10 48 2" xfId="4092" xr:uid="{00000000-0005-0000-0000-000093100000}"/>
    <cellStyle name="Normal 10 48 3" xfId="7474" xr:uid="{00000000-0005-0000-0000-000094100000}"/>
    <cellStyle name="Normal 10 49" xfId="2242" xr:uid="{00000000-0005-0000-0000-000095100000}"/>
    <cellStyle name="Normal 10 49 2" xfId="4093" xr:uid="{00000000-0005-0000-0000-000096100000}"/>
    <cellStyle name="Normal 10 49 3" xfId="7475" xr:uid="{00000000-0005-0000-0000-000097100000}"/>
    <cellStyle name="Normal 10 5" xfId="472" xr:uid="{00000000-0005-0000-0000-000098100000}"/>
    <cellStyle name="Normal 10 5 2" xfId="2243" xr:uid="{00000000-0005-0000-0000-000099100000}"/>
    <cellStyle name="Normal 10 5 2 2" xfId="3678" xr:uid="{00000000-0005-0000-0000-00009A100000}"/>
    <cellStyle name="Normal 10 5 2 3" xfId="5480" xr:uid="{00000000-0005-0000-0000-00009B100000}"/>
    <cellStyle name="Normal 10 5 2 4" xfId="7476" xr:uid="{00000000-0005-0000-0000-00009C100000}"/>
    <cellStyle name="Normal 10 5 3" xfId="4094" xr:uid="{00000000-0005-0000-0000-00009D100000}"/>
    <cellStyle name="Normal 10 5 4" xfId="6704" xr:uid="{00000000-0005-0000-0000-00009E100000}"/>
    <cellStyle name="Normal 10 5 5" xfId="1452" xr:uid="{00000000-0005-0000-0000-00009F100000}"/>
    <cellStyle name="Normal 10 50" xfId="2244" xr:uid="{00000000-0005-0000-0000-0000A0100000}"/>
    <cellStyle name="Normal 10 50 2" xfId="4095" xr:uid="{00000000-0005-0000-0000-0000A1100000}"/>
    <cellStyle name="Normal 10 50 3" xfId="7477" xr:uid="{00000000-0005-0000-0000-0000A2100000}"/>
    <cellStyle name="Normal 10 51" xfId="2245" xr:uid="{00000000-0005-0000-0000-0000A3100000}"/>
    <cellStyle name="Normal 10 51 2" xfId="4096" xr:uid="{00000000-0005-0000-0000-0000A4100000}"/>
    <cellStyle name="Normal 10 51 3" xfId="7478" xr:uid="{00000000-0005-0000-0000-0000A5100000}"/>
    <cellStyle name="Normal 10 52" xfId="2246" xr:uid="{00000000-0005-0000-0000-0000A6100000}"/>
    <cellStyle name="Normal 10 52 2" xfId="4097" xr:uid="{00000000-0005-0000-0000-0000A7100000}"/>
    <cellStyle name="Normal 10 52 3" xfId="7479" xr:uid="{00000000-0005-0000-0000-0000A8100000}"/>
    <cellStyle name="Normal 10 53" xfId="2247" xr:uid="{00000000-0005-0000-0000-0000A9100000}"/>
    <cellStyle name="Normal 10 53 2" xfId="4098" xr:uid="{00000000-0005-0000-0000-0000AA100000}"/>
    <cellStyle name="Normal 10 53 3" xfId="7480" xr:uid="{00000000-0005-0000-0000-0000AB100000}"/>
    <cellStyle name="Normal 10 54" xfId="2248" xr:uid="{00000000-0005-0000-0000-0000AC100000}"/>
    <cellStyle name="Normal 10 54 2" xfId="4099" xr:uid="{00000000-0005-0000-0000-0000AD100000}"/>
    <cellStyle name="Normal 10 54 3" xfId="7481" xr:uid="{00000000-0005-0000-0000-0000AE100000}"/>
    <cellStyle name="Normal 10 55" xfId="2249" xr:uid="{00000000-0005-0000-0000-0000AF100000}"/>
    <cellStyle name="Normal 10 55 2" xfId="4100" xr:uid="{00000000-0005-0000-0000-0000B0100000}"/>
    <cellStyle name="Normal 10 55 3" xfId="7482" xr:uid="{00000000-0005-0000-0000-0000B1100000}"/>
    <cellStyle name="Normal 10 56" xfId="2250" xr:uid="{00000000-0005-0000-0000-0000B2100000}"/>
    <cellStyle name="Normal 10 56 2" xfId="4101" xr:uid="{00000000-0005-0000-0000-0000B3100000}"/>
    <cellStyle name="Normal 10 56 3" xfId="7483" xr:uid="{00000000-0005-0000-0000-0000B4100000}"/>
    <cellStyle name="Normal 10 57" xfId="2251" xr:uid="{00000000-0005-0000-0000-0000B5100000}"/>
    <cellStyle name="Normal 10 57 2" xfId="4102" xr:uid="{00000000-0005-0000-0000-0000B6100000}"/>
    <cellStyle name="Normal 10 57 3" xfId="7484" xr:uid="{00000000-0005-0000-0000-0000B7100000}"/>
    <cellStyle name="Normal 10 58" xfId="2252" xr:uid="{00000000-0005-0000-0000-0000B8100000}"/>
    <cellStyle name="Normal 10 58 2" xfId="4103" xr:uid="{00000000-0005-0000-0000-0000B9100000}"/>
    <cellStyle name="Normal 10 58 3" xfId="7485" xr:uid="{00000000-0005-0000-0000-0000BA100000}"/>
    <cellStyle name="Normal 10 59" xfId="2253" xr:uid="{00000000-0005-0000-0000-0000BB100000}"/>
    <cellStyle name="Normal 10 59 2" xfId="4104" xr:uid="{00000000-0005-0000-0000-0000BC100000}"/>
    <cellStyle name="Normal 10 59 3" xfId="7486" xr:uid="{00000000-0005-0000-0000-0000BD100000}"/>
    <cellStyle name="Normal 10 6" xfId="473" xr:uid="{00000000-0005-0000-0000-0000BE100000}"/>
    <cellStyle name="Normal 10 6 2" xfId="2254" xr:uid="{00000000-0005-0000-0000-0000BF100000}"/>
    <cellStyle name="Normal 10 6 2 2" xfId="3672" xr:uid="{00000000-0005-0000-0000-0000C0100000}"/>
    <cellStyle name="Normal 10 6 2 3" xfId="5439" xr:uid="{00000000-0005-0000-0000-0000C1100000}"/>
    <cellStyle name="Normal 10 6 2 4" xfId="7487" xr:uid="{00000000-0005-0000-0000-0000C2100000}"/>
    <cellStyle name="Normal 10 6 3" xfId="4105" xr:uid="{00000000-0005-0000-0000-0000C3100000}"/>
    <cellStyle name="Normal 10 6 4" xfId="6660" xr:uid="{00000000-0005-0000-0000-0000C4100000}"/>
    <cellStyle name="Normal 10 6 5" xfId="1408" xr:uid="{00000000-0005-0000-0000-0000C5100000}"/>
    <cellStyle name="Normal 10 60" xfId="2255" xr:uid="{00000000-0005-0000-0000-0000C6100000}"/>
    <cellStyle name="Normal 10 60 2" xfId="4106" xr:uid="{00000000-0005-0000-0000-0000C7100000}"/>
    <cellStyle name="Normal 10 60 3" xfId="7488" xr:uid="{00000000-0005-0000-0000-0000C8100000}"/>
    <cellStyle name="Normal 10 61" xfId="2256" xr:uid="{00000000-0005-0000-0000-0000C9100000}"/>
    <cellStyle name="Normal 10 61 2" xfId="4107" xr:uid="{00000000-0005-0000-0000-0000CA100000}"/>
    <cellStyle name="Normal 10 61 3" xfId="7489" xr:uid="{00000000-0005-0000-0000-0000CB100000}"/>
    <cellStyle name="Normal 10 62" xfId="2257" xr:uid="{00000000-0005-0000-0000-0000CC100000}"/>
    <cellStyle name="Normal 10 62 2" xfId="4108" xr:uid="{00000000-0005-0000-0000-0000CD100000}"/>
    <cellStyle name="Normal 10 62 3" xfId="7490" xr:uid="{00000000-0005-0000-0000-0000CE100000}"/>
    <cellStyle name="Normal 10 63" xfId="2258" xr:uid="{00000000-0005-0000-0000-0000CF100000}"/>
    <cellStyle name="Normal 10 63 2" xfId="4109" xr:uid="{00000000-0005-0000-0000-0000D0100000}"/>
    <cellStyle name="Normal 10 63 3" xfId="7491" xr:uid="{00000000-0005-0000-0000-0000D1100000}"/>
    <cellStyle name="Normal 10 64" xfId="2259" xr:uid="{00000000-0005-0000-0000-0000D2100000}"/>
    <cellStyle name="Normal 10 64 2" xfId="4110" xr:uid="{00000000-0005-0000-0000-0000D3100000}"/>
    <cellStyle name="Normal 10 64 3" xfId="7492" xr:uid="{00000000-0005-0000-0000-0000D4100000}"/>
    <cellStyle name="Normal 10 65" xfId="2260" xr:uid="{00000000-0005-0000-0000-0000D5100000}"/>
    <cellStyle name="Normal 10 65 2" xfId="4111" xr:uid="{00000000-0005-0000-0000-0000D6100000}"/>
    <cellStyle name="Normal 10 65 3" xfId="7493" xr:uid="{00000000-0005-0000-0000-0000D7100000}"/>
    <cellStyle name="Normal 10 66" xfId="2261" xr:uid="{00000000-0005-0000-0000-0000D8100000}"/>
    <cellStyle name="Normal 10 66 2" xfId="4112" xr:uid="{00000000-0005-0000-0000-0000D9100000}"/>
    <cellStyle name="Normal 10 66 3" xfId="7494" xr:uid="{00000000-0005-0000-0000-0000DA100000}"/>
    <cellStyle name="Normal 10 67" xfId="2262" xr:uid="{00000000-0005-0000-0000-0000DB100000}"/>
    <cellStyle name="Normal 10 67 2" xfId="4113" xr:uid="{00000000-0005-0000-0000-0000DC100000}"/>
    <cellStyle name="Normal 10 67 3" xfId="7495" xr:uid="{00000000-0005-0000-0000-0000DD100000}"/>
    <cellStyle name="Normal 10 68" xfId="2263" xr:uid="{00000000-0005-0000-0000-0000DE100000}"/>
    <cellStyle name="Normal 10 68 2" xfId="4114" xr:uid="{00000000-0005-0000-0000-0000DF100000}"/>
    <cellStyle name="Normal 10 68 3" xfId="7496" xr:uid="{00000000-0005-0000-0000-0000E0100000}"/>
    <cellStyle name="Normal 10 69" xfId="2264" xr:uid="{00000000-0005-0000-0000-0000E1100000}"/>
    <cellStyle name="Normal 10 69 2" xfId="4115" xr:uid="{00000000-0005-0000-0000-0000E2100000}"/>
    <cellStyle name="Normal 10 69 3" xfId="7497" xr:uid="{00000000-0005-0000-0000-0000E3100000}"/>
    <cellStyle name="Normal 10 7" xfId="474" xr:uid="{00000000-0005-0000-0000-0000E4100000}"/>
    <cellStyle name="Normal 10 7 2" xfId="2265" xr:uid="{00000000-0005-0000-0000-0000E5100000}"/>
    <cellStyle name="Normal 10 7 2 2" xfId="3698" xr:uid="{00000000-0005-0000-0000-0000E6100000}"/>
    <cellStyle name="Normal 10 7 2 3" xfId="5707" xr:uid="{00000000-0005-0000-0000-0000E7100000}"/>
    <cellStyle name="Normal 10 7 2 4" xfId="7498" xr:uid="{00000000-0005-0000-0000-0000E8100000}"/>
    <cellStyle name="Normal 10 7 3" xfId="4116" xr:uid="{00000000-0005-0000-0000-0000E9100000}"/>
    <cellStyle name="Normal 10 7 4" xfId="6932" xr:uid="{00000000-0005-0000-0000-0000EA100000}"/>
    <cellStyle name="Normal 10 7 5" xfId="1685" xr:uid="{00000000-0005-0000-0000-0000EB100000}"/>
    <cellStyle name="Normal 10 70" xfId="2266" xr:uid="{00000000-0005-0000-0000-0000EC100000}"/>
    <cellStyle name="Normal 10 70 2" xfId="4117" xr:uid="{00000000-0005-0000-0000-0000ED100000}"/>
    <cellStyle name="Normal 10 70 3" xfId="7499" xr:uid="{00000000-0005-0000-0000-0000EE100000}"/>
    <cellStyle name="Normal 10 71" xfId="2267" xr:uid="{00000000-0005-0000-0000-0000EF100000}"/>
    <cellStyle name="Normal 10 71 2" xfId="4118" xr:uid="{00000000-0005-0000-0000-0000F0100000}"/>
    <cellStyle name="Normal 10 71 3" xfId="7500" xr:uid="{00000000-0005-0000-0000-0000F1100000}"/>
    <cellStyle name="Normal 10 72" xfId="2268" xr:uid="{00000000-0005-0000-0000-0000F2100000}"/>
    <cellStyle name="Normal 10 72 2" xfId="4119" xr:uid="{00000000-0005-0000-0000-0000F3100000}"/>
    <cellStyle name="Normal 10 72 3" xfId="7501" xr:uid="{00000000-0005-0000-0000-0000F4100000}"/>
    <cellStyle name="Normal 10 73" xfId="2269" xr:uid="{00000000-0005-0000-0000-0000F5100000}"/>
    <cellStyle name="Normal 10 73 2" xfId="4120" xr:uid="{00000000-0005-0000-0000-0000F6100000}"/>
    <cellStyle name="Normal 10 73 3" xfId="7502" xr:uid="{00000000-0005-0000-0000-0000F7100000}"/>
    <cellStyle name="Normal 10 74" xfId="2270" xr:uid="{00000000-0005-0000-0000-0000F8100000}"/>
    <cellStyle name="Normal 10 74 2" xfId="4121" xr:uid="{00000000-0005-0000-0000-0000F9100000}"/>
    <cellStyle name="Normal 10 74 3" xfId="7503" xr:uid="{00000000-0005-0000-0000-0000FA100000}"/>
    <cellStyle name="Normal 10 75" xfId="2271" xr:uid="{00000000-0005-0000-0000-0000FB100000}"/>
    <cellStyle name="Normal 10 75 2" xfId="4122" xr:uid="{00000000-0005-0000-0000-0000FC100000}"/>
    <cellStyle name="Normal 10 75 3" xfId="7504" xr:uid="{00000000-0005-0000-0000-0000FD100000}"/>
    <cellStyle name="Normal 10 76" xfId="2272" xr:uid="{00000000-0005-0000-0000-0000FE100000}"/>
    <cellStyle name="Normal 10 76 2" xfId="4123" xr:uid="{00000000-0005-0000-0000-0000FF100000}"/>
    <cellStyle name="Normal 10 76 3" xfId="7505" xr:uid="{00000000-0005-0000-0000-000000110000}"/>
    <cellStyle name="Normal 10 77" xfId="2273" xr:uid="{00000000-0005-0000-0000-000001110000}"/>
    <cellStyle name="Normal 10 77 2" xfId="4124" xr:uid="{00000000-0005-0000-0000-000002110000}"/>
    <cellStyle name="Normal 10 77 3" xfId="7506" xr:uid="{00000000-0005-0000-0000-000003110000}"/>
    <cellStyle name="Normal 10 78" xfId="2274" xr:uid="{00000000-0005-0000-0000-000004110000}"/>
    <cellStyle name="Normal 10 78 2" xfId="4125" xr:uid="{00000000-0005-0000-0000-000005110000}"/>
    <cellStyle name="Normal 10 78 3" xfId="7507" xr:uid="{00000000-0005-0000-0000-000006110000}"/>
    <cellStyle name="Normal 10 79" xfId="2275" xr:uid="{00000000-0005-0000-0000-000007110000}"/>
    <cellStyle name="Normal 10 79 2" xfId="4126" xr:uid="{00000000-0005-0000-0000-000008110000}"/>
    <cellStyle name="Normal 10 79 3" xfId="7508" xr:uid="{00000000-0005-0000-0000-000009110000}"/>
    <cellStyle name="Normal 10 8" xfId="475" xr:uid="{00000000-0005-0000-0000-00000A110000}"/>
    <cellStyle name="Normal 10 8 2" xfId="2276" xr:uid="{00000000-0005-0000-0000-00000B110000}"/>
    <cellStyle name="Normal 10 8 2 2" xfId="3612" xr:uid="{00000000-0005-0000-0000-00000C110000}"/>
    <cellStyle name="Normal 10 8 2 3" xfId="5226" xr:uid="{00000000-0005-0000-0000-00000D110000}"/>
    <cellStyle name="Normal 10 8 2 4" xfId="7509" xr:uid="{00000000-0005-0000-0000-00000E110000}"/>
    <cellStyle name="Normal 10 8 3" xfId="4127" xr:uid="{00000000-0005-0000-0000-00000F110000}"/>
    <cellStyle name="Normal 10 8 4" xfId="6435" xr:uid="{00000000-0005-0000-0000-000010110000}"/>
    <cellStyle name="Normal 10 8 5" xfId="1183" xr:uid="{00000000-0005-0000-0000-000011110000}"/>
    <cellStyle name="Normal 10 80" xfId="3363" xr:uid="{00000000-0005-0000-0000-000012110000}"/>
    <cellStyle name="Normal 10 80 2" xfId="3838" xr:uid="{00000000-0005-0000-0000-000013110000}"/>
    <cellStyle name="Normal 10 80 2 2" xfId="6219" xr:uid="{00000000-0005-0000-0000-000014110000}"/>
    <cellStyle name="Normal 10 80 2 3" xfId="8749" xr:uid="{00000000-0005-0000-0000-000015110000}"/>
    <cellStyle name="Normal 10 80 3" xfId="4993" xr:uid="{00000000-0005-0000-0000-000016110000}"/>
    <cellStyle name="Normal 10 80 4" xfId="8397" xr:uid="{00000000-0005-0000-0000-000017110000}"/>
    <cellStyle name="Normal 10 81" xfId="3861" xr:uid="{00000000-0005-0000-0000-000018110000}"/>
    <cellStyle name="Normal 10 82" xfId="6369" xr:uid="{00000000-0005-0000-0000-000019110000}"/>
    <cellStyle name="Normal 10 83" xfId="1097" xr:uid="{00000000-0005-0000-0000-00001A110000}"/>
    <cellStyle name="Normal 10 9" xfId="476" xr:uid="{00000000-0005-0000-0000-00001B110000}"/>
    <cellStyle name="Normal 10 9 2" xfId="4128" xr:uid="{00000000-0005-0000-0000-00001C110000}"/>
    <cellStyle name="Normal 10 9 3" xfId="7510" xr:uid="{00000000-0005-0000-0000-00001D110000}"/>
    <cellStyle name="Normal 10 9 4" xfId="2277" xr:uid="{00000000-0005-0000-0000-00001E110000}"/>
    <cellStyle name="Normal 100" xfId="9145" xr:uid="{00000000-0005-0000-0000-00001F110000}"/>
    <cellStyle name="Normal 100 2" xfId="9147" xr:uid="{00000000-0005-0000-0000-000020110000}"/>
    <cellStyle name="Normal 101" xfId="9146" xr:uid="{00000000-0005-0000-0000-000021110000}"/>
    <cellStyle name="Normal 101 2" xfId="9149" xr:uid="{00000000-0005-0000-0000-000022110000}"/>
    <cellStyle name="Normal 101 2 2" xfId="9152" xr:uid="{00000000-0005-0000-0000-000023110000}"/>
    <cellStyle name="Normal 102" xfId="9148" xr:uid="{00000000-0005-0000-0000-000024110000}"/>
    <cellStyle name="Normal 102 2" xfId="9153" xr:uid="{00000000-0005-0000-0000-000025110000}"/>
    <cellStyle name="Normal 103" xfId="9150" xr:uid="{00000000-0005-0000-0000-000026110000}"/>
    <cellStyle name="Normal 103 2" xfId="9155" xr:uid="{00000000-0005-0000-0000-000027110000}"/>
    <cellStyle name="Normal 104" xfId="9154" xr:uid="{00000000-0005-0000-0000-000028110000}"/>
    <cellStyle name="Normal 104 2" xfId="9157" xr:uid="{00000000-0005-0000-0000-000029110000}"/>
    <cellStyle name="Normal 105" xfId="9156" xr:uid="{00000000-0005-0000-0000-00002A110000}"/>
    <cellStyle name="Normal 105 2" xfId="9159" xr:uid="{00000000-0005-0000-0000-00002B110000}"/>
    <cellStyle name="Normal 105 2 2" xfId="9161" xr:uid="{00000000-0005-0000-0000-00002C110000}"/>
    <cellStyle name="Normal 106" xfId="9158" xr:uid="{00000000-0005-0000-0000-00002D110000}"/>
    <cellStyle name="Normal 106 2" xfId="9162" xr:uid="{00000000-0005-0000-0000-00002E110000}"/>
    <cellStyle name="Normal 107" xfId="9160" xr:uid="{00000000-0005-0000-0000-00002F110000}"/>
    <cellStyle name="Normal 107 2" xfId="9163" xr:uid="{00000000-0005-0000-0000-000030110000}"/>
    <cellStyle name="Normal 108" xfId="980" xr:uid="{00000000-0005-0000-0000-000031110000}"/>
    <cellStyle name="Normal 109" xfId="981" xr:uid="{00000000-0005-0000-0000-000032110000}"/>
    <cellStyle name="Normal 109 2" xfId="9166" xr:uid="{00000000-0005-0000-0000-000033110000}"/>
    <cellStyle name="Normal 11" xfId="477" xr:uid="{00000000-0005-0000-0000-000034110000}"/>
    <cellStyle name="Normal 11 10" xfId="4535" xr:uid="{00000000-0005-0000-0000-000035110000}"/>
    <cellStyle name="Normal 11 11" xfId="6436" xr:uid="{00000000-0005-0000-0000-000036110000}"/>
    <cellStyle name="Normal 11 12" xfId="1184" xr:uid="{00000000-0005-0000-0000-000037110000}"/>
    <cellStyle name="Normal 11 2" xfId="478" xr:uid="{00000000-0005-0000-0000-000038110000}"/>
    <cellStyle name="Normal 11 2 2" xfId="987" xr:uid="{00000000-0005-0000-0000-000039110000}"/>
    <cellStyle name="Normal 11 2 2 2" xfId="5555" xr:uid="{00000000-0005-0000-0000-00003A110000}"/>
    <cellStyle name="Normal 11 2 2 3" xfId="6780" xr:uid="{00000000-0005-0000-0000-00003B110000}"/>
    <cellStyle name="Normal 11 2 2 4" xfId="1528" xr:uid="{00000000-0005-0000-0000-00003C110000}"/>
    <cellStyle name="Normal 11 2 3" xfId="1733" xr:uid="{00000000-0005-0000-0000-00003D110000}"/>
    <cellStyle name="Normal 11 2 3 2" xfId="5755" xr:uid="{00000000-0005-0000-0000-00003E110000}"/>
    <cellStyle name="Normal 11 2 3 3" xfId="6980" xr:uid="{00000000-0005-0000-0000-00003F110000}"/>
    <cellStyle name="Normal 11 2 4" xfId="1631" xr:uid="{00000000-0005-0000-0000-000040110000}"/>
    <cellStyle name="Normal 11 2 4 2" xfId="5657" xr:uid="{00000000-0005-0000-0000-000041110000}"/>
    <cellStyle name="Normal 11 2 4 3" xfId="6882" xr:uid="{00000000-0005-0000-0000-000042110000}"/>
    <cellStyle name="Normal 11 2 5" xfId="2278" xr:uid="{00000000-0005-0000-0000-000043110000}"/>
    <cellStyle name="Normal 11 2 5 2" xfId="3636" xr:uid="{00000000-0005-0000-0000-000044110000}"/>
    <cellStyle name="Normal 11 2 5 3" xfId="5294" xr:uid="{00000000-0005-0000-0000-000045110000}"/>
    <cellStyle name="Normal 11 2 5 4" xfId="7511" xr:uid="{00000000-0005-0000-0000-000046110000}"/>
    <cellStyle name="Normal 11 2 6" xfId="3366" xr:uid="{00000000-0005-0000-0000-000047110000}"/>
    <cellStyle name="Normal 11 2 6 2" xfId="4996" xr:uid="{00000000-0005-0000-0000-000048110000}"/>
    <cellStyle name="Normal 11 2 6 3" xfId="8399" xr:uid="{00000000-0005-0000-0000-000049110000}"/>
    <cellStyle name="Normal 11 2 7" xfId="4129" xr:uid="{00000000-0005-0000-0000-00004A110000}"/>
    <cellStyle name="Normal 11 2 8" xfId="6509" xr:uid="{00000000-0005-0000-0000-00004B110000}"/>
    <cellStyle name="Normal 11 2 9" xfId="1257" xr:uid="{00000000-0005-0000-0000-00004C110000}"/>
    <cellStyle name="Normal 11 3" xfId="479" xr:uid="{00000000-0005-0000-0000-00004D110000}"/>
    <cellStyle name="Normal 11 3 2" xfId="1573" xr:uid="{00000000-0005-0000-0000-00004E110000}"/>
    <cellStyle name="Normal 11 3 2 2" xfId="5599" xr:uid="{00000000-0005-0000-0000-00004F110000}"/>
    <cellStyle name="Normal 11 3 2 3" xfId="6824" xr:uid="{00000000-0005-0000-0000-000050110000}"/>
    <cellStyle name="Normal 11 3 3" xfId="1777" xr:uid="{00000000-0005-0000-0000-000051110000}"/>
    <cellStyle name="Normal 11 3 3 2" xfId="5798" xr:uid="{00000000-0005-0000-0000-000052110000}"/>
    <cellStyle name="Normal 11 3 3 3" xfId="7024" xr:uid="{00000000-0005-0000-0000-000053110000}"/>
    <cellStyle name="Normal 11 3 4" xfId="1976" xr:uid="{00000000-0005-0000-0000-000054110000}"/>
    <cellStyle name="Normal 11 3 4 2" xfId="5995" xr:uid="{00000000-0005-0000-0000-000055110000}"/>
    <cellStyle name="Normal 11 3 4 3" xfId="7223" xr:uid="{00000000-0005-0000-0000-000056110000}"/>
    <cellStyle name="Normal 11 3 5" xfId="2648" xr:uid="{00000000-0005-0000-0000-000057110000}"/>
    <cellStyle name="Normal 11 3 5 2" xfId="3661" xr:uid="{00000000-0005-0000-0000-000058110000}"/>
    <cellStyle name="Normal 11 3 5 3" xfId="5340" xr:uid="{00000000-0005-0000-0000-000059110000}"/>
    <cellStyle name="Normal 11 3 5 4" xfId="7859" xr:uid="{00000000-0005-0000-0000-00005A110000}"/>
    <cellStyle name="Normal 11 3 6" xfId="4130" xr:uid="{00000000-0005-0000-0000-00005B110000}"/>
    <cellStyle name="Normal 11 3 7" xfId="6556" xr:uid="{00000000-0005-0000-0000-00005C110000}"/>
    <cellStyle name="Normal 11 3 8" xfId="1304" xr:uid="{00000000-0005-0000-0000-00005D110000}"/>
    <cellStyle name="Normal 11 4" xfId="480" xr:uid="{00000000-0005-0000-0000-00005E110000}"/>
    <cellStyle name="Normal 11 4 2" xfId="3679" xr:uid="{00000000-0005-0000-0000-00005F110000}"/>
    <cellStyle name="Normal 11 4 2 2" xfId="5481" xr:uid="{00000000-0005-0000-0000-000060110000}"/>
    <cellStyle name="Normal 11 4 2 3" xfId="8611" xr:uid="{00000000-0005-0000-0000-000061110000}"/>
    <cellStyle name="Normal 11 4 3" xfId="4550" xr:uid="{00000000-0005-0000-0000-000062110000}"/>
    <cellStyle name="Normal 11 4 4" xfId="6705" xr:uid="{00000000-0005-0000-0000-000063110000}"/>
    <cellStyle name="Normal 11 4 5" xfId="1453" xr:uid="{00000000-0005-0000-0000-000064110000}"/>
    <cellStyle name="Normal 11 5" xfId="481" xr:uid="{00000000-0005-0000-0000-000065110000}"/>
    <cellStyle name="Normal 11 5 2" xfId="3673" xr:uid="{00000000-0005-0000-0000-000066110000}"/>
    <cellStyle name="Normal 11 5 2 2" xfId="5466" xr:uid="{00000000-0005-0000-0000-000067110000}"/>
    <cellStyle name="Normal 11 5 2 3" xfId="8610" xr:uid="{00000000-0005-0000-0000-000068110000}"/>
    <cellStyle name="Normal 11 5 3" xfId="4635" xr:uid="{00000000-0005-0000-0000-000069110000}"/>
    <cellStyle name="Normal 11 5 4" xfId="6688" xr:uid="{00000000-0005-0000-0000-00006A110000}"/>
    <cellStyle name="Normal 11 5 5" xfId="1436" xr:uid="{00000000-0005-0000-0000-00006B110000}"/>
    <cellStyle name="Normal 11 6" xfId="1690" xr:uid="{00000000-0005-0000-0000-00006C110000}"/>
    <cellStyle name="Normal 11 6 2" xfId="5712" xr:uid="{00000000-0005-0000-0000-00006D110000}"/>
    <cellStyle name="Normal 11 6 3" xfId="6937" xr:uid="{00000000-0005-0000-0000-00006E110000}"/>
    <cellStyle name="Normal 11 7" xfId="3613" xr:uid="{00000000-0005-0000-0000-00006F110000}"/>
    <cellStyle name="Normal 11 7 2" xfId="5227" xr:uid="{00000000-0005-0000-0000-000070110000}"/>
    <cellStyle name="Normal 11 7 3" xfId="8593" xr:uid="{00000000-0005-0000-0000-000071110000}"/>
    <cellStyle name="Normal 11 8" xfId="2769" xr:uid="{00000000-0005-0000-0000-000072110000}"/>
    <cellStyle name="Normal 11 9" xfId="3862" xr:uid="{00000000-0005-0000-0000-000073110000}"/>
    <cellStyle name="Normal 110" xfId="983" xr:uid="{00000000-0005-0000-0000-000074110000}"/>
    <cellStyle name="Normal 110 2" xfId="9169" xr:uid="{00000000-0005-0000-0000-000075110000}"/>
    <cellStyle name="Normal 111" xfId="9167" xr:uid="{00000000-0005-0000-0000-000076110000}"/>
    <cellStyle name="Normal 111 2" xfId="9171" xr:uid="{00000000-0005-0000-0000-000077110000}"/>
    <cellStyle name="Normal 112" xfId="9170" xr:uid="{00000000-0005-0000-0000-000078110000}"/>
    <cellStyle name="Normal 112 2" xfId="9173" xr:uid="{00000000-0005-0000-0000-000079110000}"/>
    <cellStyle name="Normal 113" xfId="9172" xr:uid="{00000000-0005-0000-0000-00007A110000}"/>
    <cellStyle name="Normal 113 2" xfId="9509" xr:uid="{E9178E28-C0DD-4227-AE58-AE3CCB84B62E}"/>
    <cellStyle name="Normal 12" xfId="482" xr:uid="{00000000-0005-0000-0000-00007B110000}"/>
    <cellStyle name="Normal 12 10" xfId="4543" xr:uid="{00000000-0005-0000-0000-00007C110000}"/>
    <cellStyle name="Normal 12 11" xfId="6464" xr:uid="{00000000-0005-0000-0000-00007D110000}"/>
    <cellStyle name="Normal 12 12" xfId="1212" xr:uid="{00000000-0005-0000-0000-00007E110000}"/>
    <cellStyle name="Normal 12 2" xfId="483" xr:uid="{00000000-0005-0000-0000-00007F110000}"/>
    <cellStyle name="Normal 12 2 2" xfId="4131" xr:uid="{00000000-0005-0000-0000-000080110000}"/>
    <cellStyle name="Normal 12 2 3" xfId="7512" xr:uid="{00000000-0005-0000-0000-000081110000}"/>
    <cellStyle name="Normal 12 2 4" xfId="2279" xr:uid="{00000000-0005-0000-0000-000082110000}"/>
    <cellStyle name="Normal 12 3" xfId="484" xr:uid="{00000000-0005-0000-0000-000083110000}"/>
    <cellStyle name="Normal 12 3 2" xfId="4132" xr:uid="{00000000-0005-0000-0000-000084110000}"/>
    <cellStyle name="Normal 12 3 3" xfId="7860" xr:uid="{00000000-0005-0000-0000-000085110000}"/>
    <cellStyle name="Normal 12 3 4" xfId="2649" xr:uid="{00000000-0005-0000-0000-000086110000}"/>
    <cellStyle name="Normal 12 4" xfId="2912" xr:uid="{00000000-0005-0000-0000-000087110000}"/>
    <cellStyle name="Normal 12 4 2" xfId="4579" xr:uid="{00000000-0005-0000-0000-000088110000}"/>
    <cellStyle name="Normal 12 4 3" xfId="7970" xr:uid="{00000000-0005-0000-0000-000089110000}"/>
    <cellStyle name="Normal 12 5" xfId="3002" xr:uid="{00000000-0005-0000-0000-00008A110000}"/>
    <cellStyle name="Normal 12 5 2" xfId="4664" xr:uid="{00000000-0005-0000-0000-00008B110000}"/>
    <cellStyle name="Normal 12 5 3" xfId="8058" xr:uid="{00000000-0005-0000-0000-00008C110000}"/>
    <cellStyle name="Normal 12 6" xfId="3751" xr:uid="{00000000-0005-0000-0000-00008D110000}"/>
    <cellStyle name="Normal 12 6 2" xfId="6148" xr:uid="{00000000-0005-0000-0000-00008E110000}"/>
    <cellStyle name="Normal 12 6 3" xfId="8664" xr:uid="{00000000-0005-0000-0000-00008F110000}"/>
    <cellStyle name="Normal 12 7" xfId="2801" xr:uid="{00000000-0005-0000-0000-000090110000}"/>
    <cellStyle name="Normal 12 8" xfId="2755" xr:uid="{00000000-0005-0000-0000-000091110000}"/>
    <cellStyle name="Normal 12 9" xfId="3863" xr:uid="{00000000-0005-0000-0000-000092110000}"/>
    <cellStyle name="Normal 13" xfId="485" xr:uid="{00000000-0005-0000-0000-000093110000}"/>
    <cellStyle name="Normal 13 10" xfId="6461" xr:uid="{00000000-0005-0000-0000-000094110000}"/>
    <cellStyle name="Normal 13 11" xfId="1209" xr:uid="{00000000-0005-0000-0000-000095110000}"/>
    <cellStyle name="Normal 13 2" xfId="2650" xr:uid="{00000000-0005-0000-0000-000096110000}"/>
    <cellStyle name="Normal 13 2 2" xfId="2651" xr:uid="{00000000-0005-0000-0000-000097110000}"/>
    <cellStyle name="Normal 13 2 2 2" xfId="2966" xr:uid="{00000000-0005-0000-0000-000098110000}"/>
    <cellStyle name="Normal 13 2 2 2 2" xfId="4630" xr:uid="{00000000-0005-0000-0000-000099110000}"/>
    <cellStyle name="Normal 13 2 2 2 3" xfId="8022" xr:uid="{00000000-0005-0000-0000-00009A110000}"/>
    <cellStyle name="Normal 13 2 2 3" xfId="3066" xr:uid="{00000000-0005-0000-0000-00009B110000}"/>
    <cellStyle name="Normal 13 2 2 3 2" xfId="4713" xr:uid="{00000000-0005-0000-0000-00009C110000}"/>
    <cellStyle name="Normal 13 2 2 3 3" xfId="8122" xr:uid="{00000000-0005-0000-0000-00009D110000}"/>
    <cellStyle name="Normal 13 2 2 4" xfId="3829" xr:uid="{00000000-0005-0000-0000-00009E110000}"/>
    <cellStyle name="Normal 13 2 2 4 2" xfId="6212" xr:uid="{00000000-0005-0000-0000-00009F110000}"/>
    <cellStyle name="Normal 13 2 2 4 3" xfId="8740" xr:uid="{00000000-0005-0000-0000-0000A0110000}"/>
    <cellStyle name="Normal 13 2 2 5" xfId="2873" xr:uid="{00000000-0005-0000-0000-0000A1110000}"/>
    <cellStyle name="Normal 13 2 2 6" xfId="4134" xr:uid="{00000000-0005-0000-0000-0000A2110000}"/>
    <cellStyle name="Normal 13 2 2 7" xfId="7862" xr:uid="{00000000-0005-0000-0000-0000A3110000}"/>
    <cellStyle name="Normal 13 2 3" xfId="2967" xr:uid="{00000000-0005-0000-0000-0000A4110000}"/>
    <cellStyle name="Normal 13 2 3 2" xfId="4631" xr:uid="{00000000-0005-0000-0000-0000A5110000}"/>
    <cellStyle name="Normal 13 2 3 3" xfId="8023" xr:uid="{00000000-0005-0000-0000-0000A6110000}"/>
    <cellStyle name="Normal 13 2 4" xfId="3067" xr:uid="{00000000-0005-0000-0000-0000A7110000}"/>
    <cellStyle name="Normal 13 2 4 2" xfId="4714" xr:uid="{00000000-0005-0000-0000-0000A8110000}"/>
    <cellStyle name="Normal 13 2 4 3" xfId="8123" xr:uid="{00000000-0005-0000-0000-0000A9110000}"/>
    <cellStyle name="Normal 13 2 5" xfId="3769" xr:uid="{00000000-0005-0000-0000-0000AA110000}"/>
    <cellStyle name="Normal 13 2 5 2" xfId="6163" xr:uid="{00000000-0005-0000-0000-0000AB110000}"/>
    <cellStyle name="Normal 13 2 5 3" xfId="8681" xr:uid="{00000000-0005-0000-0000-0000AC110000}"/>
    <cellStyle name="Normal 13 2 6" xfId="2874" xr:uid="{00000000-0005-0000-0000-0000AD110000}"/>
    <cellStyle name="Normal 13 2 7" xfId="4133" xr:uid="{00000000-0005-0000-0000-0000AE110000}"/>
    <cellStyle name="Normal 13 2 8" xfId="7861" xr:uid="{00000000-0005-0000-0000-0000AF110000}"/>
    <cellStyle name="Normal 13 3" xfId="2652" xr:uid="{00000000-0005-0000-0000-0000B0110000}"/>
    <cellStyle name="Normal 13 3 2" xfId="2965" xr:uid="{00000000-0005-0000-0000-0000B1110000}"/>
    <cellStyle name="Normal 13 3 2 2" xfId="4629" xr:uid="{00000000-0005-0000-0000-0000B2110000}"/>
    <cellStyle name="Normal 13 3 2 3" xfId="8021" xr:uid="{00000000-0005-0000-0000-0000B3110000}"/>
    <cellStyle name="Normal 13 3 3" xfId="3065" xr:uid="{00000000-0005-0000-0000-0000B4110000}"/>
    <cellStyle name="Normal 13 3 3 2" xfId="4712" xr:uid="{00000000-0005-0000-0000-0000B5110000}"/>
    <cellStyle name="Normal 13 3 3 3" xfId="8121" xr:uid="{00000000-0005-0000-0000-0000B6110000}"/>
    <cellStyle name="Normal 13 3 4" xfId="3740" xr:uid="{00000000-0005-0000-0000-0000B7110000}"/>
    <cellStyle name="Normal 13 3 4 2" xfId="6141" xr:uid="{00000000-0005-0000-0000-0000B8110000}"/>
    <cellStyle name="Normal 13 3 4 3" xfId="8654" xr:uid="{00000000-0005-0000-0000-0000B9110000}"/>
    <cellStyle name="Normal 13 3 5" xfId="2872" xr:uid="{00000000-0005-0000-0000-0000BA110000}"/>
    <cellStyle name="Normal 13 3 6" xfId="4135" xr:uid="{00000000-0005-0000-0000-0000BB110000}"/>
    <cellStyle name="Normal 13 3 7" xfId="7863" xr:uid="{00000000-0005-0000-0000-0000BC110000}"/>
    <cellStyle name="Normal 13 4" xfId="2923" xr:uid="{00000000-0005-0000-0000-0000BD110000}"/>
    <cellStyle name="Normal 13 4 2" xfId="3814" xr:uid="{00000000-0005-0000-0000-0000BE110000}"/>
    <cellStyle name="Normal 13 4 2 2" xfId="6201" xr:uid="{00000000-0005-0000-0000-0000BF110000}"/>
    <cellStyle name="Normal 13 4 2 3" xfId="8725" xr:uid="{00000000-0005-0000-0000-0000C0110000}"/>
    <cellStyle name="Normal 13 4 3" xfId="4591" xr:uid="{00000000-0005-0000-0000-0000C1110000}"/>
    <cellStyle name="Normal 13 4 4" xfId="7980" xr:uid="{00000000-0005-0000-0000-0000C2110000}"/>
    <cellStyle name="Normal 13 5" xfId="3016" xr:uid="{00000000-0005-0000-0000-0000C3110000}"/>
    <cellStyle name="Normal 13 5 2" xfId="4675" xr:uid="{00000000-0005-0000-0000-0000C4110000}"/>
    <cellStyle name="Normal 13 5 3" xfId="8072" xr:uid="{00000000-0005-0000-0000-0000C5110000}"/>
    <cellStyle name="Normal 13 6" xfId="3367" xr:uid="{00000000-0005-0000-0000-0000C6110000}"/>
    <cellStyle name="Normal 13 6 2" xfId="4997" xr:uid="{00000000-0005-0000-0000-0000C7110000}"/>
    <cellStyle name="Normal 13 6 3" xfId="8400" xr:uid="{00000000-0005-0000-0000-0000C8110000}"/>
    <cellStyle name="Normal 13 7" xfId="3733" xr:uid="{00000000-0005-0000-0000-0000C9110000}"/>
    <cellStyle name="Normal 13 7 2" xfId="6135" xr:uid="{00000000-0005-0000-0000-0000CA110000}"/>
    <cellStyle name="Normal 13 7 3" xfId="8647" xr:uid="{00000000-0005-0000-0000-0000CB110000}"/>
    <cellStyle name="Normal 13 8" xfId="2816" xr:uid="{00000000-0005-0000-0000-0000CC110000}"/>
    <cellStyle name="Normal 13 9" xfId="3864" xr:uid="{00000000-0005-0000-0000-0000CD110000}"/>
    <cellStyle name="Normal 14" xfId="486" xr:uid="{00000000-0005-0000-0000-0000CE110000}"/>
    <cellStyle name="Normal 14 10" xfId="6466" xr:uid="{00000000-0005-0000-0000-0000CF110000}"/>
    <cellStyle name="Normal 14 11" xfId="1214" xr:uid="{00000000-0005-0000-0000-0000D0110000}"/>
    <cellStyle name="Normal 14 2" xfId="1279" xr:uid="{00000000-0005-0000-0000-0000D1110000}"/>
    <cellStyle name="Normal 14 2 2" xfId="1551" xr:uid="{00000000-0005-0000-0000-0000D2110000}"/>
    <cellStyle name="Normal 14 2 2 2" xfId="5578" xr:uid="{00000000-0005-0000-0000-0000D3110000}"/>
    <cellStyle name="Normal 14 2 2 3" xfId="6803" xr:uid="{00000000-0005-0000-0000-0000D4110000}"/>
    <cellStyle name="Normal 14 2 3" xfId="1756" xr:uid="{00000000-0005-0000-0000-0000D5110000}"/>
    <cellStyle name="Normal 14 2 3 2" xfId="5778" xr:uid="{00000000-0005-0000-0000-0000D6110000}"/>
    <cellStyle name="Normal 14 2 3 3" xfId="7003" xr:uid="{00000000-0005-0000-0000-0000D7110000}"/>
    <cellStyle name="Normal 14 2 4" xfId="1929" xr:uid="{00000000-0005-0000-0000-0000D8110000}"/>
    <cellStyle name="Normal 14 2 4 2" xfId="5949" xr:uid="{00000000-0005-0000-0000-0000D9110000}"/>
    <cellStyle name="Normal 14 2 4 3" xfId="7176" xr:uid="{00000000-0005-0000-0000-0000DA110000}"/>
    <cellStyle name="Normal 14 2 5" xfId="2653" xr:uid="{00000000-0005-0000-0000-0000DB110000}"/>
    <cellStyle name="Normal 14 2 5 2" xfId="3644" xr:uid="{00000000-0005-0000-0000-0000DC110000}"/>
    <cellStyle name="Normal 14 2 5 3" xfId="5316" xr:uid="{00000000-0005-0000-0000-0000DD110000}"/>
    <cellStyle name="Normal 14 2 5 4" xfId="7864" xr:uid="{00000000-0005-0000-0000-0000DE110000}"/>
    <cellStyle name="Normal 14 2 6" xfId="4136" xr:uid="{00000000-0005-0000-0000-0000DF110000}"/>
    <cellStyle name="Normal 14 2 7" xfId="6531" xr:uid="{00000000-0005-0000-0000-0000E0110000}"/>
    <cellStyle name="Normal 14 3" xfId="1326" xr:uid="{00000000-0005-0000-0000-0000E1110000}"/>
    <cellStyle name="Normal 14 3 2" xfId="1594" xr:uid="{00000000-0005-0000-0000-0000E2110000}"/>
    <cellStyle name="Normal 14 3 2 2" xfId="5620" xr:uid="{00000000-0005-0000-0000-0000E3110000}"/>
    <cellStyle name="Normal 14 3 2 3" xfId="6845" xr:uid="{00000000-0005-0000-0000-0000E4110000}"/>
    <cellStyle name="Normal 14 3 3" xfId="1798" xr:uid="{00000000-0005-0000-0000-0000E5110000}"/>
    <cellStyle name="Normal 14 3 3 2" xfId="5819" xr:uid="{00000000-0005-0000-0000-0000E6110000}"/>
    <cellStyle name="Normal 14 3 3 3" xfId="7045" xr:uid="{00000000-0005-0000-0000-0000E7110000}"/>
    <cellStyle name="Normal 14 3 4" xfId="1931" xr:uid="{00000000-0005-0000-0000-0000E8110000}"/>
    <cellStyle name="Normal 14 3 4 2" xfId="5951" xr:uid="{00000000-0005-0000-0000-0000E9110000}"/>
    <cellStyle name="Normal 14 3 4 3" xfId="7178" xr:uid="{00000000-0005-0000-0000-0000EA110000}"/>
    <cellStyle name="Normal 14 3 5" xfId="5362" xr:uid="{00000000-0005-0000-0000-0000EB110000}"/>
    <cellStyle name="Normal 14 3 6" xfId="6578" xr:uid="{00000000-0005-0000-0000-0000EC110000}"/>
    <cellStyle name="Normal 14 4" xfId="1484" xr:uid="{00000000-0005-0000-0000-0000ED110000}"/>
    <cellStyle name="Normal 14 4 2" xfId="5512" xr:uid="{00000000-0005-0000-0000-0000EE110000}"/>
    <cellStyle name="Normal 14 4 3" xfId="6736" xr:uid="{00000000-0005-0000-0000-0000EF110000}"/>
    <cellStyle name="Normal 14 5" xfId="1691" xr:uid="{00000000-0005-0000-0000-0000F0110000}"/>
    <cellStyle name="Normal 14 5 2" xfId="5713" xr:uid="{00000000-0005-0000-0000-0000F1110000}"/>
    <cellStyle name="Normal 14 5 3" xfId="6938" xr:uid="{00000000-0005-0000-0000-0000F2110000}"/>
    <cellStyle name="Normal 14 6" xfId="1955" xr:uid="{00000000-0005-0000-0000-0000F3110000}"/>
    <cellStyle name="Normal 14 6 2" xfId="5975" xr:uid="{00000000-0005-0000-0000-0000F4110000}"/>
    <cellStyle name="Normal 14 6 3" xfId="7202" xr:uid="{00000000-0005-0000-0000-0000F5110000}"/>
    <cellStyle name="Normal 14 7" xfId="2631" xr:uid="{00000000-0005-0000-0000-0000F6110000}"/>
    <cellStyle name="Normal 14 7 2" xfId="3624" xr:uid="{00000000-0005-0000-0000-0000F7110000}"/>
    <cellStyle name="Normal 14 7 3" xfId="5253" xr:uid="{00000000-0005-0000-0000-0000F8110000}"/>
    <cellStyle name="Normal 14 7 4" xfId="7848" xr:uid="{00000000-0005-0000-0000-0000F9110000}"/>
    <cellStyle name="Normal 14 8" xfId="3368" xr:uid="{00000000-0005-0000-0000-0000FA110000}"/>
    <cellStyle name="Normal 14 8 2" xfId="4998" xr:uid="{00000000-0005-0000-0000-0000FB110000}"/>
    <cellStyle name="Normal 14 8 3" xfId="8401" xr:uid="{00000000-0005-0000-0000-0000FC110000}"/>
    <cellStyle name="Normal 14 9" xfId="3882" xr:uid="{00000000-0005-0000-0000-0000FD110000}"/>
    <cellStyle name="Normal 15" xfId="487" xr:uid="{00000000-0005-0000-0000-0000FE110000}"/>
    <cellStyle name="Normal 15 10" xfId="4544" xr:uid="{00000000-0005-0000-0000-0000FF110000}"/>
    <cellStyle name="Normal 15 11" xfId="6467" xr:uid="{00000000-0005-0000-0000-000000120000}"/>
    <cellStyle name="Normal 15 12" xfId="1215" xr:uid="{00000000-0005-0000-0000-000001120000}"/>
    <cellStyle name="Normal 15 2" xfId="488" xr:uid="{00000000-0005-0000-0000-000002120000}"/>
    <cellStyle name="Normal 15 2 2" xfId="1552" xr:uid="{00000000-0005-0000-0000-000003120000}"/>
    <cellStyle name="Normal 15 2 2 2" xfId="5579" xr:uid="{00000000-0005-0000-0000-000004120000}"/>
    <cellStyle name="Normal 15 2 2 3" xfId="6804" xr:uid="{00000000-0005-0000-0000-000005120000}"/>
    <cellStyle name="Normal 15 2 3" xfId="1757" xr:uid="{00000000-0005-0000-0000-000006120000}"/>
    <cellStyle name="Normal 15 2 3 2" xfId="5779" xr:uid="{00000000-0005-0000-0000-000007120000}"/>
    <cellStyle name="Normal 15 2 3 3" xfId="7004" xr:uid="{00000000-0005-0000-0000-000008120000}"/>
    <cellStyle name="Normal 15 2 4" xfId="1933" xr:uid="{00000000-0005-0000-0000-000009120000}"/>
    <cellStyle name="Normal 15 2 4 2" xfId="5953" xr:uid="{00000000-0005-0000-0000-00000A120000}"/>
    <cellStyle name="Normal 15 2 4 3" xfId="7180" xr:uid="{00000000-0005-0000-0000-00000B120000}"/>
    <cellStyle name="Normal 15 2 5" xfId="2654" xr:uid="{00000000-0005-0000-0000-00000C120000}"/>
    <cellStyle name="Normal 15 2 5 2" xfId="3645" xr:uid="{00000000-0005-0000-0000-00000D120000}"/>
    <cellStyle name="Normal 15 2 5 3" xfId="5317" xr:uid="{00000000-0005-0000-0000-00000E120000}"/>
    <cellStyle name="Normal 15 2 5 4" xfId="7865" xr:uid="{00000000-0005-0000-0000-00000F120000}"/>
    <cellStyle name="Normal 15 2 6" xfId="4137" xr:uid="{00000000-0005-0000-0000-000010120000}"/>
    <cellStyle name="Normal 15 2 7" xfId="6532" xr:uid="{00000000-0005-0000-0000-000011120000}"/>
    <cellStyle name="Normal 15 2 8" xfId="1280" xr:uid="{00000000-0005-0000-0000-000012120000}"/>
    <cellStyle name="Normal 15 3" xfId="1327" xr:uid="{00000000-0005-0000-0000-000013120000}"/>
    <cellStyle name="Normal 15 3 2" xfId="1595" xr:uid="{00000000-0005-0000-0000-000014120000}"/>
    <cellStyle name="Normal 15 3 2 2" xfId="5621" xr:uid="{00000000-0005-0000-0000-000015120000}"/>
    <cellStyle name="Normal 15 3 2 3" xfId="6846" xr:uid="{00000000-0005-0000-0000-000016120000}"/>
    <cellStyle name="Normal 15 3 3" xfId="1799" xr:uid="{00000000-0005-0000-0000-000017120000}"/>
    <cellStyle name="Normal 15 3 3 2" xfId="5820" xr:uid="{00000000-0005-0000-0000-000018120000}"/>
    <cellStyle name="Normal 15 3 3 3" xfId="7046" xr:uid="{00000000-0005-0000-0000-000019120000}"/>
    <cellStyle name="Normal 15 3 4" xfId="1932" xr:uid="{00000000-0005-0000-0000-00001A120000}"/>
    <cellStyle name="Normal 15 3 4 2" xfId="5952" xr:uid="{00000000-0005-0000-0000-00001B120000}"/>
    <cellStyle name="Normal 15 3 4 3" xfId="7179" xr:uid="{00000000-0005-0000-0000-00001C120000}"/>
    <cellStyle name="Normal 15 3 5" xfId="5363" xr:uid="{00000000-0005-0000-0000-00001D120000}"/>
    <cellStyle name="Normal 15 3 6" xfId="6579" xr:uid="{00000000-0005-0000-0000-00001E120000}"/>
    <cellStyle name="Normal 15 4" xfId="1485" xr:uid="{00000000-0005-0000-0000-00001F120000}"/>
    <cellStyle name="Normal 15 4 2" xfId="5513" xr:uid="{00000000-0005-0000-0000-000020120000}"/>
    <cellStyle name="Normal 15 4 3" xfId="6737" xr:uid="{00000000-0005-0000-0000-000021120000}"/>
    <cellStyle name="Normal 15 5" xfId="1692" xr:uid="{00000000-0005-0000-0000-000022120000}"/>
    <cellStyle name="Normal 15 5 2" xfId="5714" xr:uid="{00000000-0005-0000-0000-000023120000}"/>
    <cellStyle name="Normal 15 5 3" xfId="6939" xr:uid="{00000000-0005-0000-0000-000024120000}"/>
    <cellStyle name="Normal 15 6" xfId="1991" xr:uid="{00000000-0005-0000-0000-000025120000}"/>
    <cellStyle name="Normal 15 6 2" xfId="6010" xr:uid="{00000000-0005-0000-0000-000026120000}"/>
    <cellStyle name="Normal 15 6 3" xfId="7238" xr:uid="{00000000-0005-0000-0000-000027120000}"/>
    <cellStyle name="Normal 15 7" xfId="2280" xr:uid="{00000000-0005-0000-0000-000028120000}"/>
    <cellStyle name="Normal 15 7 2" xfId="3625" xr:uid="{00000000-0005-0000-0000-000029120000}"/>
    <cellStyle name="Normal 15 7 3" xfId="5254" xr:uid="{00000000-0005-0000-0000-00002A120000}"/>
    <cellStyle name="Normal 15 7 4" xfId="7513" xr:uid="{00000000-0005-0000-0000-00002B120000}"/>
    <cellStyle name="Normal 15 8" xfId="2630" xr:uid="{00000000-0005-0000-0000-00002C120000}"/>
    <cellStyle name="Normal 15 8 2" xfId="4999" xr:uid="{00000000-0005-0000-0000-00002D120000}"/>
    <cellStyle name="Normal 15 8 3" xfId="7847" xr:uid="{00000000-0005-0000-0000-00002E120000}"/>
    <cellStyle name="Normal 15 9" xfId="3883" xr:uid="{00000000-0005-0000-0000-00002F120000}"/>
    <cellStyle name="Normal 16" xfId="489" xr:uid="{00000000-0005-0000-0000-000030120000}"/>
    <cellStyle name="Normal 16 10" xfId="3887" xr:uid="{00000000-0005-0000-0000-000031120000}"/>
    <cellStyle name="Normal 16 11" xfId="6468" xr:uid="{00000000-0005-0000-0000-000032120000}"/>
    <cellStyle name="Normal 16 12" xfId="1216" xr:uid="{00000000-0005-0000-0000-000033120000}"/>
    <cellStyle name="Normal 16 2" xfId="490" xr:uid="{00000000-0005-0000-0000-000034120000}"/>
    <cellStyle name="Normal 16 2 2" xfId="1553" xr:uid="{00000000-0005-0000-0000-000035120000}"/>
    <cellStyle name="Normal 16 2 2 2" xfId="3687" xr:uid="{00000000-0005-0000-0000-000036120000}"/>
    <cellStyle name="Normal 16 2 2 2 2" xfId="5580" xr:uid="{00000000-0005-0000-0000-000037120000}"/>
    <cellStyle name="Normal 16 2 2 2 3" xfId="8615" xr:uid="{00000000-0005-0000-0000-000038120000}"/>
    <cellStyle name="Normal 16 2 2 3" xfId="4627" xr:uid="{00000000-0005-0000-0000-000039120000}"/>
    <cellStyle name="Normal 16 2 2 4" xfId="6805" xr:uid="{00000000-0005-0000-0000-00003A120000}"/>
    <cellStyle name="Normal 16 2 3" xfId="1758" xr:uid="{00000000-0005-0000-0000-00003B120000}"/>
    <cellStyle name="Normal 16 2 3 2" xfId="3701" xr:uid="{00000000-0005-0000-0000-00003C120000}"/>
    <cellStyle name="Normal 16 2 3 2 2" xfId="5780" xr:uid="{00000000-0005-0000-0000-00003D120000}"/>
    <cellStyle name="Normal 16 2 3 2 3" xfId="8621" xr:uid="{00000000-0005-0000-0000-00003E120000}"/>
    <cellStyle name="Normal 16 2 3 3" xfId="4710" xr:uid="{00000000-0005-0000-0000-00003F120000}"/>
    <cellStyle name="Normal 16 2 3 4" xfId="7005" xr:uid="{00000000-0005-0000-0000-000040120000}"/>
    <cellStyle name="Normal 16 2 4" xfId="1979" xr:uid="{00000000-0005-0000-0000-000041120000}"/>
    <cellStyle name="Normal 16 2 4 2" xfId="5998" xr:uid="{00000000-0005-0000-0000-000042120000}"/>
    <cellStyle name="Normal 16 2 4 3" xfId="7226" xr:uid="{00000000-0005-0000-0000-000043120000}"/>
    <cellStyle name="Normal 16 2 5" xfId="3646" xr:uid="{00000000-0005-0000-0000-000044120000}"/>
    <cellStyle name="Normal 16 2 5 2" xfId="5318" xr:uid="{00000000-0005-0000-0000-000045120000}"/>
    <cellStyle name="Normal 16 2 5 3" xfId="8601" xr:uid="{00000000-0005-0000-0000-000046120000}"/>
    <cellStyle name="Normal 16 2 6" xfId="2870" xr:uid="{00000000-0005-0000-0000-000047120000}"/>
    <cellStyle name="Normal 16 2 7" xfId="4138" xr:uid="{00000000-0005-0000-0000-000048120000}"/>
    <cellStyle name="Normal 16 2 8" xfId="6533" xr:uid="{00000000-0005-0000-0000-000049120000}"/>
    <cellStyle name="Normal 16 2 9" xfId="1281" xr:uid="{00000000-0005-0000-0000-00004A120000}"/>
    <cellStyle name="Normal 16 3" xfId="1328" xr:uid="{00000000-0005-0000-0000-00004B120000}"/>
    <cellStyle name="Normal 16 3 2" xfId="1596" xr:uid="{00000000-0005-0000-0000-00004C120000}"/>
    <cellStyle name="Normal 16 3 2 2" xfId="5622" xr:uid="{00000000-0005-0000-0000-00004D120000}"/>
    <cellStyle name="Normal 16 3 2 3" xfId="6847" xr:uid="{00000000-0005-0000-0000-00004E120000}"/>
    <cellStyle name="Normal 16 3 3" xfId="1800" xr:uid="{00000000-0005-0000-0000-00004F120000}"/>
    <cellStyle name="Normal 16 3 3 2" xfId="5821" xr:uid="{00000000-0005-0000-0000-000050120000}"/>
    <cellStyle name="Normal 16 3 3 3" xfId="7047" xr:uid="{00000000-0005-0000-0000-000051120000}"/>
    <cellStyle name="Normal 16 3 4" xfId="1978" xr:uid="{00000000-0005-0000-0000-000052120000}"/>
    <cellStyle name="Normal 16 3 4 2" xfId="5997" xr:uid="{00000000-0005-0000-0000-000053120000}"/>
    <cellStyle name="Normal 16 3 4 3" xfId="7225" xr:uid="{00000000-0005-0000-0000-000054120000}"/>
    <cellStyle name="Normal 16 3 5" xfId="3664" xr:uid="{00000000-0005-0000-0000-000055120000}"/>
    <cellStyle name="Normal 16 3 5 2" xfId="5364" xr:uid="{00000000-0005-0000-0000-000056120000}"/>
    <cellStyle name="Normal 16 3 5 3" xfId="8607" xr:uid="{00000000-0005-0000-0000-000057120000}"/>
    <cellStyle name="Normal 16 3 6" xfId="4628" xr:uid="{00000000-0005-0000-0000-000058120000}"/>
    <cellStyle name="Normal 16 3 7" xfId="6580" xr:uid="{00000000-0005-0000-0000-000059120000}"/>
    <cellStyle name="Normal 16 4" xfId="1486" xr:uid="{00000000-0005-0000-0000-00005A120000}"/>
    <cellStyle name="Normal 16 4 2" xfId="3680" xr:uid="{00000000-0005-0000-0000-00005B120000}"/>
    <cellStyle name="Normal 16 4 2 2" xfId="5514" xr:uid="{00000000-0005-0000-0000-00005C120000}"/>
    <cellStyle name="Normal 16 4 2 3" xfId="8612" xr:uid="{00000000-0005-0000-0000-00005D120000}"/>
    <cellStyle name="Normal 16 4 3" xfId="4711" xr:uid="{00000000-0005-0000-0000-00005E120000}"/>
    <cellStyle name="Normal 16 4 4" xfId="6738" xr:uid="{00000000-0005-0000-0000-00005F120000}"/>
    <cellStyle name="Normal 16 5" xfId="1693" xr:uid="{00000000-0005-0000-0000-000060120000}"/>
    <cellStyle name="Normal 16 5 2" xfId="5715" xr:uid="{00000000-0005-0000-0000-000061120000}"/>
    <cellStyle name="Normal 16 5 3" xfId="6940" xr:uid="{00000000-0005-0000-0000-000062120000}"/>
    <cellStyle name="Normal 16 6" xfId="1987" xr:uid="{00000000-0005-0000-0000-000063120000}"/>
    <cellStyle name="Normal 16 6 2" xfId="6006" xr:uid="{00000000-0005-0000-0000-000064120000}"/>
    <cellStyle name="Normal 16 6 3" xfId="7234" xr:uid="{00000000-0005-0000-0000-000065120000}"/>
    <cellStyle name="Normal 16 7" xfId="2623" xr:uid="{00000000-0005-0000-0000-000066120000}"/>
    <cellStyle name="Normal 16 7 2" xfId="3626" xr:uid="{00000000-0005-0000-0000-000067120000}"/>
    <cellStyle name="Normal 16 7 3" xfId="5255" xr:uid="{00000000-0005-0000-0000-000068120000}"/>
    <cellStyle name="Normal 16 7 4" xfId="7840" xr:uid="{00000000-0005-0000-0000-000069120000}"/>
    <cellStyle name="Normal 16 8" xfId="3369" xr:uid="{00000000-0005-0000-0000-00006A120000}"/>
    <cellStyle name="Normal 16 8 2" xfId="5000" xr:uid="{00000000-0005-0000-0000-00006B120000}"/>
    <cellStyle name="Normal 16 8 3" xfId="8402" xr:uid="{00000000-0005-0000-0000-00006C120000}"/>
    <cellStyle name="Normal 16 9" xfId="2871" xr:uid="{00000000-0005-0000-0000-00006D120000}"/>
    <cellStyle name="Normal 17" xfId="491" xr:uid="{00000000-0005-0000-0000-00006E120000}"/>
    <cellStyle name="Normal 17 10" xfId="8875" xr:uid="{00000000-0005-0000-0000-00006F120000}"/>
    <cellStyle name="Normal 17 11" xfId="1217" xr:uid="{00000000-0005-0000-0000-000070120000}"/>
    <cellStyle name="Normal 17 2" xfId="1249" xr:uid="{00000000-0005-0000-0000-000071120000}"/>
    <cellStyle name="Normal 17 2 2" xfId="1339" xr:uid="{00000000-0005-0000-0000-000072120000}"/>
    <cellStyle name="Normal 17 2 2 2" xfId="1355" xr:uid="{00000000-0005-0000-0000-000073120000}"/>
    <cellStyle name="Normal 17 2 2 2 2" xfId="1623" xr:uid="{00000000-0005-0000-0000-000074120000}"/>
    <cellStyle name="Normal 17 2 2 2 2 2" xfId="5649" xr:uid="{00000000-0005-0000-0000-000075120000}"/>
    <cellStyle name="Normal 17 2 2 2 2 3" xfId="6874" xr:uid="{00000000-0005-0000-0000-000076120000}"/>
    <cellStyle name="Normal 17 2 2 2 3" xfId="1824" xr:uid="{00000000-0005-0000-0000-000077120000}"/>
    <cellStyle name="Normal 17 2 2 2 3 2" xfId="5845" xr:uid="{00000000-0005-0000-0000-000078120000}"/>
    <cellStyle name="Normal 17 2 2 2 3 3" xfId="7071" xr:uid="{00000000-0005-0000-0000-000079120000}"/>
    <cellStyle name="Normal 17 2 2 2 4" xfId="1941" xr:uid="{00000000-0005-0000-0000-00007A120000}"/>
    <cellStyle name="Normal 17 2 2 2 4 2" xfId="5961" xr:uid="{00000000-0005-0000-0000-00007B120000}"/>
    <cellStyle name="Normal 17 2 2 2 4 3" xfId="7188" xr:uid="{00000000-0005-0000-0000-00007C120000}"/>
    <cellStyle name="Normal 17 2 2 2 5" xfId="5389" xr:uid="{00000000-0005-0000-0000-00007D120000}"/>
    <cellStyle name="Normal 17 2 2 2 6" xfId="6607" xr:uid="{00000000-0005-0000-0000-00007E120000}"/>
    <cellStyle name="Normal 17 2 2 3" xfId="1607" xr:uid="{00000000-0005-0000-0000-00007F120000}"/>
    <cellStyle name="Normal 17 2 2 3 2" xfId="5633" xr:uid="{00000000-0005-0000-0000-000080120000}"/>
    <cellStyle name="Normal 17 2 2 3 3" xfId="6858" xr:uid="{00000000-0005-0000-0000-000081120000}"/>
    <cellStyle name="Normal 17 2 2 4" xfId="1808" xr:uid="{00000000-0005-0000-0000-000082120000}"/>
    <cellStyle name="Normal 17 2 2 4 2" xfId="5829" xr:uid="{00000000-0005-0000-0000-000083120000}"/>
    <cellStyle name="Normal 17 2 2 4 3" xfId="7055" xr:uid="{00000000-0005-0000-0000-000084120000}"/>
    <cellStyle name="Normal 17 2 2 5" xfId="1945" xr:uid="{00000000-0005-0000-0000-000085120000}"/>
    <cellStyle name="Normal 17 2 2 5 2" xfId="5965" xr:uid="{00000000-0005-0000-0000-000086120000}"/>
    <cellStyle name="Normal 17 2 2 5 3" xfId="7192" xr:uid="{00000000-0005-0000-0000-000087120000}"/>
    <cellStyle name="Normal 17 2 2 6" xfId="5373" xr:uid="{00000000-0005-0000-0000-000088120000}"/>
    <cellStyle name="Normal 17 2 2 7" xfId="6591" xr:uid="{00000000-0005-0000-0000-000089120000}"/>
    <cellStyle name="Normal 17 2 3" xfId="1364" xr:uid="{00000000-0005-0000-0000-00008A120000}"/>
    <cellStyle name="Normal 17 2 3 2" xfId="1632" xr:uid="{00000000-0005-0000-0000-00008B120000}"/>
    <cellStyle name="Normal 17 2 3 2 2" xfId="5658" xr:uid="{00000000-0005-0000-0000-00008C120000}"/>
    <cellStyle name="Normal 17 2 3 2 3" xfId="6883" xr:uid="{00000000-0005-0000-0000-00008D120000}"/>
    <cellStyle name="Normal 17 2 3 3" xfId="1832" xr:uid="{00000000-0005-0000-0000-00008E120000}"/>
    <cellStyle name="Normal 17 2 3 3 2" xfId="5853" xr:uid="{00000000-0005-0000-0000-00008F120000}"/>
    <cellStyle name="Normal 17 2 3 3 3" xfId="7079" xr:uid="{00000000-0005-0000-0000-000090120000}"/>
    <cellStyle name="Normal 17 2 3 4" xfId="1894" xr:uid="{00000000-0005-0000-0000-000091120000}"/>
    <cellStyle name="Normal 17 2 3 4 2" xfId="5914" xr:uid="{00000000-0005-0000-0000-000092120000}"/>
    <cellStyle name="Normal 17 2 3 4 3" xfId="7141" xr:uid="{00000000-0005-0000-0000-000093120000}"/>
    <cellStyle name="Normal 17 2 3 5" xfId="5397" xr:uid="{00000000-0005-0000-0000-000094120000}"/>
    <cellStyle name="Normal 17 2 3 6" xfId="6616" xr:uid="{00000000-0005-0000-0000-000095120000}"/>
    <cellStyle name="Normal 17 2 4" xfId="1519" xr:uid="{00000000-0005-0000-0000-000096120000}"/>
    <cellStyle name="Normal 17 2 4 2" xfId="5547" xr:uid="{00000000-0005-0000-0000-000097120000}"/>
    <cellStyle name="Normal 17 2 4 3" xfId="6771" xr:uid="{00000000-0005-0000-0000-000098120000}"/>
    <cellStyle name="Normal 17 2 5" xfId="1724" xr:uid="{00000000-0005-0000-0000-000099120000}"/>
    <cellStyle name="Normal 17 2 5 2" xfId="5746" xr:uid="{00000000-0005-0000-0000-00009A120000}"/>
    <cellStyle name="Normal 17 2 5 3" xfId="6971" xr:uid="{00000000-0005-0000-0000-00009B120000}"/>
    <cellStyle name="Normal 17 2 6" xfId="1719" xr:uid="{00000000-0005-0000-0000-00009C120000}"/>
    <cellStyle name="Normal 17 2 6 2" xfId="5741" xr:uid="{00000000-0005-0000-0000-00009D120000}"/>
    <cellStyle name="Normal 17 2 6 3" xfId="6966" xr:uid="{00000000-0005-0000-0000-00009E120000}"/>
    <cellStyle name="Normal 17 2 7" xfId="5286" xr:uid="{00000000-0005-0000-0000-00009F120000}"/>
    <cellStyle name="Normal 17 2 8" xfId="6501" xr:uid="{00000000-0005-0000-0000-0000A0120000}"/>
    <cellStyle name="Normal 17 3" xfId="1298" xr:uid="{00000000-0005-0000-0000-0000A1120000}"/>
    <cellStyle name="Normal 17 3 2" xfId="1329" xr:uid="{00000000-0005-0000-0000-0000A2120000}"/>
    <cellStyle name="Normal 17 3 2 2" xfId="1597" xr:uid="{00000000-0005-0000-0000-0000A3120000}"/>
    <cellStyle name="Normal 17 3 2 2 2" xfId="5623" xr:uid="{00000000-0005-0000-0000-0000A4120000}"/>
    <cellStyle name="Normal 17 3 2 2 3" xfId="6848" xr:uid="{00000000-0005-0000-0000-0000A5120000}"/>
    <cellStyle name="Normal 17 3 2 3" xfId="1801" xr:uid="{00000000-0005-0000-0000-0000A6120000}"/>
    <cellStyle name="Normal 17 3 2 3 2" xfId="5822" xr:uid="{00000000-0005-0000-0000-0000A7120000}"/>
    <cellStyle name="Normal 17 3 2 3 3" xfId="7048" xr:uid="{00000000-0005-0000-0000-0000A8120000}"/>
    <cellStyle name="Normal 17 3 2 4" xfId="1906" xr:uid="{00000000-0005-0000-0000-0000A9120000}"/>
    <cellStyle name="Normal 17 3 2 4 2" xfId="5926" xr:uid="{00000000-0005-0000-0000-0000AA120000}"/>
    <cellStyle name="Normal 17 3 2 4 3" xfId="7153" xr:uid="{00000000-0005-0000-0000-0000AB120000}"/>
    <cellStyle name="Normal 17 3 2 5" xfId="5365" xr:uid="{00000000-0005-0000-0000-0000AC120000}"/>
    <cellStyle name="Normal 17 3 2 6" xfId="6581" xr:uid="{00000000-0005-0000-0000-0000AD120000}"/>
    <cellStyle name="Normal 17 3 3" xfId="1566" xr:uid="{00000000-0005-0000-0000-0000AE120000}"/>
    <cellStyle name="Normal 17 3 3 2" xfId="5592" xr:uid="{00000000-0005-0000-0000-0000AF120000}"/>
    <cellStyle name="Normal 17 3 3 3" xfId="6817" xr:uid="{00000000-0005-0000-0000-0000B0120000}"/>
    <cellStyle name="Normal 17 3 4" xfId="1770" xr:uid="{00000000-0005-0000-0000-0000B1120000}"/>
    <cellStyle name="Normal 17 3 4 2" xfId="5791" xr:uid="{00000000-0005-0000-0000-0000B2120000}"/>
    <cellStyle name="Normal 17 3 4 3" xfId="7017" xr:uid="{00000000-0005-0000-0000-0000B3120000}"/>
    <cellStyle name="Normal 17 3 5" xfId="1905" xr:uid="{00000000-0005-0000-0000-0000B4120000}"/>
    <cellStyle name="Normal 17 3 5 2" xfId="5925" xr:uid="{00000000-0005-0000-0000-0000B5120000}"/>
    <cellStyle name="Normal 17 3 5 3" xfId="7152" xr:uid="{00000000-0005-0000-0000-0000B6120000}"/>
    <cellStyle name="Normal 17 3 6" xfId="5334" xr:uid="{00000000-0005-0000-0000-0000B7120000}"/>
    <cellStyle name="Normal 17 3 7" xfId="6550" xr:uid="{00000000-0005-0000-0000-0000B8120000}"/>
    <cellStyle name="Normal 17 4" xfId="1487" xr:uid="{00000000-0005-0000-0000-0000B9120000}"/>
    <cellStyle name="Normal 17 4 2" xfId="5515" xr:uid="{00000000-0005-0000-0000-0000BA120000}"/>
    <cellStyle name="Normal 17 4 3" xfId="6739" xr:uid="{00000000-0005-0000-0000-0000BB120000}"/>
    <cellStyle name="Normal 17 5" xfId="1694" xr:uid="{00000000-0005-0000-0000-0000BC120000}"/>
    <cellStyle name="Normal 17 5 2" xfId="5716" xr:uid="{00000000-0005-0000-0000-0000BD120000}"/>
    <cellStyle name="Normal 17 5 3" xfId="6941" xr:uid="{00000000-0005-0000-0000-0000BE120000}"/>
    <cellStyle name="Normal 17 6" xfId="1922" xr:uid="{00000000-0005-0000-0000-0000BF120000}"/>
    <cellStyle name="Normal 17 6 2" xfId="5942" xr:uid="{00000000-0005-0000-0000-0000C0120000}"/>
    <cellStyle name="Normal 17 6 3" xfId="7169" xr:uid="{00000000-0005-0000-0000-0000C1120000}"/>
    <cellStyle name="Normal 17 7" xfId="3627" xr:uid="{00000000-0005-0000-0000-0000C2120000}"/>
    <cellStyle name="Normal 17 7 2" xfId="5256" xr:uid="{00000000-0005-0000-0000-0000C3120000}"/>
    <cellStyle name="Normal 17 7 3" xfId="8595" xr:uid="{00000000-0005-0000-0000-0000C4120000}"/>
    <cellStyle name="Normal 17 8" xfId="4515" xr:uid="{00000000-0005-0000-0000-0000C5120000}"/>
    <cellStyle name="Normal 17 9" xfId="6469" xr:uid="{00000000-0005-0000-0000-0000C6120000}"/>
    <cellStyle name="Normal 18" xfId="492" xr:uid="{00000000-0005-0000-0000-0000C7120000}"/>
    <cellStyle name="Normal 18 2" xfId="1494" xr:uid="{00000000-0005-0000-0000-0000C8120000}"/>
    <cellStyle name="Normal 18 2 2" xfId="2281" xr:uid="{00000000-0005-0000-0000-0000C9120000}"/>
    <cellStyle name="Normal 18 2 2 2" xfId="3681" xr:uid="{00000000-0005-0000-0000-0000CA120000}"/>
    <cellStyle name="Normal 18 2 2 3" xfId="5522" xr:uid="{00000000-0005-0000-0000-0000CB120000}"/>
    <cellStyle name="Normal 18 2 2 4" xfId="7514" xr:uid="{00000000-0005-0000-0000-0000CC120000}"/>
    <cellStyle name="Normal 18 2 3" xfId="4139" xr:uid="{00000000-0005-0000-0000-0000CD120000}"/>
    <cellStyle name="Normal 18 2 4" xfId="6746" xr:uid="{00000000-0005-0000-0000-0000CE120000}"/>
    <cellStyle name="Normal 18 3" xfId="1701" xr:uid="{00000000-0005-0000-0000-0000CF120000}"/>
    <cellStyle name="Normal 18 3 2" xfId="5723" xr:uid="{00000000-0005-0000-0000-0000D0120000}"/>
    <cellStyle name="Normal 18 3 3" xfId="6948" xr:uid="{00000000-0005-0000-0000-0000D1120000}"/>
    <cellStyle name="Normal 18 4" xfId="1983" xr:uid="{00000000-0005-0000-0000-0000D2120000}"/>
    <cellStyle name="Normal 18 4 2" xfId="6002" xr:uid="{00000000-0005-0000-0000-0000D3120000}"/>
    <cellStyle name="Normal 18 4 3" xfId="7230" xr:uid="{00000000-0005-0000-0000-0000D4120000}"/>
    <cellStyle name="Normal 18 5" xfId="2752" xr:uid="{00000000-0005-0000-0000-0000D5120000}"/>
    <cellStyle name="Normal 18 5 2" xfId="2753" xr:uid="{00000000-0005-0000-0000-0000D6120000}"/>
    <cellStyle name="Normal 18 5 2 2" xfId="3628" xr:uid="{00000000-0005-0000-0000-0000D7120000}"/>
    <cellStyle name="Normal 18 5 3" xfId="5263" xr:uid="{00000000-0005-0000-0000-0000D8120000}"/>
    <cellStyle name="Normal 18 5 4" xfId="7938" xr:uid="{00000000-0005-0000-0000-0000D9120000}"/>
    <cellStyle name="Normal 18 6" xfId="3854" xr:uid="{00000000-0005-0000-0000-0000DA120000}"/>
    <cellStyle name="Normal 18 7" xfId="4516" xr:uid="{00000000-0005-0000-0000-0000DB120000}"/>
    <cellStyle name="Normal 18 8" xfId="6476" xr:uid="{00000000-0005-0000-0000-0000DC120000}"/>
    <cellStyle name="Normal 18 9" xfId="1224" xr:uid="{00000000-0005-0000-0000-0000DD120000}"/>
    <cellStyle name="Normal 19" xfId="493" xr:uid="{00000000-0005-0000-0000-0000DE120000}"/>
    <cellStyle name="Normal 19 2" xfId="494" xr:uid="{00000000-0005-0000-0000-0000DF120000}"/>
    <cellStyle name="Normal 19 2 2" xfId="1627" xr:uid="{00000000-0005-0000-0000-0000E0120000}"/>
    <cellStyle name="Normal 19 2 2 2" xfId="5653" xr:uid="{00000000-0005-0000-0000-0000E1120000}"/>
    <cellStyle name="Normal 19 2 2 3" xfId="6878" xr:uid="{00000000-0005-0000-0000-0000E2120000}"/>
    <cellStyle name="Normal 19 2 3" xfId="1828" xr:uid="{00000000-0005-0000-0000-0000E3120000}"/>
    <cellStyle name="Normal 19 2 3 2" xfId="5849" xr:uid="{00000000-0005-0000-0000-0000E4120000}"/>
    <cellStyle name="Normal 19 2 3 3" xfId="7075" xr:uid="{00000000-0005-0000-0000-0000E5120000}"/>
    <cellStyle name="Normal 19 2 4" xfId="1923" xr:uid="{00000000-0005-0000-0000-0000E6120000}"/>
    <cellStyle name="Normal 19 2 4 2" xfId="5943" xr:uid="{00000000-0005-0000-0000-0000E7120000}"/>
    <cellStyle name="Normal 19 2 4 3" xfId="7170" xr:uid="{00000000-0005-0000-0000-0000E8120000}"/>
    <cellStyle name="Normal 19 2 5" xfId="5392" xr:uid="{00000000-0005-0000-0000-0000E9120000}"/>
    <cellStyle name="Normal 19 2 6" xfId="6611" xr:uid="{00000000-0005-0000-0000-0000EA120000}"/>
    <cellStyle name="Normal 19 2 7" xfId="1359" xr:uid="{00000000-0005-0000-0000-0000EB120000}"/>
    <cellStyle name="Normal 19 3" xfId="1368" xr:uid="{00000000-0005-0000-0000-0000EC120000}"/>
    <cellStyle name="Normal 19 3 2" xfId="1636" xr:uid="{00000000-0005-0000-0000-0000ED120000}"/>
    <cellStyle name="Normal 19 3 2 2" xfId="5662" xr:uid="{00000000-0005-0000-0000-0000EE120000}"/>
    <cellStyle name="Normal 19 3 2 3" xfId="6887" xr:uid="{00000000-0005-0000-0000-0000EF120000}"/>
    <cellStyle name="Normal 19 3 3" xfId="1835" xr:uid="{00000000-0005-0000-0000-0000F0120000}"/>
    <cellStyle name="Normal 19 3 3 2" xfId="5856" xr:uid="{00000000-0005-0000-0000-0000F1120000}"/>
    <cellStyle name="Normal 19 3 3 3" xfId="7082" xr:uid="{00000000-0005-0000-0000-0000F2120000}"/>
    <cellStyle name="Normal 19 3 4" xfId="2021" xr:uid="{00000000-0005-0000-0000-0000F3120000}"/>
    <cellStyle name="Normal 19 3 4 2" xfId="6040" xr:uid="{00000000-0005-0000-0000-0000F4120000}"/>
    <cellStyle name="Normal 19 3 4 3" xfId="7268" xr:uid="{00000000-0005-0000-0000-0000F5120000}"/>
    <cellStyle name="Normal 19 3 5" xfId="5401" xr:uid="{00000000-0005-0000-0000-0000F6120000}"/>
    <cellStyle name="Normal 19 3 6" xfId="6620" xr:uid="{00000000-0005-0000-0000-0000F7120000}"/>
    <cellStyle name="Normal 19 4" xfId="1556" xr:uid="{00000000-0005-0000-0000-0000F8120000}"/>
    <cellStyle name="Normal 19 4 2" xfId="5582" xr:uid="{00000000-0005-0000-0000-0000F9120000}"/>
    <cellStyle name="Normal 19 4 3" xfId="6807" xr:uid="{00000000-0005-0000-0000-0000FA120000}"/>
    <cellStyle name="Normal 19 5" xfId="1761" xr:uid="{00000000-0005-0000-0000-0000FB120000}"/>
    <cellStyle name="Normal 19 5 2" xfId="5783" xr:uid="{00000000-0005-0000-0000-0000FC120000}"/>
    <cellStyle name="Normal 19 5 3" xfId="7008" xr:uid="{00000000-0005-0000-0000-0000FD120000}"/>
    <cellStyle name="Normal 19 6" xfId="2011" xr:uid="{00000000-0005-0000-0000-0000FE120000}"/>
    <cellStyle name="Normal 19 6 2" xfId="6030" xr:uid="{00000000-0005-0000-0000-0000FF120000}"/>
    <cellStyle name="Normal 19 6 3" xfId="7258" xr:uid="{00000000-0005-0000-0000-000000130000}"/>
    <cellStyle name="Normal 19 7" xfId="5001" xr:uid="{00000000-0005-0000-0000-000001130000}"/>
    <cellStyle name="Normal 19 8" xfId="6537" xr:uid="{00000000-0005-0000-0000-000002130000}"/>
    <cellStyle name="Normal 19 9" xfId="1285"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8" xr:uid="{00000000-0005-0000-0000-000007130000}"/>
    <cellStyle name="Normal 2 10 2 3" xfId="5320" xr:uid="{00000000-0005-0000-0000-000008130000}"/>
    <cellStyle name="Normal 2 10 2 4" xfId="7515" xr:uid="{00000000-0005-0000-0000-000009130000}"/>
    <cellStyle name="Normal 2 10 2 5" xfId="2282" xr:uid="{00000000-0005-0000-0000-00000A130000}"/>
    <cellStyle name="Normal 2 10 3" xfId="3858" xr:uid="{00000000-0005-0000-0000-00000B130000}"/>
    <cellStyle name="Normal 2 10 4" xfId="6535" xr:uid="{00000000-0005-0000-0000-00000C130000}"/>
    <cellStyle name="Normal 2 10 5" xfId="1283" xr:uid="{00000000-0005-0000-0000-00000D130000}"/>
    <cellStyle name="Normal 2 100" xfId="2283" xr:uid="{00000000-0005-0000-0000-00000E130000}"/>
    <cellStyle name="Normal 2 100 2" xfId="2655" xr:uid="{00000000-0005-0000-0000-00000F130000}"/>
    <cellStyle name="Normal 2 100 2 2" xfId="2930" xr:uid="{00000000-0005-0000-0000-000010130000}"/>
    <cellStyle name="Normal 2 100 2 2 2" xfId="4598" xr:uid="{00000000-0005-0000-0000-000011130000}"/>
    <cellStyle name="Normal 2 100 2 2 3" xfId="7986" xr:uid="{00000000-0005-0000-0000-000012130000}"/>
    <cellStyle name="Normal 2 100 2 3" xfId="3023" xr:uid="{00000000-0005-0000-0000-000013130000}"/>
    <cellStyle name="Normal 2 100 2 3 2" xfId="4682" xr:uid="{00000000-0005-0000-0000-000014130000}"/>
    <cellStyle name="Normal 2 100 2 3 3" xfId="8079" xr:uid="{00000000-0005-0000-0000-000015130000}"/>
    <cellStyle name="Normal 2 100 2 4" xfId="3725" xr:uid="{00000000-0005-0000-0000-000016130000}"/>
    <cellStyle name="Normal 2 100 2 4 2" xfId="6129" xr:uid="{00000000-0005-0000-0000-000017130000}"/>
    <cellStyle name="Normal 2 100 2 4 3" xfId="8639" xr:uid="{00000000-0005-0000-0000-000018130000}"/>
    <cellStyle name="Normal 2 100 2 5" xfId="2825" xr:uid="{00000000-0005-0000-0000-000019130000}"/>
    <cellStyle name="Normal 2 100 2 6" xfId="4141" xr:uid="{00000000-0005-0000-0000-00001A130000}"/>
    <cellStyle name="Normal 2 100 2 7" xfId="7866" xr:uid="{00000000-0005-0000-0000-00001B130000}"/>
    <cellStyle name="Normal 2 100 3" xfId="2915" xr:uid="{00000000-0005-0000-0000-00001C130000}"/>
    <cellStyle name="Normal 2 100 3 2" xfId="4583" xr:uid="{00000000-0005-0000-0000-00001D130000}"/>
    <cellStyle name="Normal 2 100 3 3" xfId="7972" xr:uid="{00000000-0005-0000-0000-00001E130000}"/>
    <cellStyle name="Normal 2 100 4" xfId="3007" xr:uid="{00000000-0005-0000-0000-00001F130000}"/>
    <cellStyle name="Normal 2 100 4 2" xfId="4667" xr:uid="{00000000-0005-0000-0000-000020130000}"/>
    <cellStyle name="Normal 2 100 4 3" xfId="8063" xr:uid="{00000000-0005-0000-0000-000021130000}"/>
    <cellStyle name="Normal 2 100 5" xfId="3830" xr:uid="{00000000-0005-0000-0000-000022130000}"/>
    <cellStyle name="Normal 2 100 5 2" xfId="6213" xr:uid="{00000000-0005-0000-0000-000023130000}"/>
    <cellStyle name="Normal 2 100 5 3" xfId="8741" xr:uid="{00000000-0005-0000-0000-000024130000}"/>
    <cellStyle name="Normal 2 100 6" xfId="2806" xr:uid="{00000000-0005-0000-0000-000025130000}"/>
    <cellStyle name="Normal 2 100 7" xfId="4140" xr:uid="{00000000-0005-0000-0000-000026130000}"/>
    <cellStyle name="Normal 2 100 8" xfId="7516" xr:uid="{00000000-0005-0000-0000-000027130000}"/>
    <cellStyle name="Normal 2 101" xfId="2673" xr:uid="{00000000-0005-0000-0000-000028130000}"/>
    <cellStyle name="Normal 2 101 2" xfId="2656" xr:uid="{00000000-0005-0000-0000-000029130000}"/>
    <cellStyle name="Normal 2 101 3" xfId="4142" xr:uid="{00000000-0005-0000-0000-00002A130000}"/>
    <cellStyle name="Normal 2 101 4" xfId="7872" xr:uid="{00000000-0005-0000-0000-00002B130000}"/>
    <cellStyle name="Normal 2 102" xfId="3370" xr:uid="{00000000-0005-0000-0000-00002C130000}"/>
    <cellStyle name="Normal 2 102 2" xfId="5002" xr:uid="{00000000-0005-0000-0000-00002D130000}"/>
    <cellStyle name="Normal 2 102 3" xfId="8403" xr:uid="{00000000-0005-0000-0000-00002E130000}"/>
    <cellStyle name="Normal 2 103" xfId="3857" xr:uid="{00000000-0005-0000-0000-00002F130000}"/>
    <cellStyle name="Normal 2 104" xfId="6279" xr:uid="{00000000-0005-0000-0000-000030130000}"/>
    <cellStyle name="Normal 2 105" xfId="997" xr:uid="{00000000-0005-0000-0000-000031130000}"/>
    <cellStyle name="Normal 2 106" xfId="8878" xr:uid="{00000000-0005-0000-0000-000032130000}"/>
    <cellStyle name="Normal 2 106 2" xfId="8963" xr:uid="{00000000-0005-0000-0000-000033130000}"/>
    <cellStyle name="Normal 2 11" xfId="498" xr:uid="{00000000-0005-0000-0000-000034130000}"/>
    <cellStyle name="Normal 2 11 10" xfId="1292" xr:uid="{00000000-0005-0000-0000-000035130000}"/>
    <cellStyle name="Normal 2 11 2" xfId="499" xr:uid="{00000000-0005-0000-0000-000036130000}"/>
    <cellStyle name="Normal 2 11 2 2" xfId="5367" xr:uid="{00000000-0005-0000-0000-000037130000}"/>
    <cellStyle name="Normal 2 11 2 3" xfId="6583" xr:uid="{00000000-0005-0000-0000-000038130000}"/>
    <cellStyle name="Normal 2 11 2 4" xfId="1331" xr:uid="{00000000-0005-0000-0000-000039130000}"/>
    <cellStyle name="Normal 2 11 3" xfId="1562" xr:uid="{00000000-0005-0000-0000-00003A130000}"/>
    <cellStyle name="Normal 2 11 3 2" xfId="5588" xr:uid="{00000000-0005-0000-0000-00003B130000}"/>
    <cellStyle name="Normal 2 11 3 3" xfId="6813" xr:uid="{00000000-0005-0000-0000-00003C130000}"/>
    <cellStyle name="Normal 2 11 4" xfId="1767" xr:uid="{00000000-0005-0000-0000-00003D130000}"/>
    <cellStyle name="Normal 2 11 4 2" xfId="5789" xr:uid="{00000000-0005-0000-0000-00003E130000}"/>
    <cellStyle name="Normal 2 11 4 3" xfId="7014" xr:uid="{00000000-0005-0000-0000-00003F130000}"/>
    <cellStyle name="Normal 2 11 5" xfId="1946" xr:uid="{00000000-0005-0000-0000-000040130000}"/>
    <cellStyle name="Normal 2 11 5 2" xfId="5966" xr:uid="{00000000-0005-0000-0000-000041130000}"/>
    <cellStyle name="Normal 2 11 5 3" xfId="7193" xr:uid="{00000000-0005-0000-0000-000042130000}"/>
    <cellStyle name="Normal 2 11 6" xfId="3654" xr:uid="{00000000-0005-0000-0000-000043130000}"/>
    <cellStyle name="Normal 2 11 6 2" xfId="5328" xr:uid="{00000000-0005-0000-0000-000044130000}"/>
    <cellStyle name="Normal 2 11 6 3" xfId="8604" xr:uid="{00000000-0005-0000-0000-000045130000}"/>
    <cellStyle name="Normal 2 11 7" xfId="3371" xr:uid="{00000000-0005-0000-0000-000046130000}"/>
    <cellStyle name="Normal 2 11 7 2" xfId="5003" xr:uid="{00000000-0005-0000-0000-000047130000}"/>
    <cellStyle name="Normal 2 11 7 3" xfId="8404" xr:uid="{00000000-0005-0000-0000-000048130000}"/>
    <cellStyle name="Normal 2 11 8" xfId="3865" xr:uid="{00000000-0005-0000-0000-000049130000}"/>
    <cellStyle name="Normal 2 11 9" xfId="6544" xr:uid="{00000000-0005-0000-0000-00004A130000}"/>
    <cellStyle name="Normal 2 12" xfId="500" xr:uid="{00000000-0005-0000-0000-00004B130000}"/>
    <cellStyle name="Normal 2 12 2" xfId="501" xr:uid="{00000000-0005-0000-0000-00004C130000}"/>
    <cellStyle name="Normal 2 12 2 2" xfId="3666" xr:uid="{00000000-0005-0000-0000-00004D130000}"/>
    <cellStyle name="Normal 2 12 2 3" xfId="5372" xr:uid="{00000000-0005-0000-0000-00004E130000}"/>
    <cellStyle name="Normal 2 12 2 4" xfId="7518" xr:uid="{00000000-0005-0000-0000-00004F130000}"/>
    <cellStyle name="Normal 2 12 2 5" xfId="2285" xr:uid="{00000000-0005-0000-0000-000050130000}"/>
    <cellStyle name="Normal 2 12 3" xfId="502" xr:uid="{00000000-0005-0000-0000-000051130000}"/>
    <cellStyle name="Normal 2 12 3 2" xfId="5004" xr:uid="{00000000-0005-0000-0000-000052130000}"/>
    <cellStyle name="Normal 2 12 3 3" xfId="8405" xr:uid="{00000000-0005-0000-0000-000053130000}"/>
    <cellStyle name="Normal 2 12 3 4" xfId="3372" xr:uid="{00000000-0005-0000-0000-000054130000}"/>
    <cellStyle name="Normal 2 12 4" xfId="3866" xr:uid="{00000000-0005-0000-0000-000055130000}"/>
    <cellStyle name="Normal 2 12 5" xfId="6590" xr:uid="{00000000-0005-0000-0000-000056130000}"/>
    <cellStyle name="Normal 2 12 6" xfId="1338" xr:uid="{00000000-0005-0000-0000-000057130000}"/>
    <cellStyle name="Normal 2 13" xfId="503" xr:uid="{00000000-0005-0000-0000-000058130000}"/>
    <cellStyle name="Normal 2 13 2" xfId="504" xr:uid="{00000000-0005-0000-0000-000059130000}"/>
    <cellStyle name="Normal 2 13 2 2" xfId="1893" xr:uid="{00000000-0005-0000-0000-00005A130000}"/>
    <cellStyle name="Normal 2 13 2 2 2" xfId="1897" xr:uid="{00000000-0005-0000-0000-00005B130000}"/>
    <cellStyle name="Normal 2 13 2 2 2 2" xfId="5917" xr:uid="{00000000-0005-0000-0000-00005C130000}"/>
    <cellStyle name="Normal 2 13 2 2 2 3" xfId="7144" xr:uid="{00000000-0005-0000-0000-00005D130000}"/>
    <cellStyle name="Normal 2 13 2 2 3" xfId="5913" xr:uid="{00000000-0005-0000-0000-00005E130000}"/>
    <cellStyle name="Normal 2 13 2 2 4" xfId="7140" xr:uid="{00000000-0005-0000-0000-00005F130000}"/>
    <cellStyle name="Normal 2 13 2 3" xfId="5475" xr:uid="{00000000-0005-0000-0000-000060130000}"/>
    <cellStyle name="Normal 2 13 2 4" xfId="6698" xr:uid="{00000000-0005-0000-0000-000061130000}"/>
    <cellStyle name="Normal 2 13 2 5" xfId="1446" xr:uid="{00000000-0005-0000-0000-000062130000}"/>
    <cellStyle name="Normal 2 13 3" xfId="1599" xr:uid="{00000000-0005-0000-0000-000063130000}"/>
    <cellStyle name="Normal 2 13 3 2" xfId="5625" xr:uid="{00000000-0005-0000-0000-000064130000}"/>
    <cellStyle name="Normal 2 13 3 3" xfId="6850" xr:uid="{00000000-0005-0000-0000-000065130000}"/>
    <cellStyle name="Normal 2 13 4" xfId="2066" xr:uid="{00000000-0005-0000-0000-000066130000}"/>
    <cellStyle name="Normal 2 13 4 2" xfId="6085" xr:uid="{00000000-0005-0000-0000-000067130000}"/>
    <cellStyle name="Normal 2 13 4 3" xfId="7313" xr:uid="{00000000-0005-0000-0000-000068130000}"/>
    <cellStyle name="Normal 2 13 5" xfId="3867" xr:uid="{00000000-0005-0000-0000-000069130000}"/>
    <cellStyle name="Normal 2 13 6" xfId="6692" xr:uid="{00000000-0005-0000-0000-00006A130000}"/>
    <cellStyle name="Normal 2 13 7" xfId="1440" xr:uid="{00000000-0005-0000-0000-00006B130000}"/>
    <cellStyle name="Normal 2 14" xfId="505" xr:uid="{00000000-0005-0000-0000-00006C130000}"/>
    <cellStyle name="Normal 2 14 2" xfId="506" xr:uid="{00000000-0005-0000-0000-00006D130000}"/>
    <cellStyle name="Normal 2 14 2 2" xfId="5897" xr:uid="{00000000-0005-0000-0000-00006E130000}"/>
    <cellStyle name="Normal 2 14 2 3" xfId="7124" xr:uid="{00000000-0005-0000-0000-00006F130000}"/>
    <cellStyle name="Normal 2 14 2 4" xfId="1877" xr:uid="{00000000-0005-0000-0000-000070130000}"/>
    <cellStyle name="Normal 2 14 3" xfId="4143" xr:uid="{00000000-0005-0000-0000-000071130000}"/>
    <cellStyle name="Normal 2 14 4" xfId="6773" xr:uid="{00000000-0005-0000-0000-000072130000}"/>
    <cellStyle name="Normal 2 14 5" xfId="1521" xr:uid="{00000000-0005-0000-0000-000073130000}"/>
    <cellStyle name="Normal 2 15" xfId="507" xr:uid="{00000000-0005-0000-0000-000074130000}"/>
    <cellStyle name="Normal 2 15 2" xfId="508" xr:uid="{00000000-0005-0000-0000-000075130000}"/>
    <cellStyle name="Normal 2 15 2 2" xfId="5955" xr:uid="{00000000-0005-0000-0000-000076130000}"/>
    <cellStyle name="Normal 2 15 2 3" xfId="7182" xr:uid="{00000000-0005-0000-0000-000077130000}"/>
    <cellStyle name="Normal 2 15 2 4" xfId="1935" xr:uid="{00000000-0005-0000-0000-000078130000}"/>
    <cellStyle name="Normal 2 15 3" xfId="4144" xr:uid="{00000000-0005-0000-0000-000079130000}"/>
    <cellStyle name="Normal 2 15 4" xfId="7219" xr:uid="{00000000-0005-0000-0000-00007A130000}"/>
    <cellStyle name="Normal 2 15 5" xfId="1972" xr:uid="{00000000-0005-0000-0000-00007B130000}"/>
    <cellStyle name="Normal 2 16" xfId="509" xr:uid="{00000000-0005-0000-0000-00007C130000}"/>
    <cellStyle name="Normal 2 16 2" xfId="510" xr:uid="{00000000-0005-0000-0000-00007D130000}"/>
    <cellStyle name="Normal 2 16 2 2" xfId="3568" xr:uid="{00000000-0005-0000-0000-00007E130000}"/>
    <cellStyle name="Normal 2 16 2 3" xfId="5180" xr:uid="{00000000-0005-0000-0000-00007F130000}"/>
    <cellStyle name="Normal 2 16 2 4" xfId="7522" xr:uid="{00000000-0005-0000-0000-000080130000}"/>
    <cellStyle name="Normal 2 16 2 5" xfId="2289" xr:uid="{00000000-0005-0000-0000-000081130000}"/>
    <cellStyle name="Normal 2 16 3" xfId="4145" xr:uid="{00000000-0005-0000-0000-000082130000}"/>
    <cellStyle name="Normal 2 16 4" xfId="6427" xr:uid="{00000000-0005-0000-0000-000083130000}"/>
    <cellStyle name="Normal 2 16 5" xfId="1174" xr:uid="{00000000-0005-0000-0000-000084130000}"/>
    <cellStyle name="Normal 2 17" xfId="511" xr:uid="{00000000-0005-0000-0000-000085130000}"/>
    <cellStyle name="Normal 2 17 2" xfId="512" xr:uid="{00000000-0005-0000-0000-000086130000}"/>
    <cellStyle name="Normal 2 17 2 2" xfId="4146" xr:uid="{00000000-0005-0000-0000-000087130000}"/>
    <cellStyle name="Normal 2 17 3" xfId="7523" xr:uid="{00000000-0005-0000-0000-000088130000}"/>
    <cellStyle name="Normal 2 17 4" xfId="2290" xr:uid="{00000000-0005-0000-0000-000089130000}"/>
    <cellStyle name="Normal 2 18" xfId="513" xr:uid="{00000000-0005-0000-0000-00008A130000}"/>
    <cellStyle name="Normal 2 18 2" xfId="4147" xr:uid="{00000000-0005-0000-0000-00008B130000}"/>
    <cellStyle name="Normal 2 18 3" xfId="7524" xr:uid="{00000000-0005-0000-0000-00008C130000}"/>
    <cellStyle name="Normal 2 18 4" xfId="2291" xr:uid="{00000000-0005-0000-0000-00008D130000}"/>
    <cellStyle name="Normal 2 19" xfId="514" xr:uid="{00000000-0005-0000-0000-00008E130000}"/>
    <cellStyle name="Normal 2 19 2" xfId="4148" xr:uid="{00000000-0005-0000-0000-00008F130000}"/>
    <cellStyle name="Normal 2 19 3" xfId="7525" xr:uid="{00000000-0005-0000-0000-000090130000}"/>
    <cellStyle name="Normal 2 19 4" xfId="2292" xr:uid="{00000000-0005-0000-0000-000091130000}"/>
    <cellStyle name="Normal 2 2" xfId="515" xr:uid="{00000000-0005-0000-0000-000092130000}"/>
    <cellStyle name="Normal 2 2 10" xfId="516" xr:uid="{00000000-0005-0000-0000-000093130000}"/>
    <cellStyle name="Normal 2 2 10 2" xfId="1872" xr:uid="{00000000-0005-0000-0000-000094130000}"/>
    <cellStyle name="Normal 2 2 10 2 2" xfId="5893" xr:uid="{00000000-0005-0000-0000-000095130000}"/>
    <cellStyle name="Normal 2 2 10 2 3" xfId="7119" xr:uid="{00000000-0005-0000-0000-000096130000}"/>
    <cellStyle name="Normal 2 2 10 3" xfId="2294" xr:uid="{00000000-0005-0000-0000-000097130000}"/>
    <cellStyle name="Normal 2 2 10 3 2" xfId="3692" xr:uid="{00000000-0005-0000-0000-000098130000}"/>
    <cellStyle name="Normal 2 2 10 3 3" xfId="5659" xr:uid="{00000000-0005-0000-0000-000099130000}"/>
    <cellStyle name="Normal 2 2 10 3 4" xfId="7526" xr:uid="{00000000-0005-0000-0000-00009A130000}"/>
    <cellStyle name="Normal 2 2 10 4" xfId="4149" xr:uid="{00000000-0005-0000-0000-00009B130000}"/>
    <cellStyle name="Normal 2 2 10 5" xfId="6884" xr:uid="{00000000-0005-0000-0000-00009C130000}"/>
    <cellStyle name="Normal 2 2 10 6" xfId="1633" xr:uid="{00000000-0005-0000-0000-00009D130000}"/>
    <cellStyle name="Normal 2 2 11" xfId="517" xr:uid="{00000000-0005-0000-0000-00009E130000}"/>
    <cellStyle name="Normal 2 2 11 2" xfId="2085" xr:uid="{00000000-0005-0000-0000-00009F130000}"/>
    <cellStyle name="Normal 2 2 11 2 2" xfId="6104" xr:uid="{00000000-0005-0000-0000-0000A0130000}"/>
    <cellStyle name="Normal 2 2 11 2 3" xfId="7332" xr:uid="{00000000-0005-0000-0000-0000A1130000}"/>
    <cellStyle name="Normal 2 2 11 3" xfId="2295" xr:uid="{00000000-0005-0000-0000-0000A2130000}"/>
    <cellStyle name="Normal 2 2 11 3 2" xfId="3708" xr:uid="{00000000-0005-0000-0000-0000A3130000}"/>
    <cellStyle name="Normal 2 2 11 3 3" xfId="6005" xr:uid="{00000000-0005-0000-0000-0000A4130000}"/>
    <cellStyle name="Normal 2 2 11 3 4" xfId="7527" xr:uid="{00000000-0005-0000-0000-0000A5130000}"/>
    <cellStyle name="Normal 2 2 11 4" xfId="4150" xr:uid="{00000000-0005-0000-0000-0000A6130000}"/>
    <cellStyle name="Normal 2 2 11 5" xfId="7233" xr:uid="{00000000-0005-0000-0000-0000A7130000}"/>
    <cellStyle name="Normal 2 2 11 6" xfId="1986" xr:uid="{00000000-0005-0000-0000-0000A8130000}"/>
    <cellStyle name="Normal 2 2 12" xfId="518" xr:uid="{00000000-0005-0000-0000-0000A9130000}"/>
    <cellStyle name="Normal 2 2 12 2" xfId="4151" xr:uid="{00000000-0005-0000-0000-0000AA130000}"/>
    <cellStyle name="Normal 2 2 12 3" xfId="7528" xr:uid="{00000000-0005-0000-0000-0000AB130000}"/>
    <cellStyle name="Normal 2 2 12 4" xfId="2296" xr:uid="{00000000-0005-0000-0000-0000AC130000}"/>
    <cellStyle name="Normal 2 2 13" xfId="2297" xr:uid="{00000000-0005-0000-0000-0000AD130000}"/>
    <cellStyle name="Normal 2 2 13 2" xfId="4152" xr:uid="{00000000-0005-0000-0000-0000AE130000}"/>
    <cellStyle name="Normal 2 2 13 3" xfId="7529" xr:uid="{00000000-0005-0000-0000-0000AF130000}"/>
    <cellStyle name="Normal 2 2 14" xfId="2298" xr:uid="{00000000-0005-0000-0000-0000B0130000}"/>
    <cellStyle name="Normal 2 2 14 2" xfId="4153" xr:uid="{00000000-0005-0000-0000-0000B1130000}"/>
    <cellStyle name="Normal 2 2 14 3" xfId="7530" xr:uid="{00000000-0005-0000-0000-0000B2130000}"/>
    <cellStyle name="Normal 2 2 15" xfId="2299" xr:uid="{00000000-0005-0000-0000-0000B3130000}"/>
    <cellStyle name="Normal 2 2 15 2" xfId="4154" xr:uid="{00000000-0005-0000-0000-0000B4130000}"/>
    <cellStyle name="Normal 2 2 15 3" xfId="7531" xr:uid="{00000000-0005-0000-0000-0000B5130000}"/>
    <cellStyle name="Normal 2 2 16" xfId="2300" xr:uid="{00000000-0005-0000-0000-0000B6130000}"/>
    <cellStyle name="Normal 2 2 16 2" xfId="2658" xr:uid="{00000000-0005-0000-0000-0000B7130000}"/>
    <cellStyle name="Normal 2 2 16 2 2" xfId="2931" xr:uid="{00000000-0005-0000-0000-0000B8130000}"/>
    <cellStyle name="Normal 2 2 16 2 2 2" xfId="4599" xr:uid="{00000000-0005-0000-0000-0000B9130000}"/>
    <cellStyle name="Normal 2 2 16 2 2 3" xfId="7987" xr:uid="{00000000-0005-0000-0000-0000BA130000}"/>
    <cellStyle name="Normal 2 2 16 2 3" xfId="3024" xr:uid="{00000000-0005-0000-0000-0000BB130000}"/>
    <cellStyle name="Normal 2 2 16 2 3 2" xfId="4683" xr:uid="{00000000-0005-0000-0000-0000BC130000}"/>
    <cellStyle name="Normal 2 2 16 2 3 3" xfId="8080" xr:uid="{00000000-0005-0000-0000-0000BD130000}"/>
    <cellStyle name="Normal 2 2 16 2 4" xfId="3847" xr:uid="{00000000-0005-0000-0000-0000BE130000}"/>
    <cellStyle name="Normal 2 2 16 2 4 2" xfId="6225" xr:uid="{00000000-0005-0000-0000-0000BF130000}"/>
    <cellStyle name="Normal 2 2 16 2 4 3" xfId="8758" xr:uid="{00000000-0005-0000-0000-0000C0130000}"/>
    <cellStyle name="Normal 2 2 16 2 5" xfId="2826" xr:uid="{00000000-0005-0000-0000-0000C1130000}"/>
    <cellStyle name="Normal 2 2 16 2 6" xfId="4156" xr:uid="{00000000-0005-0000-0000-0000C2130000}"/>
    <cellStyle name="Normal 2 2 16 2 7" xfId="7868" xr:uid="{00000000-0005-0000-0000-0000C3130000}"/>
    <cellStyle name="Normal 2 2 16 3" xfId="2916" xr:uid="{00000000-0005-0000-0000-0000C4130000}"/>
    <cellStyle name="Normal 2 2 16 3 2" xfId="4584" xr:uid="{00000000-0005-0000-0000-0000C5130000}"/>
    <cellStyle name="Normal 2 2 16 3 3" xfId="7973" xr:uid="{00000000-0005-0000-0000-0000C6130000}"/>
    <cellStyle name="Normal 2 2 16 4" xfId="3008" xr:uid="{00000000-0005-0000-0000-0000C7130000}"/>
    <cellStyle name="Normal 2 2 16 4 2" xfId="4668" xr:uid="{00000000-0005-0000-0000-0000C8130000}"/>
    <cellStyle name="Normal 2 2 16 4 3" xfId="8064" xr:uid="{00000000-0005-0000-0000-0000C9130000}"/>
    <cellStyle name="Normal 2 2 16 5" xfId="3766" xr:uid="{00000000-0005-0000-0000-0000CA130000}"/>
    <cellStyle name="Normal 2 2 16 5 2" xfId="6161" xr:uid="{00000000-0005-0000-0000-0000CB130000}"/>
    <cellStyle name="Normal 2 2 16 5 3" xfId="8678" xr:uid="{00000000-0005-0000-0000-0000CC130000}"/>
    <cellStyle name="Normal 2 2 16 6" xfId="2807" xr:uid="{00000000-0005-0000-0000-0000CD130000}"/>
    <cellStyle name="Normal 2 2 16 7" xfId="4155" xr:uid="{00000000-0005-0000-0000-0000CE130000}"/>
    <cellStyle name="Normal 2 2 16 8" xfId="7532" xr:uid="{00000000-0005-0000-0000-0000CF130000}"/>
    <cellStyle name="Normal 2 2 17" xfId="3868" xr:uid="{00000000-0005-0000-0000-0000D0130000}"/>
    <cellStyle name="Normal 2 2 18" xfId="6370" xr:uid="{00000000-0005-0000-0000-0000D1130000}"/>
    <cellStyle name="Normal 2 2 19" xfId="8872" xr:uid="{00000000-0005-0000-0000-0000D2130000}"/>
    <cellStyle name="Normal 2 2 2" xfId="519" xr:uid="{00000000-0005-0000-0000-0000D3130000}"/>
    <cellStyle name="Normal 2 2 2 10" xfId="1431" xr:uid="{00000000-0005-0000-0000-0000D4130000}"/>
    <cellStyle name="Normal 2 2 2 10 2" xfId="1871" xr:uid="{00000000-0005-0000-0000-0000D5130000}"/>
    <cellStyle name="Normal 2 2 2 10 2 2" xfId="5892" xr:uid="{00000000-0005-0000-0000-0000D6130000}"/>
    <cellStyle name="Normal 2 2 2 10 2 3" xfId="7118" xr:uid="{00000000-0005-0000-0000-0000D7130000}"/>
    <cellStyle name="Normal 2 2 2 10 3" xfId="5461" xr:uid="{00000000-0005-0000-0000-0000D8130000}"/>
    <cellStyle name="Normal 2 2 2 10 4" xfId="6683" xr:uid="{00000000-0005-0000-0000-0000D9130000}"/>
    <cellStyle name="Normal 2 2 2 11" xfId="1763" xr:uid="{00000000-0005-0000-0000-0000DA130000}"/>
    <cellStyle name="Normal 2 2 2 11 2" xfId="2086" xr:uid="{00000000-0005-0000-0000-0000DB130000}"/>
    <cellStyle name="Normal 2 2 2 11 2 2" xfId="6105" xr:uid="{00000000-0005-0000-0000-0000DC130000}"/>
    <cellStyle name="Normal 2 2 2 11 2 3" xfId="7333" xr:uid="{00000000-0005-0000-0000-0000DD130000}"/>
    <cellStyle name="Normal 2 2 2 11 3" xfId="5785" xr:uid="{00000000-0005-0000-0000-0000DE130000}"/>
    <cellStyle name="Normal 2 2 2 11 4" xfId="7010" xr:uid="{00000000-0005-0000-0000-0000DF130000}"/>
    <cellStyle name="Normal 2 2 2 12" xfId="1200" xr:uid="{00000000-0005-0000-0000-0000E0130000}"/>
    <cellStyle name="Normal 2 2 2 12 2" xfId="5242" xr:uid="{00000000-0005-0000-0000-0000E1130000}"/>
    <cellStyle name="Normal 2 2 2 12 3" xfId="6452" xr:uid="{00000000-0005-0000-0000-0000E2130000}"/>
    <cellStyle name="Normal 2 2 2 13" xfId="2301" xr:uid="{00000000-0005-0000-0000-0000E3130000}"/>
    <cellStyle name="Normal 2 2 2 14" xfId="4157" xr:uid="{00000000-0005-0000-0000-0000E4130000}"/>
    <cellStyle name="Normal 2 2 2 15" xfId="6371" xr:uid="{00000000-0005-0000-0000-0000E5130000}"/>
    <cellStyle name="Normal 2 2 2 16" xfId="1099" xr:uid="{00000000-0005-0000-0000-0000E6130000}"/>
    <cellStyle name="Normal 2 2 2 2" xfId="520" xr:uid="{00000000-0005-0000-0000-0000E7130000}"/>
    <cellStyle name="Normal 2 2 2 2 10" xfId="996" xr:uid="{00000000-0005-0000-0000-0000E8130000}"/>
    <cellStyle name="Normal 2 2 2 2 11" xfId="988" xr:uid="{00000000-0005-0000-0000-0000E9130000}"/>
    <cellStyle name="Normal 2 2 2 2 2" xfId="521" xr:uid="{00000000-0005-0000-0000-0000EA130000}"/>
    <cellStyle name="Normal 2 2 2 2 2 10" xfId="1272" xr:uid="{00000000-0005-0000-0000-0000EB130000}"/>
    <cellStyle name="Normal 2 2 2 2 2 2" xfId="1356" xr:uid="{00000000-0005-0000-0000-0000EC130000}"/>
    <cellStyle name="Normal 2 2 2 2 2 2 2" xfId="1357" xr:uid="{00000000-0005-0000-0000-0000ED130000}"/>
    <cellStyle name="Normal 2 2 2 2 2 2 2 2" xfId="1624" xr:uid="{00000000-0005-0000-0000-0000EE130000}"/>
    <cellStyle name="Normal 2 2 2 2 2 2 2 2 2" xfId="1625" xr:uid="{00000000-0005-0000-0000-0000EF130000}"/>
    <cellStyle name="Normal 2 2 2 2 2 2 2 2 2 2" xfId="1984" xr:uid="{00000000-0005-0000-0000-0000F0130000}"/>
    <cellStyle name="Normal 2 2 2 2 2 2 2 2 2 2 2" xfId="1985" xr:uid="{00000000-0005-0000-0000-0000F1130000}"/>
    <cellStyle name="Normal 2 2 2 2 2 2 2 2 2 2 2 2" xfId="2083" xr:uid="{00000000-0005-0000-0000-0000F2130000}"/>
    <cellStyle name="Normal 2 2 2 2 2 2 2 2 2 2 2 2 2" xfId="2084" xr:uid="{00000000-0005-0000-0000-0000F3130000}"/>
    <cellStyle name="Normal 2 2 2 2 2 2 2 2 2 2 2 2 2 2" xfId="6103" xr:uid="{00000000-0005-0000-0000-0000F4130000}"/>
    <cellStyle name="Normal 2 2 2 2 2 2 2 2 2 2 2 2 2 3" xfId="7331" xr:uid="{00000000-0005-0000-0000-0000F5130000}"/>
    <cellStyle name="Normal 2 2 2 2 2 2 2 2 2 2 2 2 3" xfId="6102" xr:uid="{00000000-0005-0000-0000-0000F6130000}"/>
    <cellStyle name="Normal 2 2 2 2 2 2 2 2 2 2 2 2 4" xfId="7330" xr:uid="{00000000-0005-0000-0000-0000F7130000}"/>
    <cellStyle name="Normal 2 2 2 2 2 2 2 2 2 2 2 3" xfId="2096" xr:uid="{00000000-0005-0000-0000-0000F8130000}"/>
    <cellStyle name="Normal 2 2 2 2 2 2 2 2 2 2 2 3 2" xfId="6113" xr:uid="{00000000-0005-0000-0000-0000F9130000}"/>
    <cellStyle name="Normal 2 2 2 2 2 2 2 2 2 2 2 3 3" xfId="7341" xr:uid="{00000000-0005-0000-0000-0000FA130000}"/>
    <cellStyle name="Normal 2 2 2 2 2 2 2 2 2 2 2 4" xfId="6004" xr:uid="{00000000-0005-0000-0000-0000FB130000}"/>
    <cellStyle name="Normal 2 2 2 2 2 2 2 2 2 2 2 5" xfId="7232" xr:uid="{00000000-0005-0000-0000-0000FC130000}"/>
    <cellStyle name="Normal 2 2 2 2 2 2 2 2 2 2 3" xfId="2080" xr:uid="{00000000-0005-0000-0000-0000FD130000}"/>
    <cellStyle name="Normal 2 2 2 2 2 2 2 2 2 2 3 2" xfId="2095" xr:uid="{00000000-0005-0000-0000-0000FE130000}"/>
    <cellStyle name="Normal 2 2 2 2 2 2 2 2 2 2 3 2 2" xfId="6112" xr:uid="{00000000-0005-0000-0000-0000FF130000}"/>
    <cellStyle name="Normal 2 2 2 2 2 2 2 2 2 2 3 2 3" xfId="7340" xr:uid="{00000000-0005-0000-0000-000000140000}"/>
    <cellStyle name="Normal 2 2 2 2 2 2 2 2 2 2 3 3" xfId="6099" xr:uid="{00000000-0005-0000-0000-000001140000}"/>
    <cellStyle name="Normal 2 2 2 2 2 2 2 2 2 2 3 4" xfId="7327" xr:uid="{00000000-0005-0000-0000-000002140000}"/>
    <cellStyle name="Normal 2 2 2 2 2 2 2 2 2 2 4" xfId="6003" xr:uid="{00000000-0005-0000-0000-000003140000}"/>
    <cellStyle name="Normal 2 2 2 2 2 2 2 2 2 2 5" xfId="7231" xr:uid="{00000000-0005-0000-0000-000004140000}"/>
    <cellStyle name="Normal 2 2 2 2 2 2 2 2 2 3" xfId="2079" xr:uid="{00000000-0005-0000-0000-000005140000}"/>
    <cellStyle name="Normal 2 2 2 2 2 2 2 2 2 3 2" xfId="2094" xr:uid="{00000000-0005-0000-0000-000006140000}"/>
    <cellStyle name="Normal 2 2 2 2 2 2 2 2 2 3 2 2" xfId="6111" xr:uid="{00000000-0005-0000-0000-000007140000}"/>
    <cellStyle name="Normal 2 2 2 2 2 2 2 2 2 3 2 3" xfId="7339" xr:uid="{00000000-0005-0000-0000-000008140000}"/>
    <cellStyle name="Normal 2 2 2 2 2 2 2 2 2 3 3" xfId="6098" xr:uid="{00000000-0005-0000-0000-000009140000}"/>
    <cellStyle name="Normal 2 2 2 2 2 2 2 2 2 3 4" xfId="7326" xr:uid="{00000000-0005-0000-0000-00000A140000}"/>
    <cellStyle name="Normal 2 2 2 2 2 2 2 2 2 4" xfId="5651" xr:uid="{00000000-0005-0000-0000-00000B140000}"/>
    <cellStyle name="Normal 2 2 2 2 2 2 2 2 2 5" xfId="6876" xr:uid="{00000000-0005-0000-0000-00000C140000}"/>
    <cellStyle name="Normal 2 2 2 2 2 2 2 2 3" xfId="1826" xr:uid="{00000000-0005-0000-0000-00000D140000}"/>
    <cellStyle name="Normal 2 2 2 2 2 2 2 2 3 2" xfId="5847" xr:uid="{00000000-0005-0000-0000-00000E140000}"/>
    <cellStyle name="Normal 2 2 2 2 2 2 2 2 3 3" xfId="7073" xr:uid="{00000000-0005-0000-0000-00000F140000}"/>
    <cellStyle name="Normal 2 2 2 2 2 2 2 2 4" xfId="1995" xr:uid="{00000000-0005-0000-0000-000010140000}"/>
    <cellStyle name="Normal 2 2 2 2 2 2 2 2 4 2" xfId="2093" xr:uid="{00000000-0005-0000-0000-000011140000}"/>
    <cellStyle name="Normal 2 2 2 2 2 2 2 2 4 2 2" xfId="6110" xr:uid="{00000000-0005-0000-0000-000012140000}"/>
    <cellStyle name="Normal 2 2 2 2 2 2 2 2 4 2 3" xfId="7338" xr:uid="{00000000-0005-0000-0000-000013140000}"/>
    <cellStyle name="Normal 2 2 2 2 2 2 2 2 4 3" xfId="6014" xr:uid="{00000000-0005-0000-0000-000014140000}"/>
    <cellStyle name="Normal 2 2 2 2 2 2 2 2 4 4" xfId="7242" xr:uid="{00000000-0005-0000-0000-000015140000}"/>
    <cellStyle name="Normal 2 2 2 2 2 2 2 2 5" xfId="5650" xr:uid="{00000000-0005-0000-0000-000016140000}"/>
    <cellStyle name="Normal 2 2 2 2 2 2 2 2 6" xfId="6875" xr:uid="{00000000-0005-0000-0000-000017140000}"/>
    <cellStyle name="Normal 2 2 2 2 2 2 2 3" xfId="1678" xr:uid="{00000000-0005-0000-0000-000018140000}"/>
    <cellStyle name="Normal 2 2 2 2 2 2 2 3 2" xfId="5702" xr:uid="{00000000-0005-0000-0000-000019140000}"/>
    <cellStyle name="Normal 2 2 2 2 2 2 2 3 3" xfId="6927" xr:uid="{00000000-0005-0000-0000-00001A140000}"/>
    <cellStyle name="Normal 2 2 2 2 2 2 2 4" xfId="1825" xr:uid="{00000000-0005-0000-0000-00001B140000}"/>
    <cellStyle name="Normal 2 2 2 2 2 2 2 4 2" xfId="1879" xr:uid="{00000000-0005-0000-0000-00001C140000}"/>
    <cellStyle name="Normal 2 2 2 2 2 2 2 4 2 2" xfId="5899" xr:uid="{00000000-0005-0000-0000-00001D140000}"/>
    <cellStyle name="Normal 2 2 2 2 2 2 2 4 2 3" xfId="7126" xr:uid="{00000000-0005-0000-0000-00001E140000}"/>
    <cellStyle name="Normal 2 2 2 2 2 2 2 4 3" xfId="5846" xr:uid="{00000000-0005-0000-0000-00001F140000}"/>
    <cellStyle name="Normal 2 2 2 2 2 2 2 4 4" xfId="7072" xr:uid="{00000000-0005-0000-0000-000020140000}"/>
    <cellStyle name="Normal 2 2 2 2 2 2 2 5" xfId="2006" xr:uid="{00000000-0005-0000-0000-000021140000}"/>
    <cellStyle name="Normal 2 2 2 2 2 2 2 5 2" xfId="2090" xr:uid="{00000000-0005-0000-0000-000022140000}"/>
    <cellStyle name="Normal 2 2 2 2 2 2 2 5 2 2" xfId="6109" xr:uid="{00000000-0005-0000-0000-000023140000}"/>
    <cellStyle name="Normal 2 2 2 2 2 2 2 5 2 3" xfId="7337" xr:uid="{00000000-0005-0000-0000-000024140000}"/>
    <cellStyle name="Normal 2 2 2 2 2 2 2 5 3" xfId="6025" xr:uid="{00000000-0005-0000-0000-000025140000}"/>
    <cellStyle name="Normal 2 2 2 2 2 2 2 5 4" xfId="7253" xr:uid="{00000000-0005-0000-0000-000026140000}"/>
    <cellStyle name="Normal 2 2 2 2 2 2 2 6" xfId="5391" xr:uid="{00000000-0005-0000-0000-000027140000}"/>
    <cellStyle name="Normal 2 2 2 2 2 2 2 7" xfId="6609" xr:uid="{00000000-0005-0000-0000-000028140000}"/>
    <cellStyle name="Normal 2 2 2 2 2 2 3" xfId="1544" xr:uid="{00000000-0005-0000-0000-000029140000}"/>
    <cellStyle name="Normal 2 2 2 2 2 2 3 2" xfId="1677" xr:uid="{00000000-0005-0000-0000-00002A140000}"/>
    <cellStyle name="Normal 2 2 2 2 2 2 3 2 2" xfId="1950" xr:uid="{00000000-0005-0000-0000-00002B140000}"/>
    <cellStyle name="Normal 2 2 2 2 2 2 3 2 2 2" xfId="2020" xr:uid="{00000000-0005-0000-0000-00002C140000}"/>
    <cellStyle name="Normal 2 2 2 2 2 2 3 2 2 2 2" xfId="6039" xr:uid="{00000000-0005-0000-0000-00002D140000}"/>
    <cellStyle name="Normal 2 2 2 2 2 2 3 2 2 2 3" xfId="7267" xr:uid="{00000000-0005-0000-0000-00002E140000}"/>
    <cellStyle name="Normal 2 2 2 2 2 2 3 2 2 3" xfId="5970" xr:uid="{00000000-0005-0000-0000-00002F140000}"/>
    <cellStyle name="Normal 2 2 2 2 2 2 3 2 2 4" xfId="7197" xr:uid="{00000000-0005-0000-0000-000030140000}"/>
    <cellStyle name="Normal 2 2 2 2 2 2 3 2 3" xfId="5701" xr:uid="{00000000-0005-0000-0000-000031140000}"/>
    <cellStyle name="Normal 2 2 2 2 2 2 3 2 4" xfId="6926" xr:uid="{00000000-0005-0000-0000-000032140000}"/>
    <cellStyle name="Normal 2 2 2 2 2 2 3 3" xfId="1876" xr:uid="{00000000-0005-0000-0000-000033140000}"/>
    <cellStyle name="Normal 2 2 2 2 2 2 3 3 2" xfId="5896" xr:uid="{00000000-0005-0000-0000-000034140000}"/>
    <cellStyle name="Normal 2 2 2 2 2 2 3 3 3" xfId="7123" xr:uid="{00000000-0005-0000-0000-000035140000}"/>
    <cellStyle name="Normal 2 2 2 2 2 2 3 4" xfId="5571" xr:uid="{00000000-0005-0000-0000-000036140000}"/>
    <cellStyle name="Normal 2 2 2 2 2 2 3 5" xfId="6796" xr:uid="{00000000-0005-0000-0000-000037140000}"/>
    <cellStyle name="Normal 2 2 2 2 2 2 4" xfId="1749" xr:uid="{00000000-0005-0000-0000-000038140000}"/>
    <cellStyle name="Normal 2 2 2 2 2 2 4 2" xfId="1880" xr:uid="{00000000-0005-0000-0000-000039140000}"/>
    <cellStyle name="Normal 2 2 2 2 2 2 4 2 2" xfId="5900" xr:uid="{00000000-0005-0000-0000-00003A140000}"/>
    <cellStyle name="Normal 2 2 2 2 2 2 4 2 3" xfId="7127" xr:uid="{00000000-0005-0000-0000-00003B140000}"/>
    <cellStyle name="Normal 2 2 2 2 2 2 4 3" xfId="5771" xr:uid="{00000000-0005-0000-0000-00003C140000}"/>
    <cellStyle name="Normal 2 2 2 2 2 2 4 4" xfId="6996" xr:uid="{00000000-0005-0000-0000-00003D140000}"/>
    <cellStyle name="Normal 2 2 2 2 2 2 5" xfId="1934" xr:uid="{00000000-0005-0000-0000-00003E140000}"/>
    <cellStyle name="Normal 2 2 2 2 2 2 5 2" xfId="2089" xr:uid="{00000000-0005-0000-0000-00003F140000}"/>
    <cellStyle name="Normal 2 2 2 2 2 2 5 2 2" xfId="6108" xr:uid="{00000000-0005-0000-0000-000040140000}"/>
    <cellStyle name="Normal 2 2 2 2 2 2 5 2 3" xfId="7336" xr:uid="{00000000-0005-0000-0000-000041140000}"/>
    <cellStyle name="Normal 2 2 2 2 2 2 5 3" xfId="5954" xr:uid="{00000000-0005-0000-0000-000042140000}"/>
    <cellStyle name="Normal 2 2 2 2 2 2 5 4" xfId="7181" xr:uid="{00000000-0005-0000-0000-000043140000}"/>
    <cellStyle name="Normal 2 2 2 2 2 2 6" xfId="5390" xr:uid="{00000000-0005-0000-0000-000044140000}"/>
    <cellStyle name="Normal 2 2 2 2 2 2 7" xfId="6608" xr:uid="{00000000-0005-0000-0000-000045140000}"/>
    <cellStyle name="Normal 2 2 2 2 2 3" xfId="1366" xr:uid="{00000000-0005-0000-0000-000046140000}"/>
    <cellStyle name="Normal 2 2 2 2 2 3 2" xfId="5399" xr:uid="{00000000-0005-0000-0000-000047140000}"/>
    <cellStyle name="Normal 2 2 2 2 2 3 3" xfId="6618" xr:uid="{00000000-0005-0000-0000-000048140000}"/>
    <cellStyle name="Normal 2 2 2 2 2 4" xfId="1542" xr:uid="{00000000-0005-0000-0000-000049140000}"/>
    <cellStyle name="Normal 2 2 2 2 2 4 2" xfId="1676" xr:uid="{00000000-0005-0000-0000-00004A140000}"/>
    <cellStyle name="Normal 2 2 2 2 2 4 2 2" xfId="1949" xr:uid="{00000000-0005-0000-0000-00004B140000}"/>
    <cellStyle name="Normal 2 2 2 2 2 4 2 2 2" xfId="2019" xr:uid="{00000000-0005-0000-0000-00004C140000}"/>
    <cellStyle name="Normal 2 2 2 2 2 4 2 2 2 2" xfId="6038" xr:uid="{00000000-0005-0000-0000-00004D140000}"/>
    <cellStyle name="Normal 2 2 2 2 2 4 2 2 2 3" xfId="7266" xr:uid="{00000000-0005-0000-0000-00004E140000}"/>
    <cellStyle name="Normal 2 2 2 2 2 4 2 2 3" xfId="5969" xr:uid="{00000000-0005-0000-0000-00004F140000}"/>
    <cellStyle name="Normal 2 2 2 2 2 4 2 2 4" xfId="7196" xr:uid="{00000000-0005-0000-0000-000050140000}"/>
    <cellStyle name="Normal 2 2 2 2 2 4 2 3" xfId="5700" xr:uid="{00000000-0005-0000-0000-000051140000}"/>
    <cellStyle name="Normal 2 2 2 2 2 4 2 4" xfId="6925" xr:uid="{00000000-0005-0000-0000-000052140000}"/>
    <cellStyle name="Normal 2 2 2 2 2 4 3" xfId="1874" xr:uid="{00000000-0005-0000-0000-000053140000}"/>
    <cellStyle name="Normal 2 2 2 2 2 4 3 2" xfId="5895" xr:uid="{00000000-0005-0000-0000-000054140000}"/>
    <cellStyle name="Normal 2 2 2 2 2 4 3 3" xfId="7121" xr:uid="{00000000-0005-0000-0000-000055140000}"/>
    <cellStyle name="Normal 2 2 2 2 2 4 4" xfId="5569" xr:uid="{00000000-0005-0000-0000-000056140000}"/>
    <cellStyle name="Normal 2 2 2 2 2 4 5" xfId="6794" xr:uid="{00000000-0005-0000-0000-000057140000}"/>
    <cellStyle name="Normal 2 2 2 2 2 5" xfId="1747" xr:uid="{00000000-0005-0000-0000-000058140000}"/>
    <cellStyle name="Normal 2 2 2 2 2 5 2" xfId="1482" xr:uid="{00000000-0005-0000-0000-000059140000}"/>
    <cellStyle name="Normal 2 2 2 2 2 5 2 2" xfId="5510" xr:uid="{00000000-0005-0000-0000-00005A140000}"/>
    <cellStyle name="Normal 2 2 2 2 2 5 2 3" xfId="6734" xr:uid="{00000000-0005-0000-0000-00005B140000}"/>
    <cellStyle name="Normal 2 2 2 2 2 5 3" xfId="5769" xr:uid="{00000000-0005-0000-0000-00005C140000}"/>
    <cellStyle name="Normal 2 2 2 2 2 5 4" xfId="6994" xr:uid="{00000000-0005-0000-0000-00005D140000}"/>
    <cellStyle name="Normal 2 2 2 2 2 6" xfId="2004" xr:uid="{00000000-0005-0000-0000-00005E140000}"/>
    <cellStyle name="Normal 2 2 2 2 2 6 2" xfId="2088" xr:uid="{00000000-0005-0000-0000-00005F140000}"/>
    <cellStyle name="Normal 2 2 2 2 2 6 2 2" xfId="6107" xr:uid="{00000000-0005-0000-0000-000060140000}"/>
    <cellStyle name="Normal 2 2 2 2 2 6 2 3" xfId="7335" xr:uid="{00000000-0005-0000-0000-000061140000}"/>
    <cellStyle name="Normal 2 2 2 2 2 6 3" xfId="6023" xr:uid="{00000000-0005-0000-0000-000062140000}"/>
    <cellStyle name="Normal 2 2 2 2 2 6 4" xfId="7251" xr:uid="{00000000-0005-0000-0000-000063140000}"/>
    <cellStyle name="Normal 2 2 2 2 2 7" xfId="3638" xr:uid="{00000000-0005-0000-0000-000064140000}"/>
    <cellStyle name="Normal 2 2 2 2 2 7 2" xfId="5309" xr:uid="{00000000-0005-0000-0000-000065140000}"/>
    <cellStyle name="Normal 2 2 2 2 2 7 3" xfId="8598" xr:uid="{00000000-0005-0000-0000-000066140000}"/>
    <cellStyle name="Normal 2 2 2 2 2 8" xfId="4159" xr:uid="{00000000-0005-0000-0000-000067140000}"/>
    <cellStyle name="Normal 2 2 2 2 2 9" xfId="6524" xr:uid="{00000000-0005-0000-0000-000068140000}"/>
    <cellStyle name="Normal 2 2 2 2 3" xfId="522" xr:uid="{00000000-0005-0000-0000-000069140000}"/>
    <cellStyle name="Normal 2 2 2 2 3 2" xfId="1365" xr:uid="{00000000-0005-0000-0000-00006A140000}"/>
    <cellStyle name="Normal 2 2 2 2 3 2 2" xfId="5398" xr:uid="{00000000-0005-0000-0000-00006B140000}"/>
    <cellStyle name="Normal 2 2 2 2 3 2 3" xfId="6617" xr:uid="{00000000-0005-0000-0000-00006C140000}"/>
    <cellStyle name="Normal 2 2 2 2 3 3" xfId="5355" xr:uid="{00000000-0005-0000-0000-00006D140000}"/>
    <cellStyle name="Normal 2 2 2 2 3 4" xfId="6571" xr:uid="{00000000-0005-0000-0000-00006E140000}"/>
    <cellStyle name="Normal 2 2 2 2 3 5" xfId="1319" xr:uid="{00000000-0005-0000-0000-00006F140000}"/>
    <cellStyle name="Normal 2 2 2 2 4" xfId="523" xr:uid="{00000000-0005-0000-0000-000070140000}"/>
    <cellStyle name="Normal 2 2 2 2 4 2" xfId="1675" xr:uid="{00000000-0005-0000-0000-000071140000}"/>
    <cellStyle name="Normal 2 2 2 2 4 2 2" xfId="1911" xr:uid="{00000000-0005-0000-0000-000072140000}"/>
    <cellStyle name="Normal 2 2 2 2 4 2 2 2" xfId="2018" xr:uid="{00000000-0005-0000-0000-000073140000}"/>
    <cellStyle name="Normal 2 2 2 2 4 2 2 2 2" xfId="6037" xr:uid="{00000000-0005-0000-0000-000074140000}"/>
    <cellStyle name="Normal 2 2 2 2 4 2 2 2 3" xfId="7265" xr:uid="{00000000-0005-0000-0000-000075140000}"/>
    <cellStyle name="Normal 2 2 2 2 4 2 2 3" xfId="5931" xr:uid="{00000000-0005-0000-0000-000076140000}"/>
    <cellStyle name="Normal 2 2 2 2 4 2 2 4" xfId="7158" xr:uid="{00000000-0005-0000-0000-000077140000}"/>
    <cellStyle name="Normal 2 2 2 2 4 2 3" xfId="5699" xr:uid="{00000000-0005-0000-0000-000078140000}"/>
    <cellStyle name="Normal 2 2 2 2 4 2 4" xfId="6924" xr:uid="{00000000-0005-0000-0000-000079140000}"/>
    <cellStyle name="Normal 2 2 2 2 4 3" xfId="1873" xr:uid="{00000000-0005-0000-0000-00007A140000}"/>
    <cellStyle name="Normal 2 2 2 2 4 3 2" xfId="5894" xr:uid="{00000000-0005-0000-0000-00007B140000}"/>
    <cellStyle name="Normal 2 2 2 2 4 3 3" xfId="7120" xr:uid="{00000000-0005-0000-0000-00007C140000}"/>
    <cellStyle name="Normal 2 2 2 2 4 4" xfId="5498" xr:uid="{00000000-0005-0000-0000-00007D140000}"/>
    <cellStyle name="Normal 2 2 2 2 4 5" xfId="6722" xr:uid="{00000000-0005-0000-0000-00007E140000}"/>
    <cellStyle name="Normal 2 2 2 2 4 6" xfId="1470" xr:uid="{00000000-0005-0000-0000-00007F140000}"/>
    <cellStyle name="Normal 2 2 2 2 5" xfId="1420" xr:uid="{00000000-0005-0000-0000-000080140000}"/>
    <cellStyle name="Normal 2 2 2 2 5 2" xfId="1479" xr:uid="{00000000-0005-0000-0000-000081140000}"/>
    <cellStyle name="Normal 2 2 2 2 5 2 2" xfId="5507" xr:uid="{00000000-0005-0000-0000-000082140000}"/>
    <cellStyle name="Normal 2 2 2 2 5 2 3" xfId="6731" xr:uid="{00000000-0005-0000-0000-000083140000}"/>
    <cellStyle name="Normal 2 2 2 2 5 3" xfId="5450" xr:uid="{00000000-0005-0000-0000-000084140000}"/>
    <cellStyle name="Normal 2 2 2 2 5 4" xfId="6672" xr:uid="{00000000-0005-0000-0000-000085140000}"/>
    <cellStyle name="Normal 2 2 2 2 6" xfId="1807" xr:uid="{00000000-0005-0000-0000-000086140000}"/>
    <cellStyle name="Normal 2 2 2 2 6 2" xfId="2087" xr:uid="{00000000-0005-0000-0000-000087140000}"/>
    <cellStyle name="Normal 2 2 2 2 6 2 2" xfId="6106" xr:uid="{00000000-0005-0000-0000-000088140000}"/>
    <cellStyle name="Normal 2 2 2 2 6 2 3" xfId="7334" xr:uid="{00000000-0005-0000-0000-000089140000}"/>
    <cellStyle name="Normal 2 2 2 2 6 3" xfId="5828" xr:uid="{00000000-0005-0000-0000-00008A140000}"/>
    <cellStyle name="Normal 2 2 2 2 6 4" xfId="7054" xr:uid="{00000000-0005-0000-0000-00008B140000}"/>
    <cellStyle name="Normal 2 2 2 2 7" xfId="2674" xr:uid="{00000000-0005-0000-0000-00008C140000}"/>
    <cellStyle name="Normal 2 2 2 2 8" xfId="4158" xr:uid="{00000000-0005-0000-0000-00008D140000}"/>
    <cellStyle name="Normal 2 2 2 2 9" xfId="6278" xr:uid="{00000000-0005-0000-0000-00008E140000}"/>
    <cellStyle name="Normal 2 2 2 3" xfId="524" xr:uid="{00000000-0005-0000-0000-00008F140000}"/>
    <cellStyle name="Normal 2 2 2 3 2" xfId="2678" xr:uid="{00000000-0005-0000-0000-000090140000}"/>
    <cellStyle name="Normal 2 2 2 3 2 2" xfId="3652" xr:uid="{00000000-0005-0000-0000-000091140000}"/>
    <cellStyle name="Normal 2 2 2 3 2 3" xfId="5324" xr:uid="{00000000-0005-0000-0000-000092140000}"/>
    <cellStyle name="Normal 2 2 2 3 2 4" xfId="7874" xr:uid="{00000000-0005-0000-0000-000093140000}"/>
    <cellStyle name="Normal 2 2 2 3 3" xfId="4160" xr:uid="{00000000-0005-0000-0000-000094140000}"/>
    <cellStyle name="Normal 2 2 2 3 4" xfId="6540" xr:uid="{00000000-0005-0000-0000-000095140000}"/>
    <cellStyle name="Normal 2 2 2 3 5" xfId="1288" xr:uid="{00000000-0005-0000-0000-000096140000}"/>
    <cellStyle name="Normal 2 2 2 4" xfId="525" xr:uid="{00000000-0005-0000-0000-000097140000}"/>
    <cellStyle name="Normal 2 2 2 4 2" xfId="5325" xr:uid="{00000000-0005-0000-0000-000098140000}"/>
    <cellStyle name="Normal 2 2 2 4 3" xfId="6541" xr:uid="{00000000-0005-0000-0000-000099140000}"/>
    <cellStyle name="Normal 2 2 2 4 4" xfId="1289" xr:uid="{00000000-0005-0000-0000-00009A140000}"/>
    <cellStyle name="Normal 2 2 2 5" xfId="526" xr:uid="{00000000-0005-0000-0000-00009B140000}"/>
    <cellStyle name="Normal 2 2 2 5 2" xfId="5288" xr:uid="{00000000-0005-0000-0000-00009C140000}"/>
    <cellStyle name="Normal 2 2 2 5 3" xfId="6503" xr:uid="{00000000-0005-0000-0000-00009D140000}"/>
    <cellStyle name="Normal 2 2 2 5 4" xfId="1251" xr:uid="{00000000-0005-0000-0000-00009E140000}"/>
    <cellStyle name="Normal 2 2 2 6" xfId="1248" xr:uid="{00000000-0005-0000-0000-00009F140000}"/>
    <cellStyle name="Normal 2 2 2 6 2" xfId="5285" xr:uid="{00000000-0005-0000-0000-0000A0140000}"/>
    <cellStyle name="Normal 2 2 2 6 3" xfId="6500" xr:uid="{00000000-0005-0000-0000-0000A1140000}"/>
    <cellStyle name="Normal 2 2 2 7" xfId="1318" xr:uid="{00000000-0005-0000-0000-0000A2140000}"/>
    <cellStyle name="Normal 2 2 2 7 2" xfId="1337" xr:uid="{00000000-0005-0000-0000-0000A3140000}"/>
    <cellStyle name="Normal 2 2 2 7 2 2" xfId="5371" xr:uid="{00000000-0005-0000-0000-0000A4140000}"/>
    <cellStyle name="Normal 2 2 2 7 2 3" xfId="6589" xr:uid="{00000000-0005-0000-0000-0000A5140000}"/>
    <cellStyle name="Normal 2 2 2 7 3" xfId="5354" xr:uid="{00000000-0005-0000-0000-0000A6140000}"/>
    <cellStyle name="Normal 2 2 2 7 4" xfId="6570" xr:uid="{00000000-0005-0000-0000-0000A7140000}"/>
    <cellStyle name="Normal 2 2 2 8" xfId="1330" xr:uid="{00000000-0005-0000-0000-0000A8140000}"/>
    <cellStyle name="Normal 2 2 2 8 2" xfId="5366" xr:uid="{00000000-0005-0000-0000-0000A9140000}"/>
    <cellStyle name="Normal 2 2 2 8 3" xfId="6582" xr:uid="{00000000-0005-0000-0000-0000AA140000}"/>
    <cellStyle name="Normal 2 2 2 9" xfId="1467" xr:uid="{00000000-0005-0000-0000-0000AB140000}"/>
    <cellStyle name="Normal 2 2 2 9 2" xfId="1674" xr:uid="{00000000-0005-0000-0000-0000AC140000}"/>
    <cellStyle name="Normal 2 2 2 9 2 2" xfId="1910" xr:uid="{00000000-0005-0000-0000-0000AD140000}"/>
    <cellStyle name="Normal 2 2 2 9 2 2 2" xfId="2017" xr:uid="{00000000-0005-0000-0000-0000AE140000}"/>
    <cellStyle name="Normal 2 2 2 9 2 2 2 2" xfId="6036" xr:uid="{00000000-0005-0000-0000-0000AF140000}"/>
    <cellStyle name="Normal 2 2 2 9 2 2 2 3" xfId="7264" xr:uid="{00000000-0005-0000-0000-0000B0140000}"/>
    <cellStyle name="Normal 2 2 2 9 2 2 3" xfId="5930" xr:uid="{00000000-0005-0000-0000-0000B1140000}"/>
    <cellStyle name="Normal 2 2 2 9 2 2 4" xfId="7157" xr:uid="{00000000-0005-0000-0000-0000B2140000}"/>
    <cellStyle name="Normal 2 2 2 9 2 3" xfId="5698" xr:uid="{00000000-0005-0000-0000-0000B3140000}"/>
    <cellStyle name="Normal 2 2 2 9 2 4" xfId="6923" xr:uid="{00000000-0005-0000-0000-0000B4140000}"/>
    <cellStyle name="Normal 2 2 2 9 3" xfId="1870" xr:uid="{00000000-0005-0000-0000-0000B5140000}"/>
    <cellStyle name="Normal 2 2 2 9 3 2" xfId="5891" xr:uid="{00000000-0005-0000-0000-0000B6140000}"/>
    <cellStyle name="Normal 2 2 2 9 3 3" xfId="7117" xr:uid="{00000000-0005-0000-0000-0000B7140000}"/>
    <cellStyle name="Normal 2 2 2 9 4" xfId="5495" xr:uid="{00000000-0005-0000-0000-0000B8140000}"/>
    <cellStyle name="Normal 2 2 2 9 5" xfId="6719" xr:uid="{00000000-0005-0000-0000-0000B9140000}"/>
    <cellStyle name="Normal 2 2 20" xfId="1098" xr:uid="{00000000-0005-0000-0000-0000BA140000}"/>
    <cellStyle name="Normal 2 2 3" xfId="527" xr:uid="{00000000-0005-0000-0000-0000BB140000}"/>
    <cellStyle name="Normal 2 2 3 2" xfId="528" xr:uid="{00000000-0005-0000-0000-0000BC140000}"/>
    <cellStyle name="Normal 2 2 3 2 2" xfId="1353" xr:uid="{00000000-0005-0000-0000-0000BD140000}"/>
    <cellStyle name="Normal 2 2 3 2 2 2" xfId="1360" xr:uid="{00000000-0005-0000-0000-0000BE140000}"/>
    <cellStyle name="Normal 2 2 3 2 2 2 2" xfId="5393" xr:uid="{00000000-0005-0000-0000-0000BF140000}"/>
    <cellStyle name="Normal 2 2 3 2 2 2 3" xfId="6612" xr:uid="{00000000-0005-0000-0000-0000C0140000}"/>
    <cellStyle name="Normal 2 2 3 2 2 3" xfId="5387" xr:uid="{00000000-0005-0000-0000-0000C1140000}"/>
    <cellStyle name="Normal 2 2 3 2 2 4" xfId="6605" xr:uid="{00000000-0005-0000-0000-0000C2140000}"/>
    <cellStyle name="Normal 2 2 3 2 3" xfId="1369" xr:uid="{00000000-0005-0000-0000-0000C3140000}"/>
    <cellStyle name="Normal 2 2 3 2 3 2" xfId="5402" xr:uid="{00000000-0005-0000-0000-0000C4140000}"/>
    <cellStyle name="Normal 2 2 3 2 3 3" xfId="6621" xr:uid="{00000000-0005-0000-0000-0000C5140000}"/>
    <cellStyle name="Normal 2 2 3 2 4" xfId="2680" xr:uid="{00000000-0005-0000-0000-0000C6140000}"/>
    <cellStyle name="Normal 2 2 3 2 4 2" xfId="3651" xr:uid="{00000000-0005-0000-0000-0000C7140000}"/>
    <cellStyle name="Normal 2 2 3 2 4 3" xfId="5323" xr:uid="{00000000-0005-0000-0000-0000C8140000}"/>
    <cellStyle name="Normal 2 2 3 2 4 4" xfId="7875" xr:uid="{00000000-0005-0000-0000-0000C9140000}"/>
    <cellStyle name="Normal 2 2 3 2 5" xfId="4162" xr:uid="{00000000-0005-0000-0000-0000CA140000}"/>
    <cellStyle name="Normal 2 2 3 2 6" xfId="6539" xr:uid="{00000000-0005-0000-0000-0000CB140000}"/>
    <cellStyle name="Normal 2 2 3 2 7" xfId="1287" xr:uid="{00000000-0005-0000-0000-0000CC140000}"/>
    <cellStyle name="Normal 2 2 3 3" xfId="529" xr:uid="{00000000-0005-0000-0000-0000CD140000}"/>
    <cellStyle name="Normal 2 2 3 3 2" xfId="1362" xr:uid="{00000000-0005-0000-0000-0000CE140000}"/>
    <cellStyle name="Normal 2 2 3 3 2 2" xfId="5395" xr:uid="{00000000-0005-0000-0000-0000CF140000}"/>
    <cellStyle name="Normal 2 2 3 3 2 3" xfId="6614" xr:uid="{00000000-0005-0000-0000-0000D0140000}"/>
    <cellStyle name="Normal 2 2 3 3 3" xfId="5368" xr:uid="{00000000-0005-0000-0000-0000D1140000}"/>
    <cellStyle name="Normal 2 2 3 3 4" xfId="6584" xr:uid="{00000000-0005-0000-0000-0000D2140000}"/>
    <cellStyle name="Normal 2 2 3 3 5" xfId="1332" xr:uid="{00000000-0005-0000-0000-0000D3140000}"/>
    <cellStyle name="Normal 2 2 3 4" xfId="2302" xr:uid="{00000000-0005-0000-0000-0000D4140000}"/>
    <cellStyle name="Normal 2 2 3 4 2" xfId="3630" xr:uid="{00000000-0005-0000-0000-0000D5140000}"/>
    <cellStyle name="Normal 2 2 3 4 3" xfId="5281" xr:uid="{00000000-0005-0000-0000-0000D6140000}"/>
    <cellStyle name="Normal 2 2 3 4 4" xfId="7533" xr:uid="{00000000-0005-0000-0000-0000D7140000}"/>
    <cellStyle name="Normal 2 2 3 5" xfId="2679" xr:uid="{00000000-0005-0000-0000-0000D8140000}"/>
    <cellStyle name="Normal 2 2 3 6" xfId="4161" xr:uid="{00000000-0005-0000-0000-0000D9140000}"/>
    <cellStyle name="Normal 2 2 3 7" xfId="6496" xr:uid="{00000000-0005-0000-0000-0000DA140000}"/>
    <cellStyle name="Normal 2 2 3 8" xfId="1244" xr:uid="{00000000-0005-0000-0000-0000DB140000}"/>
    <cellStyle name="Normal 2 2 4" xfId="530" xr:uid="{00000000-0005-0000-0000-0000DC140000}"/>
    <cellStyle name="Normal 2 2 4 2" xfId="2303" xr:uid="{00000000-0005-0000-0000-0000DD140000}"/>
    <cellStyle name="Normal 2 2 4 2 2" xfId="3633" xr:uid="{00000000-0005-0000-0000-0000DE140000}"/>
    <cellStyle name="Normal 2 2 4 2 3" xfId="5287" xr:uid="{00000000-0005-0000-0000-0000DF140000}"/>
    <cellStyle name="Normal 2 2 4 2 4" xfId="7534" xr:uid="{00000000-0005-0000-0000-0000E0140000}"/>
    <cellStyle name="Normal 2 2 4 3" xfId="4163" xr:uid="{00000000-0005-0000-0000-0000E1140000}"/>
    <cellStyle name="Normal 2 2 4 4" xfId="6502" xr:uid="{00000000-0005-0000-0000-0000E2140000}"/>
    <cellStyle name="Normal 2 2 4 5" xfId="1250" xr:uid="{00000000-0005-0000-0000-0000E3140000}"/>
    <cellStyle name="Normal 2 2 5" xfId="531" xr:uid="{00000000-0005-0000-0000-0000E4140000}"/>
    <cellStyle name="Normal 2 2 5 2" xfId="2304" xr:uid="{00000000-0005-0000-0000-0000E5140000}"/>
    <cellStyle name="Normal 2 2 5 2 2" xfId="3650" xr:uid="{00000000-0005-0000-0000-0000E6140000}"/>
    <cellStyle name="Normal 2 2 5 2 3" xfId="5322" xr:uid="{00000000-0005-0000-0000-0000E7140000}"/>
    <cellStyle name="Normal 2 2 5 2 4" xfId="7535" xr:uid="{00000000-0005-0000-0000-0000E8140000}"/>
    <cellStyle name="Normal 2 2 5 3" xfId="4164" xr:uid="{00000000-0005-0000-0000-0000E9140000}"/>
    <cellStyle name="Normal 2 2 5 4" xfId="6538" xr:uid="{00000000-0005-0000-0000-0000EA140000}"/>
    <cellStyle name="Normal 2 2 5 5" xfId="1286" xr:uid="{00000000-0005-0000-0000-0000EB140000}"/>
    <cellStyle name="Normal 2 2 6" xfId="532" xr:uid="{00000000-0005-0000-0000-0000EC140000}"/>
    <cellStyle name="Normal 2 2 6 2" xfId="2305" xr:uid="{00000000-0005-0000-0000-0000ED140000}"/>
    <cellStyle name="Normal 2 2 6 2 2" xfId="3632" xr:uid="{00000000-0005-0000-0000-0000EE140000}"/>
    <cellStyle name="Normal 2 2 6 2 3" xfId="5283" xr:uid="{00000000-0005-0000-0000-0000EF140000}"/>
    <cellStyle name="Normal 2 2 6 2 4" xfId="7536" xr:uid="{00000000-0005-0000-0000-0000F0140000}"/>
    <cellStyle name="Normal 2 2 6 3" xfId="4165" xr:uid="{00000000-0005-0000-0000-0000F1140000}"/>
    <cellStyle name="Normal 2 2 6 4" xfId="6498" xr:uid="{00000000-0005-0000-0000-0000F2140000}"/>
    <cellStyle name="Normal 2 2 6 5" xfId="1246" xr:uid="{00000000-0005-0000-0000-0000F3140000}"/>
    <cellStyle name="Normal 2 2 7" xfId="533" xr:uid="{00000000-0005-0000-0000-0000F4140000}"/>
    <cellStyle name="Normal 2 2 7 2" xfId="1336" xr:uid="{00000000-0005-0000-0000-0000F5140000}"/>
    <cellStyle name="Normal 2 2 7 2 2" xfId="5370" xr:uid="{00000000-0005-0000-0000-0000F6140000}"/>
    <cellStyle name="Normal 2 2 7 2 3" xfId="6588" xr:uid="{00000000-0005-0000-0000-0000F7140000}"/>
    <cellStyle name="Normal 2 2 7 3" xfId="2306" xr:uid="{00000000-0005-0000-0000-0000F8140000}"/>
    <cellStyle name="Normal 2 2 7 3 2" xfId="3657" xr:uid="{00000000-0005-0000-0000-0000F9140000}"/>
    <cellStyle name="Normal 2 2 7 3 3" xfId="5331" xr:uid="{00000000-0005-0000-0000-0000FA140000}"/>
    <cellStyle name="Normal 2 2 7 3 4" xfId="7537" xr:uid="{00000000-0005-0000-0000-0000FB140000}"/>
    <cellStyle name="Normal 2 2 7 4" xfId="4166" xr:uid="{00000000-0005-0000-0000-0000FC140000}"/>
    <cellStyle name="Normal 2 2 7 5" xfId="6547" xr:uid="{00000000-0005-0000-0000-0000FD140000}"/>
    <cellStyle name="Normal 2 2 7 6" xfId="1295" xr:uid="{00000000-0005-0000-0000-0000FE140000}"/>
    <cellStyle name="Normal 2 2 8" xfId="534" xr:uid="{00000000-0005-0000-0000-0000FF140000}"/>
    <cellStyle name="Normal 2 2 8 2" xfId="2307" xr:uid="{00000000-0005-0000-0000-000000150000}"/>
    <cellStyle name="Normal 2 2 8 2 2" xfId="3665" xr:uid="{00000000-0005-0000-0000-000001150000}"/>
    <cellStyle name="Normal 2 2 8 2 3" xfId="5369" xr:uid="{00000000-0005-0000-0000-000002150000}"/>
    <cellStyle name="Normal 2 2 8 2 4" xfId="7538" xr:uid="{00000000-0005-0000-0000-000003150000}"/>
    <cellStyle name="Normal 2 2 8 3" xfId="4167" xr:uid="{00000000-0005-0000-0000-000004150000}"/>
    <cellStyle name="Normal 2 2 8 4" xfId="6587" xr:uid="{00000000-0005-0000-0000-000005150000}"/>
    <cellStyle name="Normal 2 2 8 5" xfId="1335" xr:uid="{00000000-0005-0000-0000-000006150000}"/>
    <cellStyle name="Normal 2 2 9" xfId="535" xr:uid="{00000000-0005-0000-0000-000007150000}"/>
    <cellStyle name="Normal 2 2 9 2" xfId="1673" xr:uid="{00000000-0005-0000-0000-000008150000}"/>
    <cellStyle name="Normal 2 2 9 2 2" xfId="1895" xr:uid="{00000000-0005-0000-0000-000009150000}"/>
    <cellStyle name="Normal 2 2 9 2 2 2" xfId="2016" xr:uid="{00000000-0005-0000-0000-00000A150000}"/>
    <cellStyle name="Normal 2 2 9 2 2 2 2" xfId="6035" xr:uid="{00000000-0005-0000-0000-00000B150000}"/>
    <cellStyle name="Normal 2 2 9 2 2 2 3" xfId="7263" xr:uid="{00000000-0005-0000-0000-00000C150000}"/>
    <cellStyle name="Normal 2 2 9 2 2 3" xfId="5915" xr:uid="{00000000-0005-0000-0000-00000D150000}"/>
    <cellStyle name="Normal 2 2 9 2 2 4" xfId="7142" xr:uid="{00000000-0005-0000-0000-00000E150000}"/>
    <cellStyle name="Normal 2 2 9 2 3" xfId="5697" xr:uid="{00000000-0005-0000-0000-00000F150000}"/>
    <cellStyle name="Normal 2 2 9 2 4" xfId="6922" xr:uid="{00000000-0005-0000-0000-000010150000}"/>
    <cellStyle name="Normal 2 2 9 3" xfId="1869" xr:uid="{00000000-0005-0000-0000-000011150000}"/>
    <cellStyle name="Normal 2 2 9 3 2" xfId="5890" xr:uid="{00000000-0005-0000-0000-000012150000}"/>
    <cellStyle name="Normal 2 2 9 3 3" xfId="7116" xr:uid="{00000000-0005-0000-0000-000013150000}"/>
    <cellStyle name="Normal 2 2 9 4" xfId="2308" xr:uid="{00000000-0005-0000-0000-000014150000}"/>
    <cellStyle name="Normal 2 2 9 4 2" xfId="3675" xr:uid="{00000000-0005-0000-0000-000015150000}"/>
    <cellStyle name="Normal 2 2 9 4 3" xfId="5472" xr:uid="{00000000-0005-0000-0000-000016150000}"/>
    <cellStyle name="Normal 2 2 9 4 4" xfId="7539" xr:uid="{00000000-0005-0000-0000-000017150000}"/>
    <cellStyle name="Normal 2 2 9 5" xfId="4168" xr:uid="{00000000-0005-0000-0000-000018150000}"/>
    <cellStyle name="Normal 2 2 9 6" xfId="6695" xr:uid="{00000000-0005-0000-0000-000019150000}"/>
    <cellStyle name="Normal 2 2 9 7" xfId="1443" xr:uid="{00000000-0005-0000-0000-00001A150000}"/>
    <cellStyle name="Normal 2 20" xfId="2309" xr:uid="{00000000-0005-0000-0000-00001B150000}"/>
    <cellStyle name="Normal 2 20 2" xfId="4169" xr:uid="{00000000-0005-0000-0000-00001C150000}"/>
    <cellStyle name="Normal 2 20 3" xfId="7540" xr:uid="{00000000-0005-0000-0000-00001D150000}"/>
    <cellStyle name="Normal 2 21" xfId="536" xr:uid="{00000000-0005-0000-0000-00001E150000}"/>
    <cellStyle name="Normal 2 21 2" xfId="4170" xr:uid="{00000000-0005-0000-0000-00001F150000}"/>
    <cellStyle name="Normal 2 21 3" xfId="7541" xr:uid="{00000000-0005-0000-0000-000020150000}"/>
    <cellStyle name="Normal 2 21 4" xfId="2310" xr:uid="{00000000-0005-0000-0000-000021150000}"/>
    <cellStyle name="Normal 2 22" xfId="2311" xr:uid="{00000000-0005-0000-0000-000022150000}"/>
    <cellStyle name="Normal 2 22 2" xfId="4171" xr:uid="{00000000-0005-0000-0000-000023150000}"/>
    <cellStyle name="Normal 2 22 3" xfId="7542" xr:uid="{00000000-0005-0000-0000-000024150000}"/>
    <cellStyle name="Normal 2 23" xfId="2312" xr:uid="{00000000-0005-0000-0000-000025150000}"/>
    <cellStyle name="Normal 2 23 2" xfId="4172" xr:uid="{00000000-0005-0000-0000-000026150000}"/>
    <cellStyle name="Normal 2 23 3" xfId="7543" xr:uid="{00000000-0005-0000-0000-000027150000}"/>
    <cellStyle name="Normal 2 24" xfId="2313" xr:uid="{00000000-0005-0000-0000-000028150000}"/>
    <cellStyle name="Normal 2 24 2" xfId="4173" xr:uid="{00000000-0005-0000-0000-000029150000}"/>
    <cellStyle name="Normal 2 24 3" xfId="7544" xr:uid="{00000000-0005-0000-0000-00002A150000}"/>
    <cellStyle name="Normal 2 25" xfId="2314" xr:uid="{00000000-0005-0000-0000-00002B150000}"/>
    <cellStyle name="Normal 2 25 2" xfId="4174" xr:uid="{00000000-0005-0000-0000-00002C150000}"/>
    <cellStyle name="Normal 2 25 3" xfId="7545" xr:uid="{00000000-0005-0000-0000-00002D150000}"/>
    <cellStyle name="Normal 2 26" xfId="2315" xr:uid="{00000000-0005-0000-0000-00002E150000}"/>
    <cellStyle name="Normal 2 26 2" xfId="4175" xr:uid="{00000000-0005-0000-0000-00002F150000}"/>
    <cellStyle name="Normal 2 26 3" xfId="7546" xr:uid="{00000000-0005-0000-0000-000030150000}"/>
    <cellStyle name="Normal 2 27" xfId="2316" xr:uid="{00000000-0005-0000-0000-000031150000}"/>
    <cellStyle name="Normal 2 27 2" xfId="4176" xr:uid="{00000000-0005-0000-0000-000032150000}"/>
    <cellStyle name="Normal 2 27 3" xfId="7547" xr:uid="{00000000-0005-0000-0000-000033150000}"/>
    <cellStyle name="Normal 2 28" xfId="2317" xr:uid="{00000000-0005-0000-0000-000034150000}"/>
    <cellStyle name="Normal 2 28 2" xfId="4177" xr:uid="{00000000-0005-0000-0000-000035150000}"/>
    <cellStyle name="Normal 2 28 3" xfId="7548" xr:uid="{00000000-0005-0000-0000-000036150000}"/>
    <cellStyle name="Normal 2 29" xfId="2318" xr:uid="{00000000-0005-0000-0000-000037150000}"/>
    <cellStyle name="Normal 2 29 2" xfId="4178" xr:uid="{00000000-0005-0000-0000-000038150000}"/>
    <cellStyle name="Normal 2 29 3" xfId="7549" xr:uid="{00000000-0005-0000-0000-000039150000}"/>
    <cellStyle name="Normal 2 3" xfId="537" xr:uid="{00000000-0005-0000-0000-00003A150000}"/>
    <cellStyle name="Normal 2 3 2" xfId="538" xr:uid="{00000000-0005-0000-0000-00003B150000}"/>
    <cellStyle name="Normal 2 3 2 2" xfId="2682" xr:uid="{00000000-0005-0000-0000-00003C150000}"/>
    <cellStyle name="Normal 2 3 2 2 2" xfId="4180" xr:uid="{00000000-0005-0000-0000-00003D150000}"/>
    <cellStyle name="Normal 2 3 2 2 3" xfId="7877" xr:uid="{00000000-0005-0000-0000-00003E150000}"/>
    <cellStyle name="Normal 2 3 2 3" xfId="2681" xr:uid="{00000000-0005-0000-0000-00003F150000}"/>
    <cellStyle name="Normal 2 3 2 3 2" xfId="3853" xr:uid="{00000000-0005-0000-0000-000040150000}"/>
    <cellStyle name="Normal 2 3 2 3 3" xfId="6229" xr:uid="{00000000-0005-0000-0000-000041150000}"/>
    <cellStyle name="Normal 2 3 2 3 4" xfId="7876" xr:uid="{00000000-0005-0000-0000-000042150000}"/>
    <cellStyle name="Normal 2 3 2 4" xfId="4179" xr:uid="{00000000-0005-0000-0000-000043150000}"/>
    <cellStyle name="Normal 2 3 2 5" xfId="6463" xr:uid="{00000000-0005-0000-0000-000044150000}"/>
    <cellStyle name="Normal 2 3 2 6" xfId="1211" xr:uid="{00000000-0005-0000-0000-000045150000}"/>
    <cellStyle name="Normal 2 3 3" xfId="539" xr:uid="{00000000-0005-0000-0000-000046150000}"/>
    <cellStyle name="Normal 2 3 3 2" xfId="2683" xr:uid="{00000000-0005-0000-0000-000047150000}"/>
    <cellStyle name="Normal 2 3 3 2 2" xfId="3622" xr:uid="{00000000-0005-0000-0000-000048150000}"/>
    <cellStyle name="Normal 2 3 3 2 3" xfId="5251" xr:uid="{00000000-0005-0000-0000-000049150000}"/>
    <cellStyle name="Normal 2 3 3 2 4" xfId="7878" xr:uid="{00000000-0005-0000-0000-00004A150000}"/>
    <cellStyle name="Normal 2 3 3 3" xfId="4181" xr:uid="{00000000-0005-0000-0000-00004B150000}"/>
    <cellStyle name="Normal 2 3 3 4" xfId="6421" xr:uid="{00000000-0005-0000-0000-00004C150000}"/>
    <cellStyle name="Normal 2 3 3 5" xfId="1167" xr:uid="{00000000-0005-0000-0000-00004D150000}"/>
    <cellStyle name="Normal 2 3 4" xfId="2319" xr:uid="{00000000-0005-0000-0000-00004E150000}"/>
    <cellStyle name="Normal 2 3 4 2" xfId="3773" xr:uid="{00000000-0005-0000-0000-00004F150000}"/>
    <cellStyle name="Normal 2 3 4 3" xfId="6168" xr:uid="{00000000-0005-0000-0000-000050150000}"/>
    <cellStyle name="Normal 2 3 4 4" xfId="7550" xr:uid="{00000000-0005-0000-0000-000051150000}"/>
    <cellStyle name="Normal 2 3 5" xfId="3774" xr:uid="{00000000-0005-0000-0000-000052150000}"/>
    <cellStyle name="Normal 2 3 5 2" xfId="6169" xr:uid="{00000000-0005-0000-0000-000053150000}"/>
    <cellStyle name="Normal 2 3 5 3" xfId="8685" xr:uid="{00000000-0005-0000-0000-000054150000}"/>
    <cellStyle name="Normal 2 3 6" xfId="3869" xr:uid="{00000000-0005-0000-0000-000055150000}"/>
    <cellStyle name="Normal 2 3 7" xfId="4542" xr:uid="{00000000-0005-0000-0000-000056150000}"/>
    <cellStyle name="Normal 2 3 8" xfId="6372" xr:uid="{00000000-0005-0000-0000-000057150000}"/>
    <cellStyle name="Normal 2 3 9" xfId="1100" xr:uid="{00000000-0005-0000-0000-000058150000}"/>
    <cellStyle name="Normal 2 30" xfId="2320" xr:uid="{00000000-0005-0000-0000-000059150000}"/>
    <cellStyle name="Normal 2 30 2" xfId="4182" xr:uid="{00000000-0005-0000-0000-00005A150000}"/>
    <cellStyle name="Normal 2 30 3" xfId="7551" xr:uid="{00000000-0005-0000-0000-00005B150000}"/>
    <cellStyle name="Normal 2 31" xfId="2321" xr:uid="{00000000-0005-0000-0000-00005C150000}"/>
    <cellStyle name="Normal 2 31 2" xfId="4183" xr:uid="{00000000-0005-0000-0000-00005D150000}"/>
    <cellStyle name="Normal 2 31 3" xfId="7552" xr:uid="{00000000-0005-0000-0000-00005E150000}"/>
    <cellStyle name="Normal 2 32" xfId="2322" xr:uid="{00000000-0005-0000-0000-00005F150000}"/>
    <cellStyle name="Normal 2 32 2" xfId="4184" xr:uid="{00000000-0005-0000-0000-000060150000}"/>
    <cellStyle name="Normal 2 32 3" xfId="7553" xr:uid="{00000000-0005-0000-0000-000061150000}"/>
    <cellStyle name="Normal 2 33" xfId="2323" xr:uid="{00000000-0005-0000-0000-000062150000}"/>
    <cellStyle name="Normal 2 33 2" xfId="4185" xr:uid="{00000000-0005-0000-0000-000063150000}"/>
    <cellStyle name="Normal 2 33 3" xfId="7554" xr:uid="{00000000-0005-0000-0000-000064150000}"/>
    <cellStyle name="Normal 2 34" xfId="2324" xr:uid="{00000000-0005-0000-0000-000065150000}"/>
    <cellStyle name="Normal 2 34 2" xfId="4186" xr:uid="{00000000-0005-0000-0000-000066150000}"/>
    <cellStyle name="Normal 2 34 3" xfId="7555" xr:uid="{00000000-0005-0000-0000-000067150000}"/>
    <cellStyle name="Normal 2 35" xfId="2325" xr:uid="{00000000-0005-0000-0000-000068150000}"/>
    <cellStyle name="Normal 2 35 2" xfId="4187" xr:uid="{00000000-0005-0000-0000-000069150000}"/>
    <cellStyle name="Normal 2 35 3" xfId="7556" xr:uid="{00000000-0005-0000-0000-00006A150000}"/>
    <cellStyle name="Normal 2 36" xfId="2326" xr:uid="{00000000-0005-0000-0000-00006B150000}"/>
    <cellStyle name="Normal 2 36 2" xfId="4188" xr:uid="{00000000-0005-0000-0000-00006C150000}"/>
    <cellStyle name="Normal 2 36 3" xfId="7557" xr:uid="{00000000-0005-0000-0000-00006D150000}"/>
    <cellStyle name="Normal 2 37" xfId="2327" xr:uid="{00000000-0005-0000-0000-00006E150000}"/>
    <cellStyle name="Normal 2 37 2" xfId="4189" xr:uid="{00000000-0005-0000-0000-00006F150000}"/>
    <cellStyle name="Normal 2 37 3" xfId="7558" xr:uid="{00000000-0005-0000-0000-000070150000}"/>
    <cellStyle name="Normal 2 38" xfId="2328" xr:uid="{00000000-0005-0000-0000-000071150000}"/>
    <cellStyle name="Normal 2 38 2" xfId="4190" xr:uid="{00000000-0005-0000-0000-000072150000}"/>
    <cellStyle name="Normal 2 38 3" xfId="7559" xr:uid="{00000000-0005-0000-0000-000073150000}"/>
    <cellStyle name="Normal 2 39" xfId="2329" xr:uid="{00000000-0005-0000-0000-000074150000}"/>
    <cellStyle name="Normal 2 39 2" xfId="4191" xr:uid="{00000000-0005-0000-0000-000075150000}"/>
    <cellStyle name="Normal 2 39 3" xfId="7560" xr:uid="{00000000-0005-0000-0000-000076150000}"/>
    <cellStyle name="Normal 2 4" xfId="540" xr:uid="{00000000-0005-0000-0000-000077150000}"/>
    <cellStyle name="Normal 2 4 10" xfId="6373" xr:uid="{00000000-0005-0000-0000-000078150000}"/>
    <cellStyle name="Normal 2 4 11" xfId="1101" xr:uid="{00000000-0005-0000-0000-000079150000}"/>
    <cellStyle name="Normal 2 4 2" xfId="541" xr:uid="{00000000-0005-0000-0000-00007A150000}"/>
    <cellStyle name="Normal 2 4 2 2" xfId="1103" xr:uid="{00000000-0005-0000-0000-00007B150000}"/>
    <cellStyle name="Normal 2 4 2 2 2" xfId="2684" xr:uid="{00000000-0005-0000-0000-00007C150000}"/>
    <cellStyle name="Normal 2 4 2 2 2 2" xfId="2963" xr:uid="{00000000-0005-0000-0000-00007D150000}"/>
    <cellStyle name="Normal 2 4 2 2 2 2 2" xfId="4624" xr:uid="{00000000-0005-0000-0000-00007E150000}"/>
    <cellStyle name="Normal 2 4 2 2 2 2 3" xfId="8019" xr:uid="{00000000-0005-0000-0000-00007F150000}"/>
    <cellStyle name="Normal 2 4 2 2 2 3" xfId="3062" xr:uid="{00000000-0005-0000-0000-000080150000}"/>
    <cellStyle name="Normal 2 4 2 2 2 3 2" xfId="4707" xr:uid="{00000000-0005-0000-0000-000081150000}"/>
    <cellStyle name="Normal 2 4 2 2 2 3 3" xfId="8118" xr:uid="{00000000-0005-0000-0000-000082150000}"/>
    <cellStyle name="Normal 2 4 2 2 2 4" xfId="3746" xr:uid="{00000000-0005-0000-0000-000083150000}"/>
    <cellStyle name="Normal 2 4 2 2 2 4 2" xfId="6144" xr:uid="{00000000-0005-0000-0000-000084150000}"/>
    <cellStyle name="Normal 2 4 2 2 2 4 3" xfId="8660" xr:uid="{00000000-0005-0000-0000-000085150000}"/>
    <cellStyle name="Normal 2 4 2 2 2 5" xfId="2867" xr:uid="{00000000-0005-0000-0000-000086150000}"/>
    <cellStyle name="Normal 2 4 2 2 2 6" xfId="4194" xr:uid="{00000000-0005-0000-0000-000087150000}"/>
    <cellStyle name="Normal 2 4 2 2 2 7" xfId="7879" xr:uid="{00000000-0005-0000-0000-000088150000}"/>
    <cellStyle name="Normal 2 4 2 2 3" xfId="4193" xr:uid="{00000000-0005-0000-0000-000089150000}"/>
    <cellStyle name="Normal 2 4 2 2 4" xfId="6375" xr:uid="{00000000-0005-0000-0000-00008A150000}"/>
    <cellStyle name="Normal 2 4 2 3" xfId="1104" xr:uid="{00000000-0005-0000-0000-00008B150000}"/>
    <cellStyle name="Normal 2 4 2 3 2" xfId="2685" xr:uid="{00000000-0005-0000-0000-00008C150000}"/>
    <cellStyle name="Normal 2 4 2 3 2 2" xfId="4196" xr:uid="{00000000-0005-0000-0000-00008D150000}"/>
    <cellStyle name="Normal 2 4 2 3 2 3" xfId="7880" xr:uid="{00000000-0005-0000-0000-00008E150000}"/>
    <cellStyle name="Normal 2 4 2 3 3" xfId="4195" xr:uid="{00000000-0005-0000-0000-00008F150000}"/>
    <cellStyle name="Normal 2 4 2 3 4" xfId="6376" xr:uid="{00000000-0005-0000-0000-000090150000}"/>
    <cellStyle name="Normal 2 4 2 4" xfId="2686" xr:uid="{00000000-0005-0000-0000-000091150000}"/>
    <cellStyle name="Normal 2 4 2 4 2" xfId="2964" xr:uid="{00000000-0005-0000-0000-000092150000}"/>
    <cellStyle name="Normal 2 4 2 4 2 2" xfId="4625" xr:uid="{00000000-0005-0000-0000-000093150000}"/>
    <cellStyle name="Normal 2 4 2 4 2 3" xfId="8020" xr:uid="{00000000-0005-0000-0000-000094150000}"/>
    <cellStyle name="Normal 2 4 2 4 3" xfId="3063" xr:uid="{00000000-0005-0000-0000-000095150000}"/>
    <cellStyle name="Normal 2 4 2 4 3 2" xfId="4708" xr:uid="{00000000-0005-0000-0000-000096150000}"/>
    <cellStyle name="Normal 2 4 2 4 3 3" xfId="8119" xr:uid="{00000000-0005-0000-0000-000097150000}"/>
    <cellStyle name="Normal 2 4 2 4 4" xfId="3803" xr:uid="{00000000-0005-0000-0000-000098150000}"/>
    <cellStyle name="Normal 2 4 2 4 4 2" xfId="6193" xr:uid="{00000000-0005-0000-0000-000099150000}"/>
    <cellStyle name="Normal 2 4 2 4 4 3" xfId="8714" xr:uid="{00000000-0005-0000-0000-00009A150000}"/>
    <cellStyle name="Normal 2 4 2 4 5" xfId="2868" xr:uid="{00000000-0005-0000-0000-00009B150000}"/>
    <cellStyle name="Normal 2 4 2 4 6" xfId="4197" xr:uid="{00000000-0005-0000-0000-00009C150000}"/>
    <cellStyle name="Normal 2 4 2 4 7" xfId="7881" xr:uid="{00000000-0005-0000-0000-00009D150000}"/>
    <cellStyle name="Normal 2 4 2 5" xfId="3373" xr:uid="{00000000-0005-0000-0000-00009E150000}"/>
    <cellStyle name="Normal 2 4 2 5 2" xfId="5005" xr:uid="{00000000-0005-0000-0000-00009F150000}"/>
    <cellStyle name="Normal 2 4 2 5 3" xfId="8406" xr:uid="{00000000-0005-0000-0000-0000A0150000}"/>
    <cellStyle name="Normal 2 4 2 6" xfId="4192" xr:uid="{00000000-0005-0000-0000-0000A1150000}"/>
    <cellStyle name="Normal 2 4 2 7" xfId="6374" xr:uid="{00000000-0005-0000-0000-0000A2150000}"/>
    <cellStyle name="Normal 2 4 2 8" xfId="1102" xr:uid="{00000000-0005-0000-0000-0000A3150000}"/>
    <cellStyle name="Normal 2 4 3" xfId="542" xr:uid="{00000000-0005-0000-0000-0000A4150000}"/>
    <cellStyle name="Normal 2 4 3 2" xfId="1106" xr:uid="{00000000-0005-0000-0000-0000A5150000}"/>
    <cellStyle name="Normal 2 4 3 2 2" xfId="4199" xr:uid="{00000000-0005-0000-0000-0000A6150000}"/>
    <cellStyle name="Normal 2 4 3 2 3" xfId="6378" xr:uid="{00000000-0005-0000-0000-0000A7150000}"/>
    <cellStyle name="Normal 2 4 3 3" xfId="1107" xr:uid="{00000000-0005-0000-0000-0000A8150000}"/>
    <cellStyle name="Normal 2 4 3 3 2" xfId="4200" xr:uid="{00000000-0005-0000-0000-0000A9150000}"/>
    <cellStyle name="Normal 2 4 3 3 3" xfId="6379" xr:uid="{00000000-0005-0000-0000-0000AA150000}"/>
    <cellStyle name="Normal 2 4 3 4" xfId="1108" xr:uid="{00000000-0005-0000-0000-0000AB150000}"/>
    <cellStyle name="Normal 2 4 3 4 2" xfId="1109" xr:uid="{00000000-0005-0000-0000-0000AC150000}"/>
    <cellStyle name="Normal 2 4 3 4 2 2" xfId="2687" xr:uid="{00000000-0005-0000-0000-0000AD150000}"/>
    <cellStyle name="Normal 2 4 3 4 2 2 2" xfId="4203" xr:uid="{00000000-0005-0000-0000-0000AE150000}"/>
    <cellStyle name="Normal 2 4 3 4 2 2 3" xfId="7882" xr:uid="{00000000-0005-0000-0000-0000AF150000}"/>
    <cellStyle name="Normal 2 4 3 4 2 3" xfId="4202" xr:uid="{00000000-0005-0000-0000-0000B0150000}"/>
    <cellStyle name="Normal 2 4 3 4 2 4" xfId="6381" xr:uid="{00000000-0005-0000-0000-0000B1150000}"/>
    <cellStyle name="Normal 2 4 3 4 3" xfId="1110" xr:uid="{00000000-0005-0000-0000-0000B2150000}"/>
    <cellStyle name="Normal 2 4 3 4 3 2" xfId="4204" xr:uid="{00000000-0005-0000-0000-0000B3150000}"/>
    <cellStyle name="Normal 2 4 3 4 3 3" xfId="6382" xr:uid="{00000000-0005-0000-0000-0000B4150000}"/>
    <cellStyle name="Normal 2 4 3 4 4" xfId="4201" xr:uid="{00000000-0005-0000-0000-0000B5150000}"/>
    <cellStyle name="Normal 2 4 3 4 5" xfId="6380" xr:uid="{00000000-0005-0000-0000-0000B6150000}"/>
    <cellStyle name="Normal 2 4 3 5" xfId="2688" xr:uid="{00000000-0005-0000-0000-0000B7150000}"/>
    <cellStyle name="Normal 2 4 3 5 2" xfId="2962" xr:uid="{00000000-0005-0000-0000-0000B8150000}"/>
    <cellStyle name="Normal 2 4 3 5 2 2" xfId="4623" xr:uid="{00000000-0005-0000-0000-0000B9150000}"/>
    <cellStyle name="Normal 2 4 3 5 2 3" xfId="8018" xr:uid="{00000000-0005-0000-0000-0000BA150000}"/>
    <cellStyle name="Normal 2 4 3 5 3" xfId="3061" xr:uid="{00000000-0005-0000-0000-0000BB150000}"/>
    <cellStyle name="Normal 2 4 3 5 3 2" xfId="4706" xr:uid="{00000000-0005-0000-0000-0000BC150000}"/>
    <cellStyle name="Normal 2 4 3 5 3 3" xfId="8117" xr:uid="{00000000-0005-0000-0000-0000BD150000}"/>
    <cellStyle name="Normal 2 4 3 5 4" xfId="3833" xr:uid="{00000000-0005-0000-0000-0000BE150000}"/>
    <cellStyle name="Normal 2 4 3 5 4 2" xfId="6214" xr:uid="{00000000-0005-0000-0000-0000BF150000}"/>
    <cellStyle name="Normal 2 4 3 5 4 3" xfId="8744" xr:uid="{00000000-0005-0000-0000-0000C0150000}"/>
    <cellStyle name="Normal 2 4 3 5 5" xfId="2866" xr:uid="{00000000-0005-0000-0000-0000C1150000}"/>
    <cellStyle name="Normal 2 4 3 5 6" xfId="4205" xr:uid="{00000000-0005-0000-0000-0000C2150000}"/>
    <cellStyle name="Normal 2 4 3 5 7" xfId="7883" xr:uid="{00000000-0005-0000-0000-0000C3150000}"/>
    <cellStyle name="Normal 2 4 3 6" xfId="3621" xr:uid="{00000000-0005-0000-0000-0000C4150000}"/>
    <cellStyle name="Normal 2 4 3 6 2" xfId="5250" xr:uid="{00000000-0005-0000-0000-0000C5150000}"/>
    <cellStyle name="Normal 2 4 3 6 3" xfId="8594" xr:uid="{00000000-0005-0000-0000-0000C6150000}"/>
    <cellStyle name="Normal 2 4 3 7" xfId="4198" xr:uid="{00000000-0005-0000-0000-0000C7150000}"/>
    <cellStyle name="Normal 2 4 3 8" xfId="6377" xr:uid="{00000000-0005-0000-0000-0000C8150000}"/>
    <cellStyle name="Normal 2 4 3 9" xfId="1105" xr:uid="{00000000-0005-0000-0000-0000C9150000}"/>
    <cellStyle name="Normal 2 4 4" xfId="1111" xr:uid="{00000000-0005-0000-0000-0000CA150000}"/>
    <cellStyle name="Normal 2 4 4 2" xfId="1112" xr:uid="{00000000-0005-0000-0000-0000CB150000}"/>
    <cellStyle name="Normal 2 4 4 2 2" xfId="4207" xr:uid="{00000000-0005-0000-0000-0000CC150000}"/>
    <cellStyle name="Normal 2 4 4 2 3" xfId="6384" xr:uid="{00000000-0005-0000-0000-0000CD150000}"/>
    <cellStyle name="Normal 2 4 4 3" xfId="1113" xr:uid="{00000000-0005-0000-0000-0000CE150000}"/>
    <cellStyle name="Normal 2 4 4 3 2" xfId="2689" xr:uid="{00000000-0005-0000-0000-0000CF150000}"/>
    <cellStyle name="Normal 2 4 4 3 2 2" xfId="4209" xr:uid="{00000000-0005-0000-0000-0000D0150000}"/>
    <cellStyle name="Normal 2 4 4 3 2 3" xfId="7884" xr:uid="{00000000-0005-0000-0000-0000D1150000}"/>
    <cellStyle name="Normal 2 4 4 3 3" xfId="4208" xr:uid="{00000000-0005-0000-0000-0000D2150000}"/>
    <cellStyle name="Normal 2 4 4 3 4" xfId="6385" xr:uid="{00000000-0005-0000-0000-0000D3150000}"/>
    <cellStyle name="Normal 2 4 4 4" xfId="4206" xr:uid="{00000000-0005-0000-0000-0000D4150000}"/>
    <cellStyle name="Normal 2 4 4 5" xfId="6383" xr:uid="{00000000-0005-0000-0000-0000D5150000}"/>
    <cellStyle name="Normal 2 4 5" xfId="1114" xr:uid="{00000000-0005-0000-0000-0000D6150000}"/>
    <cellStyle name="Normal 2 4 5 2" xfId="2690" xr:uid="{00000000-0005-0000-0000-0000D7150000}"/>
    <cellStyle name="Normal 2 4 5 2 2" xfId="4211" xr:uid="{00000000-0005-0000-0000-0000D8150000}"/>
    <cellStyle name="Normal 2 4 5 2 3" xfId="7885" xr:uid="{00000000-0005-0000-0000-0000D9150000}"/>
    <cellStyle name="Normal 2 4 5 3" xfId="4210" xr:uid="{00000000-0005-0000-0000-0000DA150000}"/>
    <cellStyle name="Normal 2 4 5 4" xfId="6386" xr:uid="{00000000-0005-0000-0000-0000DB150000}"/>
    <cellStyle name="Normal 2 4 6" xfId="1210" xr:uid="{00000000-0005-0000-0000-0000DC150000}"/>
    <cellStyle name="Normal 2 4 6 2" xfId="2691" xr:uid="{00000000-0005-0000-0000-0000DD150000}"/>
    <cellStyle name="Normal 2 4 6 3" xfId="4212" xr:uid="{00000000-0005-0000-0000-0000DE150000}"/>
    <cellStyle name="Normal 2 4 6 4" xfId="6462" xr:uid="{00000000-0005-0000-0000-0000DF150000}"/>
    <cellStyle name="Normal 2 4 7" xfId="2330" xr:uid="{00000000-0005-0000-0000-0000E0150000}"/>
    <cellStyle name="Normal 2 4 7 2" xfId="2692" xr:uid="{00000000-0005-0000-0000-0000E1150000}"/>
    <cellStyle name="Normal 2 4 7 2 2" xfId="4626" xr:uid="{00000000-0005-0000-0000-0000E2150000}"/>
    <cellStyle name="Normal 2 4 7 2 3" xfId="7886" xr:uid="{00000000-0005-0000-0000-0000E3150000}"/>
    <cellStyle name="Normal 2 4 7 3" xfId="3064" xr:uid="{00000000-0005-0000-0000-0000E4150000}"/>
    <cellStyle name="Normal 2 4 7 3 2" xfId="4709" xr:uid="{00000000-0005-0000-0000-0000E5150000}"/>
    <cellStyle name="Normal 2 4 7 3 3" xfId="8120" xr:uid="{00000000-0005-0000-0000-0000E6150000}"/>
    <cellStyle name="Normal 2 4 7 4" xfId="3771" xr:uid="{00000000-0005-0000-0000-0000E7150000}"/>
    <cellStyle name="Normal 2 4 7 4 2" xfId="6166" xr:uid="{00000000-0005-0000-0000-0000E8150000}"/>
    <cellStyle name="Normal 2 4 7 4 3" xfId="8683" xr:uid="{00000000-0005-0000-0000-0000E9150000}"/>
    <cellStyle name="Normal 2 4 7 5" xfId="2869" xr:uid="{00000000-0005-0000-0000-0000EA150000}"/>
    <cellStyle name="Normal 2 4 7 6" xfId="4213" xr:uid="{00000000-0005-0000-0000-0000EB150000}"/>
    <cellStyle name="Normal 2 4 7 7" xfId="7561" xr:uid="{00000000-0005-0000-0000-0000EC150000}"/>
    <cellStyle name="Normal 2 4 8" xfId="3828" xr:uid="{00000000-0005-0000-0000-0000ED150000}"/>
    <cellStyle name="Normal 2 4 8 2" xfId="6211" xr:uid="{00000000-0005-0000-0000-0000EE150000}"/>
    <cellStyle name="Normal 2 4 8 3" xfId="8739" xr:uid="{00000000-0005-0000-0000-0000EF150000}"/>
    <cellStyle name="Normal 2 4 9" xfId="3870" xr:uid="{00000000-0005-0000-0000-0000F0150000}"/>
    <cellStyle name="Normal 2 4_Folha2" xfId="1115" xr:uid="{00000000-0005-0000-0000-0000F1150000}"/>
    <cellStyle name="Normal 2 40" xfId="2331" xr:uid="{00000000-0005-0000-0000-0000F2150000}"/>
    <cellStyle name="Normal 2 40 2" xfId="4214" xr:uid="{00000000-0005-0000-0000-0000F3150000}"/>
    <cellStyle name="Normal 2 40 3" xfId="7562" xr:uid="{00000000-0005-0000-0000-0000F4150000}"/>
    <cellStyle name="Normal 2 41" xfId="2332" xr:uid="{00000000-0005-0000-0000-0000F5150000}"/>
    <cellStyle name="Normal 2 41 2" xfId="4215" xr:uid="{00000000-0005-0000-0000-0000F6150000}"/>
    <cellStyle name="Normal 2 41 3" xfId="7563" xr:uid="{00000000-0005-0000-0000-0000F7150000}"/>
    <cellStyle name="Normal 2 42" xfId="2333" xr:uid="{00000000-0005-0000-0000-0000F8150000}"/>
    <cellStyle name="Normal 2 42 2" xfId="4216" xr:uid="{00000000-0005-0000-0000-0000F9150000}"/>
    <cellStyle name="Normal 2 42 3" xfId="7564" xr:uid="{00000000-0005-0000-0000-0000FA150000}"/>
    <cellStyle name="Normal 2 43" xfId="2334" xr:uid="{00000000-0005-0000-0000-0000FB150000}"/>
    <cellStyle name="Normal 2 43 2" xfId="4217" xr:uid="{00000000-0005-0000-0000-0000FC150000}"/>
    <cellStyle name="Normal 2 43 3" xfId="7565" xr:uid="{00000000-0005-0000-0000-0000FD150000}"/>
    <cellStyle name="Normal 2 44" xfId="2335" xr:uid="{00000000-0005-0000-0000-0000FE150000}"/>
    <cellStyle name="Normal 2 44 2" xfId="4218" xr:uid="{00000000-0005-0000-0000-0000FF150000}"/>
    <cellStyle name="Normal 2 44 3" xfId="7566" xr:uid="{00000000-0005-0000-0000-000000160000}"/>
    <cellStyle name="Normal 2 45" xfId="2336" xr:uid="{00000000-0005-0000-0000-000001160000}"/>
    <cellStyle name="Normal 2 45 2" xfId="4219" xr:uid="{00000000-0005-0000-0000-000002160000}"/>
    <cellStyle name="Normal 2 45 3" xfId="7567" xr:uid="{00000000-0005-0000-0000-000003160000}"/>
    <cellStyle name="Normal 2 46" xfId="2337" xr:uid="{00000000-0005-0000-0000-000004160000}"/>
    <cellStyle name="Normal 2 46 2" xfId="4220" xr:uid="{00000000-0005-0000-0000-000005160000}"/>
    <cellStyle name="Normal 2 46 3" xfId="7568" xr:uid="{00000000-0005-0000-0000-000006160000}"/>
    <cellStyle name="Normal 2 47" xfId="2338" xr:uid="{00000000-0005-0000-0000-000007160000}"/>
    <cellStyle name="Normal 2 47 2" xfId="4221" xr:uid="{00000000-0005-0000-0000-000008160000}"/>
    <cellStyle name="Normal 2 47 3" xfId="7569" xr:uid="{00000000-0005-0000-0000-000009160000}"/>
    <cellStyle name="Normal 2 48" xfId="2339" xr:uid="{00000000-0005-0000-0000-00000A160000}"/>
    <cellStyle name="Normal 2 48 2" xfId="4222" xr:uid="{00000000-0005-0000-0000-00000B160000}"/>
    <cellStyle name="Normal 2 48 3" xfId="7570" xr:uid="{00000000-0005-0000-0000-00000C160000}"/>
    <cellStyle name="Normal 2 49" xfId="2340" xr:uid="{00000000-0005-0000-0000-00000D160000}"/>
    <cellStyle name="Normal 2 49 2" xfId="4223" xr:uid="{00000000-0005-0000-0000-00000E160000}"/>
    <cellStyle name="Normal 2 49 3" xfId="7571" xr:uid="{00000000-0005-0000-0000-00000F160000}"/>
    <cellStyle name="Normal 2 5" xfId="543" xr:uid="{00000000-0005-0000-0000-000010160000}"/>
    <cellStyle name="Normal 2 5 2" xfId="544" xr:uid="{00000000-0005-0000-0000-000011160000}"/>
    <cellStyle name="Normal 2 5 2 2" xfId="3623" xr:uid="{00000000-0005-0000-0000-000012160000}"/>
    <cellStyle name="Normal 2 5 2 3" xfId="5252" xr:uid="{00000000-0005-0000-0000-000013160000}"/>
    <cellStyle name="Normal 2 5 2 4" xfId="7572" xr:uid="{00000000-0005-0000-0000-000014160000}"/>
    <cellStyle name="Normal 2 5 2 5" xfId="2341" xr:uid="{00000000-0005-0000-0000-000015160000}"/>
    <cellStyle name="Normal 2 5 3" xfId="3871" xr:uid="{00000000-0005-0000-0000-000016160000}"/>
    <cellStyle name="Normal 2 5 4" xfId="6465" xr:uid="{00000000-0005-0000-0000-000017160000}"/>
    <cellStyle name="Normal 2 5 5" xfId="1213" xr:uid="{00000000-0005-0000-0000-000018160000}"/>
    <cellStyle name="Normal 2 50" xfId="2342" xr:uid="{00000000-0005-0000-0000-000019160000}"/>
    <cellStyle name="Normal 2 50 2" xfId="4224" xr:uid="{00000000-0005-0000-0000-00001A160000}"/>
    <cellStyle name="Normal 2 50 3" xfId="7573" xr:uid="{00000000-0005-0000-0000-00001B160000}"/>
    <cellStyle name="Normal 2 51" xfId="2343" xr:uid="{00000000-0005-0000-0000-00001C160000}"/>
    <cellStyle name="Normal 2 51 2" xfId="4225" xr:uid="{00000000-0005-0000-0000-00001D160000}"/>
    <cellStyle name="Normal 2 51 3" xfId="7574" xr:uid="{00000000-0005-0000-0000-00001E160000}"/>
    <cellStyle name="Normal 2 52" xfId="2344" xr:uid="{00000000-0005-0000-0000-00001F160000}"/>
    <cellStyle name="Normal 2 52 2" xfId="4226" xr:uid="{00000000-0005-0000-0000-000020160000}"/>
    <cellStyle name="Normal 2 52 3" xfId="7575" xr:uid="{00000000-0005-0000-0000-000021160000}"/>
    <cellStyle name="Normal 2 53" xfId="2345" xr:uid="{00000000-0005-0000-0000-000022160000}"/>
    <cellStyle name="Normal 2 53 2" xfId="4227" xr:uid="{00000000-0005-0000-0000-000023160000}"/>
    <cellStyle name="Normal 2 53 3" xfId="7576" xr:uid="{00000000-0005-0000-0000-000024160000}"/>
    <cellStyle name="Normal 2 54" xfId="2346" xr:uid="{00000000-0005-0000-0000-000025160000}"/>
    <cellStyle name="Normal 2 54 2" xfId="4228" xr:uid="{00000000-0005-0000-0000-000026160000}"/>
    <cellStyle name="Normal 2 54 3" xfId="7577" xr:uid="{00000000-0005-0000-0000-000027160000}"/>
    <cellStyle name="Normal 2 55" xfId="2347" xr:uid="{00000000-0005-0000-0000-000028160000}"/>
    <cellStyle name="Normal 2 55 2" xfId="4229" xr:uid="{00000000-0005-0000-0000-000029160000}"/>
    <cellStyle name="Normal 2 55 3" xfId="7578" xr:uid="{00000000-0005-0000-0000-00002A160000}"/>
    <cellStyle name="Normal 2 56" xfId="2348" xr:uid="{00000000-0005-0000-0000-00002B160000}"/>
    <cellStyle name="Normal 2 56 2" xfId="4230" xr:uid="{00000000-0005-0000-0000-00002C160000}"/>
    <cellStyle name="Normal 2 56 3" xfId="7579" xr:uid="{00000000-0005-0000-0000-00002D160000}"/>
    <cellStyle name="Normal 2 57" xfId="2349" xr:uid="{00000000-0005-0000-0000-00002E160000}"/>
    <cellStyle name="Normal 2 57 2" xfId="4231" xr:uid="{00000000-0005-0000-0000-00002F160000}"/>
    <cellStyle name="Normal 2 57 3" xfId="7580" xr:uid="{00000000-0005-0000-0000-000030160000}"/>
    <cellStyle name="Normal 2 58" xfId="2350" xr:uid="{00000000-0005-0000-0000-000031160000}"/>
    <cellStyle name="Normal 2 58 2" xfId="4232" xr:uid="{00000000-0005-0000-0000-000032160000}"/>
    <cellStyle name="Normal 2 58 3" xfId="7581" xr:uid="{00000000-0005-0000-0000-000033160000}"/>
    <cellStyle name="Normal 2 59" xfId="2351" xr:uid="{00000000-0005-0000-0000-000034160000}"/>
    <cellStyle name="Normal 2 59 2" xfId="4233" xr:uid="{00000000-0005-0000-0000-000035160000}"/>
    <cellStyle name="Normal 2 59 3" xfId="7582" xr:uid="{00000000-0005-0000-0000-000036160000}"/>
    <cellStyle name="Normal 2 6" xfId="545" xr:uid="{00000000-0005-0000-0000-000037160000}"/>
    <cellStyle name="Normal 2 6 2" xfId="546" xr:uid="{00000000-0005-0000-0000-000038160000}"/>
    <cellStyle name="Normal 2 6 2 2" xfId="3620" xr:uid="{00000000-0005-0000-0000-000039160000}"/>
    <cellStyle name="Normal 2 6 2 3" xfId="5249" xr:uid="{00000000-0005-0000-0000-00003A160000}"/>
    <cellStyle name="Normal 2 6 2 4" xfId="7583" xr:uid="{00000000-0005-0000-0000-00003B160000}"/>
    <cellStyle name="Normal 2 6 2 5" xfId="2352" xr:uid="{00000000-0005-0000-0000-00003C160000}"/>
    <cellStyle name="Normal 2 6 3" xfId="3872" xr:uid="{00000000-0005-0000-0000-00003D160000}"/>
    <cellStyle name="Normal 2 6 4" xfId="6460" xr:uid="{00000000-0005-0000-0000-00003E160000}"/>
    <cellStyle name="Normal 2 6 5" xfId="1208" xr:uid="{00000000-0005-0000-0000-00003F160000}"/>
    <cellStyle name="Normal 2 60" xfId="2353" xr:uid="{00000000-0005-0000-0000-000040160000}"/>
    <cellStyle name="Normal 2 60 2" xfId="4234" xr:uid="{00000000-0005-0000-0000-000041160000}"/>
    <cellStyle name="Normal 2 60 3" xfId="7584" xr:uid="{00000000-0005-0000-0000-000042160000}"/>
    <cellStyle name="Normal 2 61" xfId="2354" xr:uid="{00000000-0005-0000-0000-000043160000}"/>
    <cellStyle name="Normal 2 61 2" xfId="4235" xr:uid="{00000000-0005-0000-0000-000044160000}"/>
    <cellStyle name="Normal 2 61 3" xfId="7585" xr:uid="{00000000-0005-0000-0000-000045160000}"/>
    <cellStyle name="Normal 2 62" xfId="2355" xr:uid="{00000000-0005-0000-0000-000046160000}"/>
    <cellStyle name="Normal 2 62 2" xfId="4236" xr:uid="{00000000-0005-0000-0000-000047160000}"/>
    <cellStyle name="Normal 2 62 3" xfId="7586" xr:uid="{00000000-0005-0000-0000-000048160000}"/>
    <cellStyle name="Normal 2 63" xfId="2356" xr:uid="{00000000-0005-0000-0000-000049160000}"/>
    <cellStyle name="Normal 2 63 2" xfId="4237" xr:uid="{00000000-0005-0000-0000-00004A160000}"/>
    <cellStyle name="Normal 2 63 3" xfId="7587" xr:uid="{00000000-0005-0000-0000-00004B160000}"/>
    <cellStyle name="Normal 2 64" xfId="2357" xr:uid="{00000000-0005-0000-0000-00004C160000}"/>
    <cellStyle name="Normal 2 64 2" xfId="4238" xr:uid="{00000000-0005-0000-0000-00004D160000}"/>
    <cellStyle name="Normal 2 64 3" xfId="7588" xr:uid="{00000000-0005-0000-0000-00004E160000}"/>
    <cellStyle name="Normal 2 65" xfId="2358" xr:uid="{00000000-0005-0000-0000-00004F160000}"/>
    <cellStyle name="Normal 2 65 2" xfId="4239" xr:uid="{00000000-0005-0000-0000-000050160000}"/>
    <cellStyle name="Normal 2 65 3" xfId="7589" xr:uid="{00000000-0005-0000-0000-000051160000}"/>
    <cellStyle name="Normal 2 66" xfId="2359" xr:uid="{00000000-0005-0000-0000-000052160000}"/>
    <cellStyle name="Normal 2 66 2" xfId="4240" xr:uid="{00000000-0005-0000-0000-000053160000}"/>
    <cellStyle name="Normal 2 66 3" xfId="7590" xr:uid="{00000000-0005-0000-0000-000054160000}"/>
    <cellStyle name="Normal 2 67" xfId="2360" xr:uid="{00000000-0005-0000-0000-000055160000}"/>
    <cellStyle name="Normal 2 67 2" xfId="4241" xr:uid="{00000000-0005-0000-0000-000056160000}"/>
    <cellStyle name="Normal 2 67 3" xfId="7591" xr:uid="{00000000-0005-0000-0000-000057160000}"/>
    <cellStyle name="Normal 2 68" xfId="2361" xr:uid="{00000000-0005-0000-0000-000058160000}"/>
    <cellStyle name="Normal 2 68 2" xfId="4242" xr:uid="{00000000-0005-0000-0000-000059160000}"/>
    <cellStyle name="Normal 2 68 3" xfId="7592" xr:uid="{00000000-0005-0000-0000-00005A160000}"/>
    <cellStyle name="Normal 2 69" xfId="2362" xr:uid="{00000000-0005-0000-0000-00005B160000}"/>
    <cellStyle name="Normal 2 69 2" xfId="4243" xr:uid="{00000000-0005-0000-0000-00005C160000}"/>
    <cellStyle name="Normal 2 69 3" xfId="7593" xr:uid="{00000000-0005-0000-0000-00005D160000}"/>
    <cellStyle name="Normal 2 7" xfId="547" xr:uid="{00000000-0005-0000-0000-00005E160000}"/>
    <cellStyle name="Normal 2 7 2" xfId="548" xr:uid="{00000000-0005-0000-0000-00005F160000}"/>
    <cellStyle name="Normal 2 7 2 2" xfId="1352" xr:uid="{00000000-0005-0000-0000-000060160000}"/>
    <cellStyle name="Normal 2 7 2 2 2" xfId="1354" xr:uid="{00000000-0005-0000-0000-000061160000}"/>
    <cellStyle name="Normal 2 7 2 2 2 2" xfId="5388" xr:uid="{00000000-0005-0000-0000-000062160000}"/>
    <cellStyle name="Normal 2 7 2 2 2 3" xfId="6606" xr:uid="{00000000-0005-0000-0000-000063160000}"/>
    <cellStyle name="Normal 2 7 2 2 3" xfId="1620" xr:uid="{00000000-0005-0000-0000-000064160000}"/>
    <cellStyle name="Normal 2 7 2 2 3 2" xfId="5646" xr:uid="{00000000-0005-0000-0000-000065160000}"/>
    <cellStyle name="Normal 2 7 2 2 3 3" xfId="6871" xr:uid="{00000000-0005-0000-0000-000066160000}"/>
    <cellStyle name="Normal 2 7 2 2 4" xfId="1821" xr:uid="{00000000-0005-0000-0000-000067160000}"/>
    <cellStyle name="Normal 2 7 2 2 4 2" xfId="5842" xr:uid="{00000000-0005-0000-0000-000068160000}"/>
    <cellStyle name="Normal 2 7 2 2 4 3" xfId="7068" xr:uid="{00000000-0005-0000-0000-000069160000}"/>
    <cellStyle name="Normal 2 7 2 2 5" xfId="1975" xr:uid="{00000000-0005-0000-0000-00006A160000}"/>
    <cellStyle name="Normal 2 7 2 2 5 2" xfId="5994" xr:uid="{00000000-0005-0000-0000-00006B160000}"/>
    <cellStyle name="Normal 2 7 2 2 5 3" xfId="7222" xr:uid="{00000000-0005-0000-0000-00006C160000}"/>
    <cellStyle name="Normal 2 7 2 2 6" xfId="5386" xr:uid="{00000000-0005-0000-0000-00006D160000}"/>
    <cellStyle name="Normal 2 7 2 2 7" xfId="6604" xr:uid="{00000000-0005-0000-0000-00006E160000}"/>
    <cellStyle name="Normal 2 7 2 3" xfId="1363" xr:uid="{00000000-0005-0000-0000-00006F160000}"/>
    <cellStyle name="Normal 2 7 2 3 2" xfId="5396" xr:uid="{00000000-0005-0000-0000-000070160000}"/>
    <cellStyle name="Normal 2 7 2 3 3" xfId="6615" xr:uid="{00000000-0005-0000-0000-000071160000}"/>
    <cellStyle name="Normal 2 7 2 4" xfId="5284" xr:uid="{00000000-0005-0000-0000-000072160000}"/>
    <cellStyle name="Normal 2 7 2 5" xfId="6499" xr:uid="{00000000-0005-0000-0000-000073160000}"/>
    <cellStyle name="Normal 2 7 2 6" xfId="1247" xr:uid="{00000000-0005-0000-0000-000074160000}"/>
    <cellStyle name="Normal 2 7 3" xfId="1297" xr:uid="{00000000-0005-0000-0000-000075160000}"/>
    <cellStyle name="Normal 2 7 3 2" xfId="1361" xr:uid="{00000000-0005-0000-0000-000076160000}"/>
    <cellStyle name="Normal 2 7 3 2 2" xfId="1629" xr:uid="{00000000-0005-0000-0000-000077160000}"/>
    <cellStyle name="Normal 2 7 3 2 2 2" xfId="5655" xr:uid="{00000000-0005-0000-0000-000078160000}"/>
    <cellStyle name="Normal 2 7 3 2 2 3" xfId="6880" xr:uid="{00000000-0005-0000-0000-000079160000}"/>
    <cellStyle name="Normal 2 7 3 2 3" xfId="1830" xr:uid="{00000000-0005-0000-0000-00007A160000}"/>
    <cellStyle name="Normal 2 7 3 2 3 2" xfId="5851" xr:uid="{00000000-0005-0000-0000-00007B160000}"/>
    <cellStyle name="Normal 2 7 3 2 3 3" xfId="7077" xr:uid="{00000000-0005-0000-0000-00007C160000}"/>
    <cellStyle name="Normal 2 7 3 2 4" xfId="1901" xr:uid="{00000000-0005-0000-0000-00007D160000}"/>
    <cellStyle name="Normal 2 7 3 2 4 2" xfId="5921" xr:uid="{00000000-0005-0000-0000-00007E160000}"/>
    <cellStyle name="Normal 2 7 3 2 4 3" xfId="7148" xr:uid="{00000000-0005-0000-0000-00007F160000}"/>
    <cellStyle name="Normal 2 7 3 2 5" xfId="5394" xr:uid="{00000000-0005-0000-0000-000080160000}"/>
    <cellStyle name="Normal 2 7 3 2 6" xfId="6613" xr:uid="{00000000-0005-0000-0000-000081160000}"/>
    <cellStyle name="Normal 2 7 3 3" xfId="5333" xr:uid="{00000000-0005-0000-0000-000082160000}"/>
    <cellStyle name="Normal 2 7 3 4" xfId="6549" xr:uid="{00000000-0005-0000-0000-000083160000}"/>
    <cellStyle name="Normal 2 7 4" xfId="1511" xr:uid="{00000000-0005-0000-0000-000084160000}"/>
    <cellStyle name="Normal 2 7 4 2" xfId="5539" xr:uid="{00000000-0005-0000-0000-000085160000}"/>
    <cellStyle name="Normal 2 7 4 3" xfId="6763" xr:uid="{00000000-0005-0000-0000-000086160000}"/>
    <cellStyle name="Normal 2 7 5" xfId="1718" xr:uid="{00000000-0005-0000-0000-000087160000}"/>
    <cellStyle name="Normal 2 7 5 2" xfId="5740" xr:uid="{00000000-0005-0000-0000-000088160000}"/>
    <cellStyle name="Normal 2 7 5 3" xfId="6965" xr:uid="{00000000-0005-0000-0000-000089160000}"/>
    <cellStyle name="Normal 2 7 6" xfId="1938" xr:uid="{00000000-0005-0000-0000-00008A160000}"/>
    <cellStyle name="Normal 2 7 6 2" xfId="5958" xr:uid="{00000000-0005-0000-0000-00008B160000}"/>
    <cellStyle name="Normal 2 7 6 3" xfId="7185" xr:uid="{00000000-0005-0000-0000-00008C160000}"/>
    <cellStyle name="Normal 2 7 7" xfId="3873" xr:uid="{00000000-0005-0000-0000-00008D160000}"/>
    <cellStyle name="Normal 2 7 8" xfId="6493" xr:uid="{00000000-0005-0000-0000-00008E160000}"/>
    <cellStyle name="Normal 2 7 9" xfId="1241" xr:uid="{00000000-0005-0000-0000-00008F160000}"/>
    <cellStyle name="Normal 2 70" xfId="2363" xr:uid="{00000000-0005-0000-0000-000090160000}"/>
    <cellStyle name="Normal 2 70 2" xfId="4244" xr:uid="{00000000-0005-0000-0000-000091160000}"/>
    <cellStyle name="Normal 2 70 3" xfId="7594" xr:uid="{00000000-0005-0000-0000-000092160000}"/>
    <cellStyle name="Normal 2 71" xfId="2364" xr:uid="{00000000-0005-0000-0000-000093160000}"/>
    <cellStyle name="Normal 2 71 2" xfId="4245" xr:uid="{00000000-0005-0000-0000-000094160000}"/>
    <cellStyle name="Normal 2 71 3" xfId="7595" xr:uid="{00000000-0005-0000-0000-000095160000}"/>
    <cellStyle name="Normal 2 72" xfId="2365" xr:uid="{00000000-0005-0000-0000-000096160000}"/>
    <cellStyle name="Normal 2 72 2" xfId="4246" xr:uid="{00000000-0005-0000-0000-000097160000}"/>
    <cellStyle name="Normal 2 72 3" xfId="7596" xr:uid="{00000000-0005-0000-0000-000098160000}"/>
    <cellStyle name="Normal 2 73" xfId="2366" xr:uid="{00000000-0005-0000-0000-000099160000}"/>
    <cellStyle name="Normal 2 73 2" xfId="4247" xr:uid="{00000000-0005-0000-0000-00009A160000}"/>
    <cellStyle name="Normal 2 73 3" xfId="7597" xr:uid="{00000000-0005-0000-0000-00009B160000}"/>
    <cellStyle name="Normal 2 74" xfId="2367" xr:uid="{00000000-0005-0000-0000-00009C160000}"/>
    <cellStyle name="Normal 2 74 2" xfId="4248" xr:uid="{00000000-0005-0000-0000-00009D160000}"/>
    <cellStyle name="Normal 2 74 3" xfId="7598" xr:uid="{00000000-0005-0000-0000-00009E160000}"/>
    <cellStyle name="Normal 2 75" xfId="2368" xr:uid="{00000000-0005-0000-0000-00009F160000}"/>
    <cellStyle name="Normal 2 75 2" xfId="4249" xr:uid="{00000000-0005-0000-0000-0000A0160000}"/>
    <cellStyle name="Normal 2 75 3" xfId="7599" xr:uid="{00000000-0005-0000-0000-0000A1160000}"/>
    <cellStyle name="Normal 2 76" xfId="2369" xr:uid="{00000000-0005-0000-0000-0000A2160000}"/>
    <cellStyle name="Normal 2 76 2" xfId="4250" xr:uid="{00000000-0005-0000-0000-0000A3160000}"/>
    <cellStyle name="Normal 2 76 3" xfId="7600" xr:uid="{00000000-0005-0000-0000-0000A4160000}"/>
    <cellStyle name="Normal 2 77" xfId="2370" xr:uid="{00000000-0005-0000-0000-0000A5160000}"/>
    <cellStyle name="Normal 2 77 2" xfId="4251" xr:uid="{00000000-0005-0000-0000-0000A6160000}"/>
    <cellStyle name="Normal 2 77 3" xfId="7601" xr:uid="{00000000-0005-0000-0000-0000A7160000}"/>
    <cellStyle name="Normal 2 78" xfId="2371" xr:uid="{00000000-0005-0000-0000-0000A8160000}"/>
    <cellStyle name="Normal 2 78 2" xfId="4252" xr:uid="{00000000-0005-0000-0000-0000A9160000}"/>
    <cellStyle name="Normal 2 78 3" xfId="7602" xr:uid="{00000000-0005-0000-0000-0000AA160000}"/>
    <cellStyle name="Normal 2 79" xfId="2372" xr:uid="{00000000-0005-0000-0000-0000AB160000}"/>
    <cellStyle name="Normal 2 79 2" xfId="4253" xr:uid="{00000000-0005-0000-0000-0000AC160000}"/>
    <cellStyle name="Normal 2 79 3" xfId="7603" xr:uid="{00000000-0005-0000-0000-0000AD160000}"/>
    <cellStyle name="Normal 2 8" xfId="549" xr:uid="{00000000-0005-0000-0000-0000AE160000}"/>
    <cellStyle name="Normal 2 8 2" xfId="550" xr:uid="{00000000-0005-0000-0000-0000AF160000}"/>
    <cellStyle name="Normal 2 8 2 2" xfId="3649" xr:uid="{00000000-0005-0000-0000-0000B0160000}"/>
    <cellStyle name="Normal 2 8 2 3" xfId="5321" xr:uid="{00000000-0005-0000-0000-0000B1160000}"/>
    <cellStyle name="Normal 2 8 2 4" xfId="7604" xr:uid="{00000000-0005-0000-0000-0000B2160000}"/>
    <cellStyle name="Normal 2 8 2 5" xfId="2373" xr:uid="{00000000-0005-0000-0000-0000B3160000}"/>
    <cellStyle name="Normal 2 8 3" xfId="3874" xr:uid="{00000000-0005-0000-0000-0000B4160000}"/>
    <cellStyle name="Normal 2 8 4" xfId="6536" xr:uid="{00000000-0005-0000-0000-0000B5160000}"/>
    <cellStyle name="Normal 2 8 5" xfId="1284" xr:uid="{00000000-0005-0000-0000-0000B6160000}"/>
    <cellStyle name="Normal 2 80" xfId="2374" xr:uid="{00000000-0005-0000-0000-0000B7160000}"/>
    <cellStyle name="Normal 2 80 2" xfId="4254" xr:uid="{00000000-0005-0000-0000-0000B8160000}"/>
    <cellStyle name="Normal 2 80 3" xfId="7605" xr:uid="{00000000-0005-0000-0000-0000B9160000}"/>
    <cellStyle name="Normal 2 81" xfId="2375" xr:uid="{00000000-0005-0000-0000-0000BA160000}"/>
    <cellStyle name="Normal 2 81 2" xfId="4255" xr:uid="{00000000-0005-0000-0000-0000BB160000}"/>
    <cellStyle name="Normal 2 81 3" xfId="7606" xr:uid="{00000000-0005-0000-0000-0000BC160000}"/>
    <cellStyle name="Normal 2 82" xfId="2376" xr:uid="{00000000-0005-0000-0000-0000BD160000}"/>
    <cellStyle name="Normal 2 82 2" xfId="4256" xr:uid="{00000000-0005-0000-0000-0000BE160000}"/>
    <cellStyle name="Normal 2 82 3" xfId="7607" xr:uid="{00000000-0005-0000-0000-0000BF160000}"/>
    <cellStyle name="Normal 2 83" xfId="2377" xr:uid="{00000000-0005-0000-0000-0000C0160000}"/>
    <cellStyle name="Normal 2 83 2" xfId="4257" xr:uid="{00000000-0005-0000-0000-0000C1160000}"/>
    <cellStyle name="Normal 2 83 3" xfId="7608" xr:uid="{00000000-0005-0000-0000-0000C2160000}"/>
    <cellStyle name="Normal 2 84" xfId="2378" xr:uid="{00000000-0005-0000-0000-0000C3160000}"/>
    <cellStyle name="Normal 2 84 2" xfId="4258" xr:uid="{00000000-0005-0000-0000-0000C4160000}"/>
    <cellStyle name="Normal 2 84 3" xfId="7609" xr:uid="{00000000-0005-0000-0000-0000C5160000}"/>
    <cellStyle name="Normal 2 85" xfId="2379" xr:uid="{00000000-0005-0000-0000-0000C6160000}"/>
    <cellStyle name="Normal 2 85 2" xfId="4259" xr:uid="{00000000-0005-0000-0000-0000C7160000}"/>
    <cellStyle name="Normal 2 85 3" xfId="7610" xr:uid="{00000000-0005-0000-0000-0000C8160000}"/>
    <cellStyle name="Normal 2 86" xfId="2380" xr:uid="{00000000-0005-0000-0000-0000C9160000}"/>
    <cellStyle name="Normal 2 86 2" xfId="4260" xr:uid="{00000000-0005-0000-0000-0000CA160000}"/>
    <cellStyle name="Normal 2 86 3" xfId="7611" xr:uid="{00000000-0005-0000-0000-0000CB160000}"/>
    <cellStyle name="Normal 2 87" xfId="2381" xr:uid="{00000000-0005-0000-0000-0000CC160000}"/>
    <cellStyle name="Normal 2 87 2" xfId="4261" xr:uid="{00000000-0005-0000-0000-0000CD160000}"/>
    <cellStyle name="Normal 2 87 3" xfId="7612" xr:uid="{00000000-0005-0000-0000-0000CE160000}"/>
    <cellStyle name="Normal 2 88" xfId="2382" xr:uid="{00000000-0005-0000-0000-0000CF160000}"/>
    <cellStyle name="Normal 2 88 2" xfId="4262" xr:uid="{00000000-0005-0000-0000-0000D0160000}"/>
    <cellStyle name="Normal 2 88 3" xfId="7613" xr:uid="{00000000-0005-0000-0000-0000D1160000}"/>
    <cellStyle name="Normal 2 89" xfId="2383" xr:uid="{00000000-0005-0000-0000-0000D2160000}"/>
    <cellStyle name="Normal 2 89 2" xfId="4263" xr:uid="{00000000-0005-0000-0000-0000D3160000}"/>
    <cellStyle name="Normal 2 89 3" xfId="7614" xr:uid="{00000000-0005-0000-0000-0000D4160000}"/>
    <cellStyle name="Normal 2 9" xfId="551" xr:uid="{00000000-0005-0000-0000-0000D5160000}"/>
    <cellStyle name="Normal 2 9 2" xfId="552" xr:uid="{00000000-0005-0000-0000-0000D6160000}"/>
    <cellStyle name="Normal 2 9 2 10" xfId="2384" xr:uid="{00000000-0005-0000-0000-0000D7160000}"/>
    <cellStyle name="Normal 2 9 2 2" xfId="2694" xr:uid="{00000000-0005-0000-0000-0000D8160000}"/>
    <cellStyle name="Normal 2 9 2 2 2" xfId="2960" xr:uid="{00000000-0005-0000-0000-0000D9160000}"/>
    <cellStyle name="Normal 2 9 2 2 2 2" xfId="4620" xr:uid="{00000000-0005-0000-0000-0000DA160000}"/>
    <cellStyle name="Normal 2 9 2 2 2 3" xfId="8016" xr:uid="{00000000-0005-0000-0000-0000DB160000}"/>
    <cellStyle name="Normal 2 9 2 2 3" xfId="3058" xr:uid="{00000000-0005-0000-0000-0000DC160000}"/>
    <cellStyle name="Normal 2 9 2 2 3 2" xfId="4703" xr:uid="{00000000-0005-0000-0000-0000DD160000}"/>
    <cellStyle name="Normal 2 9 2 2 3 3" xfId="8114" xr:uid="{00000000-0005-0000-0000-0000DE160000}"/>
    <cellStyle name="Normal 2 9 2 2 4" xfId="3737" xr:uid="{00000000-0005-0000-0000-0000DF160000}"/>
    <cellStyle name="Normal 2 9 2 2 4 2" xfId="6138" xr:uid="{00000000-0005-0000-0000-0000E0160000}"/>
    <cellStyle name="Normal 2 9 2 2 4 3" xfId="8651" xr:uid="{00000000-0005-0000-0000-0000E1160000}"/>
    <cellStyle name="Normal 2 9 2 2 5" xfId="2863" xr:uid="{00000000-0005-0000-0000-0000E2160000}"/>
    <cellStyle name="Normal 2 9 2 2 6" xfId="4265" xr:uid="{00000000-0005-0000-0000-0000E3160000}"/>
    <cellStyle name="Normal 2 9 2 2 7" xfId="7888" xr:uid="{00000000-0005-0000-0000-0000E4160000}"/>
    <cellStyle name="Normal 2 9 2 3" xfId="2693" xr:uid="{00000000-0005-0000-0000-0000E5160000}"/>
    <cellStyle name="Normal 2 9 2 3 2" xfId="4621" xr:uid="{00000000-0005-0000-0000-0000E6160000}"/>
    <cellStyle name="Normal 2 9 2 3 3" xfId="7887" xr:uid="{00000000-0005-0000-0000-0000E7160000}"/>
    <cellStyle name="Normal 2 9 2 4" xfId="3059" xr:uid="{00000000-0005-0000-0000-0000E8160000}"/>
    <cellStyle name="Normal 2 9 2 4 2" xfId="4704" xr:uid="{00000000-0005-0000-0000-0000E9160000}"/>
    <cellStyle name="Normal 2 9 2 4 3" xfId="8115" xr:uid="{00000000-0005-0000-0000-0000EA160000}"/>
    <cellStyle name="Normal 2 9 2 5" xfId="3653" xr:uid="{00000000-0005-0000-0000-0000EB160000}"/>
    <cellStyle name="Normal 2 9 2 5 2" xfId="5326" xr:uid="{00000000-0005-0000-0000-0000EC160000}"/>
    <cellStyle name="Normal 2 9 2 5 3" xfId="8603" xr:uid="{00000000-0005-0000-0000-0000ED160000}"/>
    <cellStyle name="Normal 2 9 2 6" xfId="3835" xr:uid="{00000000-0005-0000-0000-0000EE160000}"/>
    <cellStyle name="Normal 2 9 2 6 2" xfId="6216" xr:uid="{00000000-0005-0000-0000-0000EF160000}"/>
    <cellStyle name="Normal 2 9 2 6 3" xfId="8746" xr:uid="{00000000-0005-0000-0000-0000F0160000}"/>
    <cellStyle name="Normal 2 9 2 7" xfId="2864" xr:uid="{00000000-0005-0000-0000-0000F1160000}"/>
    <cellStyle name="Normal 2 9 2 8" xfId="4264" xr:uid="{00000000-0005-0000-0000-0000F2160000}"/>
    <cellStyle name="Normal 2 9 2 9" xfId="7615" xr:uid="{00000000-0005-0000-0000-0000F3160000}"/>
    <cellStyle name="Normal 2 9 3" xfId="2695" xr:uid="{00000000-0005-0000-0000-0000F4160000}"/>
    <cellStyle name="Normal 2 9 3 2" xfId="2959" xr:uid="{00000000-0005-0000-0000-0000F5160000}"/>
    <cellStyle name="Normal 2 9 3 2 2" xfId="4619" xr:uid="{00000000-0005-0000-0000-0000F6160000}"/>
    <cellStyle name="Normal 2 9 3 2 3" xfId="8015" xr:uid="{00000000-0005-0000-0000-0000F7160000}"/>
    <cellStyle name="Normal 2 9 3 3" xfId="3057" xr:uid="{00000000-0005-0000-0000-0000F8160000}"/>
    <cellStyle name="Normal 2 9 3 3 2" xfId="4702" xr:uid="{00000000-0005-0000-0000-0000F9160000}"/>
    <cellStyle name="Normal 2 9 3 3 3" xfId="8113" xr:uid="{00000000-0005-0000-0000-0000FA160000}"/>
    <cellStyle name="Normal 2 9 3 4" xfId="3792" xr:uid="{00000000-0005-0000-0000-0000FB160000}"/>
    <cellStyle name="Normal 2 9 3 4 2" xfId="6182" xr:uid="{00000000-0005-0000-0000-0000FC160000}"/>
    <cellStyle name="Normal 2 9 3 4 3" xfId="8703" xr:uid="{00000000-0005-0000-0000-0000FD160000}"/>
    <cellStyle name="Normal 2 9 3 5" xfId="2862" xr:uid="{00000000-0005-0000-0000-0000FE160000}"/>
    <cellStyle name="Normal 2 9 3 6" xfId="4266" xr:uid="{00000000-0005-0000-0000-0000FF160000}"/>
    <cellStyle name="Normal 2 9 3 7" xfId="7889" xr:uid="{00000000-0005-0000-0000-000000170000}"/>
    <cellStyle name="Normal 2 9 4" xfId="2696" xr:uid="{00000000-0005-0000-0000-000001170000}"/>
    <cellStyle name="Normal 2 9 4 2" xfId="2961" xr:uid="{00000000-0005-0000-0000-000002170000}"/>
    <cellStyle name="Normal 2 9 4 2 2" xfId="4622" xr:uid="{00000000-0005-0000-0000-000003170000}"/>
    <cellStyle name="Normal 2 9 4 2 3" xfId="8017" xr:uid="{00000000-0005-0000-0000-000004170000}"/>
    <cellStyle name="Normal 2 9 4 3" xfId="3060" xr:uid="{00000000-0005-0000-0000-000005170000}"/>
    <cellStyle name="Normal 2 9 4 3 2" xfId="4705" xr:uid="{00000000-0005-0000-0000-000006170000}"/>
    <cellStyle name="Normal 2 9 4 3 3" xfId="8116" xr:uid="{00000000-0005-0000-0000-000007170000}"/>
    <cellStyle name="Normal 2 9 4 4" xfId="3727" xr:uid="{00000000-0005-0000-0000-000008170000}"/>
    <cellStyle name="Normal 2 9 4 4 2" xfId="6131" xr:uid="{00000000-0005-0000-0000-000009170000}"/>
    <cellStyle name="Normal 2 9 4 4 3" xfId="8641" xr:uid="{00000000-0005-0000-0000-00000A170000}"/>
    <cellStyle name="Normal 2 9 4 5" xfId="2865" xr:uid="{00000000-0005-0000-0000-00000B170000}"/>
    <cellStyle name="Normal 2 9 4 6" xfId="4267" xr:uid="{00000000-0005-0000-0000-00000C170000}"/>
    <cellStyle name="Normal 2 9 4 7" xfId="7890" xr:uid="{00000000-0005-0000-0000-00000D170000}"/>
    <cellStyle name="Normal 2 9 5" xfId="3759" xr:uid="{00000000-0005-0000-0000-00000E170000}"/>
    <cellStyle name="Normal 2 9 5 2" xfId="6155" xr:uid="{00000000-0005-0000-0000-00000F170000}"/>
    <cellStyle name="Normal 2 9 5 3" xfId="8672" xr:uid="{00000000-0005-0000-0000-000010170000}"/>
    <cellStyle name="Normal 2 9 6" xfId="3875" xr:uid="{00000000-0005-0000-0000-000011170000}"/>
    <cellStyle name="Normal 2 9 7" xfId="6542" xr:uid="{00000000-0005-0000-0000-000012170000}"/>
    <cellStyle name="Normal 2 9 8" xfId="1290" xr:uid="{00000000-0005-0000-0000-000013170000}"/>
    <cellStyle name="Normal 2 90" xfId="2385" xr:uid="{00000000-0005-0000-0000-000014170000}"/>
    <cellStyle name="Normal 2 90 2" xfId="4268" xr:uid="{00000000-0005-0000-0000-000015170000}"/>
    <cellStyle name="Normal 2 90 3" xfId="7616" xr:uid="{00000000-0005-0000-0000-000016170000}"/>
    <cellStyle name="Normal 2 91" xfId="2386" xr:uid="{00000000-0005-0000-0000-000017170000}"/>
    <cellStyle name="Normal 2 91 2" xfId="4269" xr:uid="{00000000-0005-0000-0000-000018170000}"/>
    <cellStyle name="Normal 2 91 3" xfId="7617" xr:uid="{00000000-0005-0000-0000-000019170000}"/>
    <cellStyle name="Normal 2 92" xfId="2387" xr:uid="{00000000-0005-0000-0000-00001A170000}"/>
    <cellStyle name="Normal 2 92 2" xfId="4270" xr:uid="{00000000-0005-0000-0000-00001B170000}"/>
    <cellStyle name="Normal 2 92 3" xfId="7618" xr:uid="{00000000-0005-0000-0000-00001C170000}"/>
    <cellStyle name="Normal 2 93" xfId="2388" xr:uid="{00000000-0005-0000-0000-00001D170000}"/>
    <cellStyle name="Normal 2 93 2" xfId="4271" xr:uid="{00000000-0005-0000-0000-00001E170000}"/>
    <cellStyle name="Normal 2 93 3" xfId="7619" xr:uid="{00000000-0005-0000-0000-00001F170000}"/>
    <cellStyle name="Normal 2 94" xfId="2389" xr:uid="{00000000-0005-0000-0000-000020170000}"/>
    <cellStyle name="Normal 2 94 2" xfId="4272" xr:uid="{00000000-0005-0000-0000-000021170000}"/>
    <cellStyle name="Normal 2 94 3" xfId="7620" xr:uid="{00000000-0005-0000-0000-000022170000}"/>
    <cellStyle name="Normal 2 95" xfId="2390" xr:uid="{00000000-0005-0000-0000-000023170000}"/>
    <cellStyle name="Normal 2 95 2" xfId="4273" xr:uid="{00000000-0005-0000-0000-000024170000}"/>
    <cellStyle name="Normal 2 95 3" xfId="7621" xr:uid="{00000000-0005-0000-0000-000025170000}"/>
    <cellStyle name="Normal 2 96" xfId="2391" xr:uid="{00000000-0005-0000-0000-000026170000}"/>
    <cellStyle name="Normal 2 96 2" xfId="4274" xr:uid="{00000000-0005-0000-0000-000027170000}"/>
    <cellStyle name="Normal 2 96 3" xfId="7622" xr:uid="{00000000-0005-0000-0000-000028170000}"/>
    <cellStyle name="Normal 2 97" xfId="2392" xr:uid="{00000000-0005-0000-0000-000029170000}"/>
    <cellStyle name="Normal 2 97 2" xfId="4275" xr:uid="{00000000-0005-0000-0000-00002A170000}"/>
    <cellStyle name="Normal 2 97 3" xfId="7623" xr:uid="{00000000-0005-0000-0000-00002B170000}"/>
    <cellStyle name="Normal 2 98" xfId="2393" xr:uid="{00000000-0005-0000-0000-00002C170000}"/>
    <cellStyle name="Normal 2 98 2" xfId="2665" xr:uid="{00000000-0005-0000-0000-00002D170000}"/>
    <cellStyle name="Normal 2 98 3" xfId="4276" xr:uid="{00000000-0005-0000-0000-00002E170000}"/>
    <cellStyle name="Normal 2 98 4" xfId="7624" xr:uid="{00000000-0005-0000-0000-00002F170000}"/>
    <cellStyle name="Normal 2 99" xfId="2394" xr:uid="{00000000-0005-0000-0000-000030170000}"/>
    <cellStyle name="Normal 2 99 2" xfId="4277" xr:uid="{00000000-0005-0000-0000-000031170000}"/>
    <cellStyle name="Normal 2 99 3" xfId="7625" xr:uid="{00000000-0005-0000-0000-000032170000}"/>
    <cellStyle name="Normal 2_global_PO" xfId="3374" xr:uid="{00000000-0005-0000-0000-000033170000}"/>
    <cellStyle name="Normal 20" xfId="553" xr:uid="{00000000-0005-0000-0000-000034170000}"/>
    <cellStyle name="Normal 20 10" xfId="6534" xr:uid="{00000000-0005-0000-0000-000035170000}"/>
    <cellStyle name="Normal 20 11" xfId="1282" xr:uid="{00000000-0005-0000-0000-000036170000}"/>
    <cellStyle name="Normal 20 2" xfId="554" xr:uid="{00000000-0005-0000-0000-000037170000}"/>
    <cellStyle name="Normal 20 2 2" xfId="1626" xr:uid="{00000000-0005-0000-0000-000038170000}"/>
    <cellStyle name="Normal 20 2 2 2" xfId="5652" xr:uid="{00000000-0005-0000-0000-000039170000}"/>
    <cellStyle name="Normal 20 2 2 3" xfId="6877" xr:uid="{00000000-0005-0000-0000-00003A170000}"/>
    <cellStyle name="Normal 20 2 3" xfId="1827" xr:uid="{00000000-0005-0000-0000-00003B170000}"/>
    <cellStyle name="Normal 20 2 3 2" xfId="5848" xr:uid="{00000000-0005-0000-0000-00003C170000}"/>
    <cellStyle name="Normal 20 2 3 3" xfId="7074" xr:uid="{00000000-0005-0000-0000-00003D170000}"/>
    <cellStyle name="Normal 20 2 4" xfId="1920" xr:uid="{00000000-0005-0000-0000-00003E170000}"/>
    <cellStyle name="Normal 20 2 4 2" xfId="5940" xr:uid="{00000000-0005-0000-0000-00003F170000}"/>
    <cellStyle name="Normal 20 2 4 3" xfId="7167" xr:uid="{00000000-0005-0000-0000-000040170000}"/>
    <cellStyle name="Normal 20 2 5" xfId="4278" xr:uid="{00000000-0005-0000-0000-000041170000}"/>
    <cellStyle name="Normal 20 2 6" xfId="6610" xr:uid="{00000000-0005-0000-0000-000042170000}"/>
    <cellStyle name="Normal 20 2 7" xfId="1358" xr:uid="{00000000-0005-0000-0000-000043170000}"/>
    <cellStyle name="Normal 20 3" xfId="1367" xr:uid="{00000000-0005-0000-0000-000044170000}"/>
    <cellStyle name="Normal 20 3 2" xfId="1635" xr:uid="{00000000-0005-0000-0000-000045170000}"/>
    <cellStyle name="Normal 20 3 2 2" xfId="5661" xr:uid="{00000000-0005-0000-0000-000046170000}"/>
    <cellStyle name="Normal 20 3 2 3" xfId="6886" xr:uid="{00000000-0005-0000-0000-000047170000}"/>
    <cellStyle name="Normal 20 3 3" xfId="1834" xr:uid="{00000000-0005-0000-0000-000048170000}"/>
    <cellStyle name="Normal 20 3 3 2" xfId="5855" xr:uid="{00000000-0005-0000-0000-000049170000}"/>
    <cellStyle name="Normal 20 3 3 3" xfId="7081" xr:uid="{00000000-0005-0000-0000-00004A170000}"/>
    <cellStyle name="Normal 20 3 4" xfId="1427" xr:uid="{00000000-0005-0000-0000-00004B170000}"/>
    <cellStyle name="Normal 20 3 4 2" xfId="5457" xr:uid="{00000000-0005-0000-0000-00004C170000}"/>
    <cellStyle name="Normal 20 3 4 3" xfId="6679" xr:uid="{00000000-0005-0000-0000-00004D170000}"/>
    <cellStyle name="Normal 20 3 5" xfId="5400" xr:uid="{00000000-0005-0000-0000-00004E170000}"/>
    <cellStyle name="Normal 20 3 6" xfId="6619" xr:uid="{00000000-0005-0000-0000-00004F170000}"/>
    <cellStyle name="Normal 20 4" xfId="1554" xr:uid="{00000000-0005-0000-0000-000050170000}"/>
    <cellStyle name="Normal 20 4 2" xfId="5581" xr:uid="{00000000-0005-0000-0000-000051170000}"/>
    <cellStyle name="Normal 20 4 3" xfId="6806" xr:uid="{00000000-0005-0000-0000-000052170000}"/>
    <cellStyle name="Normal 20 5" xfId="1759" xr:uid="{00000000-0005-0000-0000-000053170000}"/>
    <cellStyle name="Normal 20 5 2" xfId="5781" xr:uid="{00000000-0005-0000-0000-000054170000}"/>
    <cellStyle name="Normal 20 5 3" xfId="7006" xr:uid="{00000000-0005-0000-0000-000055170000}"/>
    <cellStyle name="Normal 20 6" xfId="1907" xr:uid="{00000000-0005-0000-0000-000056170000}"/>
    <cellStyle name="Normal 20 6 2" xfId="5927" xr:uid="{00000000-0005-0000-0000-000057170000}"/>
    <cellStyle name="Normal 20 6 3" xfId="7154" xr:uid="{00000000-0005-0000-0000-000058170000}"/>
    <cellStyle name="Normal 20 7" xfId="3647" xr:uid="{00000000-0005-0000-0000-000059170000}"/>
    <cellStyle name="Normal 20 7 2" xfId="5319" xr:uid="{00000000-0005-0000-0000-00005A170000}"/>
    <cellStyle name="Normal 20 7 3" xfId="8602" xr:uid="{00000000-0005-0000-0000-00005B170000}"/>
    <cellStyle name="Normal 20 8" xfId="3375" xr:uid="{00000000-0005-0000-0000-00005C170000}"/>
    <cellStyle name="Normal 20 9" xfId="5006" xr:uid="{00000000-0005-0000-0000-00005D170000}"/>
    <cellStyle name="Normal 21" xfId="555" xr:uid="{00000000-0005-0000-0000-00005E170000}"/>
    <cellStyle name="Normal 21 2" xfId="1601" xr:uid="{00000000-0005-0000-0000-00005F170000}"/>
    <cellStyle name="Normal 21 2 2" xfId="5627" xr:uid="{00000000-0005-0000-0000-000060170000}"/>
    <cellStyle name="Normal 21 2 3" xfId="6852" xr:uid="{00000000-0005-0000-0000-000061170000}"/>
    <cellStyle name="Normal 21 3" xfId="1803" xr:uid="{00000000-0005-0000-0000-000062170000}"/>
    <cellStyle name="Normal 21 3 2" xfId="5824" xr:uid="{00000000-0005-0000-0000-000063170000}"/>
    <cellStyle name="Normal 21 3 3" xfId="7050" xr:uid="{00000000-0005-0000-0000-000064170000}"/>
    <cellStyle name="Normal 21 4" xfId="2000" xr:uid="{00000000-0005-0000-0000-000065170000}"/>
    <cellStyle name="Normal 21 4 2" xfId="6019" xr:uid="{00000000-0005-0000-0000-000066170000}"/>
    <cellStyle name="Normal 21 4 3" xfId="7247" xr:uid="{00000000-0005-0000-0000-000067170000}"/>
    <cellStyle name="Normal 21 5" xfId="5007" xr:uid="{00000000-0005-0000-0000-000068170000}"/>
    <cellStyle name="Normal 21 6" xfId="6585" xr:uid="{00000000-0005-0000-0000-000069170000}"/>
    <cellStyle name="Normal 21 7" xfId="1333" xr:uid="{00000000-0005-0000-0000-00006A170000}"/>
    <cellStyle name="Normal 22" xfId="556" xr:uid="{00000000-0005-0000-0000-00006B170000}"/>
    <cellStyle name="Normal 22 2" xfId="1602" xr:uid="{00000000-0005-0000-0000-00006C170000}"/>
    <cellStyle name="Normal 22 2 2" xfId="5628" xr:uid="{00000000-0005-0000-0000-00006D170000}"/>
    <cellStyle name="Normal 22 2 3" xfId="6853" xr:uid="{00000000-0005-0000-0000-00006E170000}"/>
    <cellStyle name="Normal 22 3" xfId="1804" xr:uid="{00000000-0005-0000-0000-00006F170000}"/>
    <cellStyle name="Normal 22 3 2" xfId="5825" xr:uid="{00000000-0005-0000-0000-000070170000}"/>
    <cellStyle name="Normal 22 3 3" xfId="7051" xr:uid="{00000000-0005-0000-0000-000071170000}"/>
    <cellStyle name="Normal 22 4" xfId="1918" xr:uid="{00000000-0005-0000-0000-000072170000}"/>
    <cellStyle name="Normal 22 4 2" xfId="5938" xr:uid="{00000000-0005-0000-0000-000073170000}"/>
    <cellStyle name="Normal 22 4 3" xfId="7165" xr:uid="{00000000-0005-0000-0000-000074170000}"/>
    <cellStyle name="Normal 22 5" xfId="5008" xr:uid="{00000000-0005-0000-0000-000075170000}"/>
    <cellStyle name="Normal 22 6" xfId="6586" xr:uid="{00000000-0005-0000-0000-000076170000}"/>
    <cellStyle name="Normal 22 7" xfId="1334" xr:uid="{00000000-0005-0000-0000-000077170000}"/>
    <cellStyle name="Normal 23" xfId="557" xr:uid="{00000000-0005-0000-0000-000078170000}"/>
    <cellStyle name="Normal 23 2" xfId="1645" xr:uid="{00000000-0005-0000-0000-000079170000}"/>
    <cellStyle name="Normal 23 2 2" xfId="5669" xr:uid="{00000000-0005-0000-0000-00007A170000}"/>
    <cellStyle name="Normal 23 2 3" xfId="6894" xr:uid="{00000000-0005-0000-0000-00007B170000}"/>
    <cellStyle name="Normal 23 3" xfId="1841" xr:uid="{00000000-0005-0000-0000-00007C170000}"/>
    <cellStyle name="Normal 23 3 2" xfId="5862" xr:uid="{00000000-0005-0000-0000-00007D170000}"/>
    <cellStyle name="Normal 23 3 3" xfId="7088" xr:uid="{00000000-0005-0000-0000-00007E170000}"/>
    <cellStyle name="Normal 23 4" xfId="2026" xr:uid="{00000000-0005-0000-0000-00007F170000}"/>
    <cellStyle name="Normal 23 4 2" xfId="6045" xr:uid="{00000000-0005-0000-0000-000080170000}"/>
    <cellStyle name="Normal 23 4 3" xfId="7273" xr:uid="{00000000-0005-0000-0000-000081170000}"/>
    <cellStyle name="Normal 23 5" xfId="3668" xr:uid="{00000000-0005-0000-0000-000082170000}"/>
    <cellStyle name="Normal 23 5 2" xfId="5406" xr:uid="{00000000-0005-0000-0000-000083170000}"/>
    <cellStyle name="Normal 23 5 3" xfId="8608" xr:uid="{00000000-0005-0000-0000-000084170000}"/>
    <cellStyle name="Normal 23 6" xfId="3376" xr:uid="{00000000-0005-0000-0000-000085170000}"/>
    <cellStyle name="Normal 23 7" xfId="5009" xr:uid="{00000000-0005-0000-0000-000086170000}"/>
    <cellStyle name="Normal 23 8" xfId="6627" xr:uid="{00000000-0005-0000-0000-000087170000}"/>
    <cellStyle name="Normal 23 9" xfId="1375" xr:uid="{00000000-0005-0000-0000-000088170000}"/>
    <cellStyle name="Normal 24" xfId="558" xr:uid="{00000000-0005-0000-0000-000089170000}"/>
    <cellStyle name="Normal 24 2" xfId="1659" xr:uid="{00000000-0005-0000-0000-00008A170000}"/>
    <cellStyle name="Normal 24 2 2" xfId="5683" xr:uid="{00000000-0005-0000-0000-00008B170000}"/>
    <cellStyle name="Normal 24 2 3" xfId="6908" xr:uid="{00000000-0005-0000-0000-00008C170000}"/>
    <cellStyle name="Normal 24 3" xfId="1855" xr:uid="{00000000-0005-0000-0000-00008D170000}"/>
    <cellStyle name="Normal 24 3 2" xfId="5876" xr:uid="{00000000-0005-0000-0000-00008E170000}"/>
    <cellStyle name="Normal 24 3 3" xfId="7102" xr:uid="{00000000-0005-0000-0000-00008F170000}"/>
    <cellStyle name="Normal 24 4" xfId="2040" xr:uid="{00000000-0005-0000-0000-000090170000}"/>
    <cellStyle name="Normal 24 4 2" xfId="6059" xr:uid="{00000000-0005-0000-0000-000091170000}"/>
    <cellStyle name="Normal 24 4 3" xfId="7287" xr:uid="{00000000-0005-0000-0000-000092170000}"/>
    <cellStyle name="Normal 24 5" xfId="3670" xr:uid="{00000000-0005-0000-0000-000093170000}"/>
    <cellStyle name="Normal 24 5 2" xfId="5420" xr:uid="{00000000-0005-0000-0000-000094170000}"/>
    <cellStyle name="Normal 24 5 3" xfId="8609" xr:uid="{00000000-0005-0000-0000-000095170000}"/>
    <cellStyle name="Normal 24 6" xfId="3377" xr:uid="{00000000-0005-0000-0000-000096170000}"/>
    <cellStyle name="Normal 24 7" xfId="5010" xr:uid="{00000000-0005-0000-0000-000097170000}"/>
    <cellStyle name="Normal 24 8" xfId="6641" xr:uid="{00000000-0005-0000-0000-000098170000}"/>
    <cellStyle name="Normal 24 9" xfId="1389" xr:uid="{00000000-0005-0000-0000-000099170000}"/>
    <cellStyle name="Normal 25" xfId="559" xr:uid="{00000000-0005-0000-0000-00009A170000}"/>
    <cellStyle name="Normal 25 2" xfId="1445" xr:uid="{00000000-0005-0000-0000-00009B170000}"/>
    <cellStyle name="Normal 25 2 2" xfId="1896" xr:uid="{00000000-0005-0000-0000-00009C170000}"/>
    <cellStyle name="Normal 25 2 2 2" xfId="5916" xr:uid="{00000000-0005-0000-0000-00009D170000}"/>
    <cellStyle name="Normal 25 2 2 3" xfId="7143" xr:uid="{00000000-0005-0000-0000-00009E170000}"/>
    <cellStyle name="Normal 25 2 3" xfId="2067" xr:uid="{00000000-0005-0000-0000-00009F170000}"/>
    <cellStyle name="Normal 25 2 3 2" xfId="6086" xr:uid="{00000000-0005-0000-0000-0000A0170000}"/>
    <cellStyle name="Normal 25 2 3 3" xfId="7314" xr:uid="{00000000-0005-0000-0000-0000A1170000}"/>
    <cellStyle name="Normal 25 2 4" xfId="5474" xr:uid="{00000000-0005-0000-0000-0000A2170000}"/>
    <cellStyle name="Normal 25 2 5" xfId="6697" xr:uid="{00000000-0005-0000-0000-0000A3170000}"/>
    <cellStyle name="Normal 25 3" xfId="1606" xr:uid="{00000000-0005-0000-0000-0000A4170000}"/>
    <cellStyle name="Normal 25 3 2" xfId="5632" xr:uid="{00000000-0005-0000-0000-0000A5170000}"/>
    <cellStyle name="Normal 25 3 3" xfId="6857" xr:uid="{00000000-0005-0000-0000-0000A6170000}"/>
    <cellStyle name="Normal 25 4" xfId="2082" xr:uid="{00000000-0005-0000-0000-0000A7170000}"/>
    <cellStyle name="Normal 25 4 2" xfId="6101" xr:uid="{00000000-0005-0000-0000-0000A8170000}"/>
    <cellStyle name="Normal 25 4 3" xfId="7329" xr:uid="{00000000-0005-0000-0000-0000A9170000}"/>
    <cellStyle name="Normal 25 5" xfId="3711" xr:uid="{00000000-0005-0000-0000-0000AA170000}"/>
    <cellStyle name="Normal 25 5 2" xfId="6114" xr:uid="{00000000-0005-0000-0000-0000AB170000}"/>
    <cellStyle name="Normal 25 5 3" xfId="8625" xr:uid="{00000000-0005-0000-0000-0000AC170000}"/>
    <cellStyle name="Normal 25 6" xfId="5011" xr:uid="{00000000-0005-0000-0000-0000AD170000}"/>
    <cellStyle name="Normal 25 7" xfId="7342" xr:uid="{00000000-0005-0000-0000-0000AE170000}"/>
    <cellStyle name="Normal 25 8" xfId="2097" xr:uid="{00000000-0005-0000-0000-0000AF170000}"/>
    <cellStyle name="Normal 26" xfId="560" xr:uid="{00000000-0005-0000-0000-0000B0170000}"/>
    <cellStyle name="Normal 26 2" xfId="1878" xr:uid="{00000000-0005-0000-0000-0000B1170000}"/>
    <cellStyle name="Normal 26 2 2" xfId="5898" xr:uid="{00000000-0005-0000-0000-0000B2170000}"/>
    <cellStyle name="Normal 26 2 3" xfId="7125" xr:uid="{00000000-0005-0000-0000-0000B3170000}"/>
    <cellStyle name="Normal 26 3" xfId="3712" xr:uid="{00000000-0005-0000-0000-0000B4170000}"/>
    <cellStyle name="Normal 26 3 2" xfId="6115" xr:uid="{00000000-0005-0000-0000-0000B5170000}"/>
    <cellStyle name="Normal 26 3 3" xfId="8626" xr:uid="{00000000-0005-0000-0000-0000B6170000}"/>
    <cellStyle name="Normal 26 4" xfId="5012" xr:uid="{00000000-0005-0000-0000-0000B7170000}"/>
    <cellStyle name="Normal 26 5" xfId="7343" xr:uid="{00000000-0005-0000-0000-0000B8170000}"/>
    <cellStyle name="Normal 26 6" xfId="2098" xr:uid="{00000000-0005-0000-0000-0000B9170000}"/>
    <cellStyle name="Normal 27" xfId="561" xr:uid="{00000000-0005-0000-0000-0000BA170000}"/>
    <cellStyle name="Normal 27 2" xfId="3713" xr:uid="{00000000-0005-0000-0000-0000BB170000}"/>
    <cellStyle name="Normal 27 2 2" xfId="6116" xr:uid="{00000000-0005-0000-0000-0000BC170000}"/>
    <cellStyle name="Normal 27 2 3" xfId="8627" xr:uid="{00000000-0005-0000-0000-0000BD170000}"/>
    <cellStyle name="Normal 27 3" xfId="3378" xr:uid="{00000000-0005-0000-0000-0000BE170000}"/>
    <cellStyle name="Normal 27 4" xfId="5013" xr:uid="{00000000-0005-0000-0000-0000BF170000}"/>
    <cellStyle name="Normal 27 5" xfId="7344" xr:uid="{00000000-0005-0000-0000-0000C0170000}"/>
    <cellStyle name="Normal 27 6" xfId="2099" xr:uid="{00000000-0005-0000-0000-0000C1170000}"/>
    <cellStyle name="Normal 28" xfId="562" xr:uid="{00000000-0005-0000-0000-0000C2170000}"/>
    <cellStyle name="Normal 28 2" xfId="5014" xr:uid="{00000000-0005-0000-0000-0000C3170000}"/>
    <cellStyle name="Normal 28 3" xfId="7345" xr:uid="{00000000-0005-0000-0000-0000C4170000}"/>
    <cellStyle name="Normal 28 4" xfId="2100" xr:uid="{00000000-0005-0000-0000-0000C5170000}"/>
    <cellStyle name="Normal 29" xfId="563" xr:uid="{00000000-0005-0000-0000-0000C6170000}"/>
    <cellStyle name="Normal 29 2" xfId="5015" xr:uid="{00000000-0005-0000-0000-0000C7170000}"/>
    <cellStyle name="Normal 29 3" xfId="7346" xr:uid="{00000000-0005-0000-0000-0000C8170000}"/>
    <cellStyle name="Normal 29 4" xfId="2101" xr:uid="{00000000-0005-0000-0000-0000C9170000}"/>
    <cellStyle name="Normal 3" xfId="564" xr:uid="{00000000-0005-0000-0000-0000CA170000}"/>
    <cellStyle name="Normal 3 10" xfId="565" xr:uid="{00000000-0005-0000-0000-0000CB170000}"/>
    <cellStyle name="Normal 3 10 2" xfId="2395" xr:uid="{00000000-0005-0000-0000-0000CC170000}"/>
    <cellStyle name="Normal 3 10 3" xfId="4279" xr:uid="{00000000-0005-0000-0000-0000CD170000}"/>
    <cellStyle name="Normal 3 10 4" xfId="7626" xr:uid="{00000000-0005-0000-0000-0000CE170000}"/>
    <cellStyle name="Normal 3 10 5" xfId="2396" xr:uid="{00000000-0005-0000-0000-0000CF170000}"/>
    <cellStyle name="Normal 3 11" xfId="566" xr:uid="{00000000-0005-0000-0000-0000D0170000}"/>
    <cellStyle name="Normal 3 11 2" xfId="2398" xr:uid="{00000000-0005-0000-0000-0000D1170000}"/>
    <cellStyle name="Normal 3 11 2 2" xfId="4281" xr:uid="{00000000-0005-0000-0000-0000D2170000}"/>
    <cellStyle name="Normal 3 11 2 3" xfId="7628" xr:uid="{00000000-0005-0000-0000-0000D3170000}"/>
    <cellStyle name="Normal 3 11 3" xfId="2399" xr:uid="{00000000-0005-0000-0000-0000D4170000}"/>
    <cellStyle name="Normal 3 11 3 2" xfId="4282" xr:uid="{00000000-0005-0000-0000-0000D5170000}"/>
    <cellStyle name="Normal 3 11 3 3" xfId="7629" xr:uid="{00000000-0005-0000-0000-0000D6170000}"/>
    <cellStyle name="Normal 3 11 4" xfId="2400" xr:uid="{00000000-0005-0000-0000-0000D7170000}"/>
    <cellStyle name="Normal 3 11 4 2" xfId="4283" xr:uid="{00000000-0005-0000-0000-0000D8170000}"/>
    <cellStyle name="Normal 3 11 4 3" xfId="7630" xr:uid="{00000000-0005-0000-0000-0000D9170000}"/>
    <cellStyle name="Normal 3 11 5" xfId="2664" xr:uid="{00000000-0005-0000-0000-0000DA170000}"/>
    <cellStyle name="Normal 3 11 6" xfId="4280" xr:uid="{00000000-0005-0000-0000-0000DB170000}"/>
    <cellStyle name="Normal 3 11 7" xfId="7627" xr:uid="{00000000-0005-0000-0000-0000DC170000}"/>
    <cellStyle name="Normal 3 11 8" xfId="2397" xr:uid="{00000000-0005-0000-0000-0000DD170000}"/>
    <cellStyle name="Normal 3 12" xfId="567" xr:uid="{00000000-0005-0000-0000-0000DE170000}"/>
    <cellStyle name="Normal 3 12 2" xfId="5017" xr:uid="{00000000-0005-0000-0000-0000DF170000}"/>
    <cellStyle name="Normal 3 12 3" xfId="8408" xr:uid="{00000000-0005-0000-0000-0000E0170000}"/>
    <cellStyle name="Normal 3 12 4" xfId="3380" xr:uid="{00000000-0005-0000-0000-0000E1170000}"/>
    <cellStyle name="Normal 3 13" xfId="568" xr:uid="{00000000-0005-0000-0000-0000E2170000}"/>
    <cellStyle name="Normal 3 13 2" xfId="5016" xr:uid="{00000000-0005-0000-0000-0000E3170000}"/>
    <cellStyle name="Normal 3 13 3" xfId="8407" xr:uid="{00000000-0005-0000-0000-0000E4170000}"/>
    <cellStyle name="Normal 3 13 4" xfId="3379" xr:uid="{00000000-0005-0000-0000-0000E5170000}"/>
    <cellStyle name="Normal 3 14" xfId="569" xr:uid="{00000000-0005-0000-0000-0000E6170000}"/>
    <cellStyle name="Normal 3 14 2" xfId="3859" xr:uid="{00000000-0005-0000-0000-0000E7170000}"/>
    <cellStyle name="Normal 3 15" xfId="570" xr:uid="{00000000-0005-0000-0000-0000E8170000}"/>
    <cellStyle name="Normal 3 15 2" xfId="6277" xr:uid="{00000000-0005-0000-0000-0000E9170000}"/>
    <cellStyle name="Normal 3 16" xfId="995" xr:uid="{00000000-0005-0000-0000-0000EA170000}"/>
    <cellStyle name="Normal 3 17" xfId="571" xr:uid="{00000000-0005-0000-0000-0000EB170000}"/>
    <cellStyle name="Normal 3 2" xfId="572" xr:uid="{00000000-0005-0000-0000-0000EC170000}"/>
    <cellStyle name="Normal 3 2 10" xfId="989"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7" xr:uid="{00000000-0005-0000-0000-0000F1170000}"/>
    <cellStyle name="Normal 3 2 2 2 2 3" xfId="7891" xr:uid="{00000000-0005-0000-0000-0000F2170000}"/>
    <cellStyle name="Normal 3 2 2 2 2 4" xfId="2697" xr:uid="{00000000-0005-0000-0000-0000F3170000}"/>
    <cellStyle name="Normal 3 2 2 2 3" xfId="3055" xr:uid="{00000000-0005-0000-0000-0000F4170000}"/>
    <cellStyle name="Normal 3 2 2 2 3 2" xfId="4700" xr:uid="{00000000-0005-0000-0000-0000F5170000}"/>
    <cellStyle name="Normal 3 2 2 2 3 3" xfId="8111" xr:uid="{00000000-0005-0000-0000-0000F6170000}"/>
    <cellStyle name="Normal 3 2 2 2 4" xfId="3748" xr:uid="{00000000-0005-0000-0000-0000F7170000}"/>
    <cellStyle name="Normal 3 2 2 2 4 2" xfId="6146" xr:uid="{00000000-0005-0000-0000-0000F8170000}"/>
    <cellStyle name="Normal 3 2 2 2 4 3" xfId="8662" xr:uid="{00000000-0005-0000-0000-0000F9170000}"/>
    <cellStyle name="Normal 3 2 2 2 5" xfId="2860" xr:uid="{00000000-0005-0000-0000-0000FA170000}"/>
    <cellStyle name="Normal 3 2 2 2 6" xfId="4284" xr:uid="{00000000-0005-0000-0000-0000FB170000}"/>
    <cellStyle name="Normal 3 2 2 2 7" xfId="7631" xr:uid="{00000000-0005-0000-0000-0000FC170000}"/>
    <cellStyle name="Normal 3 2 2 2 8" xfId="2401" xr:uid="{00000000-0005-0000-0000-0000FD170000}"/>
    <cellStyle name="Normal 3 2 2 3" xfId="576" xr:uid="{00000000-0005-0000-0000-0000FE170000}"/>
    <cellStyle name="Normal 3 2 2 3 2" xfId="577" xr:uid="{00000000-0005-0000-0000-0000FF170000}"/>
    <cellStyle name="Normal 3 2 2 3 2 2" xfId="4618" xr:uid="{00000000-0005-0000-0000-000000180000}"/>
    <cellStyle name="Normal 3 2 2 3 2 3" xfId="8014" xr:uid="{00000000-0005-0000-0000-000001180000}"/>
    <cellStyle name="Normal 3 2 2 3 2 4" xfId="2958" xr:uid="{00000000-0005-0000-0000-000002180000}"/>
    <cellStyle name="Normal 3 2 2 3 3" xfId="3056" xr:uid="{00000000-0005-0000-0000-000003180000}"/>
    <cellStyle name="Normal 3 2 2 3 3 2" xfId="4701" xr:uid="{00000000-0005-0000-0000-000004180000}"/>
    <cellStyle name="Normal 3 2 2 3 3 3" xfId="8112" xr:uid="{00000000-0005-0000-0000-000005180000}"/>
    <cellStyle name="Normal 3 2 2 3 4" xfId="3791" xr:uid="{00000000-0005-0000-0000-000006180000}"/>
    <cellStyle name="Normal 3 2 2 3 4 2" xfId="6181" xr:uid="{00000000-0005-0000-0000-000007180000}"/>
    <cellStyle name="Normal 3 2 2 3 4 3" xfId="8702" xr:uid="{00000000-0005-0000-0000-000008180000}"/>
    <cellStyle name="Normal 3 2 2 3 5" xfId="2861" xr:uid="{00000000-0005-0000-0000-000009180000}"/>
    <cellStyle name="Normal 3 2 2 3 6" xfId="4285" xr:uid="{00000000-0005-0000-0000-00000A180000}"/>
    <cellStyle name="Normal 3 2 2 3 7" xfId="7892" xr:uid="{00000000-0005-0000-0000-00000B180000}"/>
    <cellStyle name="Normal 3 2 2 3 8" xfId="2698" xr:uid="{00000000-0005-0000-0000-00000C180000}"/>
    <cellStyle name="Normal 3 2 2 4" xfId="578" xr:uid="{00000000-0005-0000-0000-00000D180000}"/>
    <cellStyle name="Normal 3 2 2 4 2" xfId="3569" xr:uid="{00000000-0005-0000-0000-00000E180000}"/>
    <cellStyle name="Normal 3 2 2 4 3" xfId="5181" xr:uid="{00000000-0005-0000-0000-00000F180000}"/>
    <cellStyle name="Normal 3 2 2 4 4" xfId="7846" xr:uid="{00000000-0005-0000-0000-000010180000}"/>
    <cellStyle name="Normal 3 2 2 4 5" xfId="2629" xr:uid="{00000000-0005-0000-0000-000011180000}"/>
    <cellStyle name="Normal 3 2 2 5" xfId="579" xr:uid="{00000000-0005-0000-0000-000012180000}"/>
    <cellStyle name="Normal 3 2 2 5 2" xfId="2840" xr:uid="{00000000-0005-0000-0000-000013180000}"/>
    <cellStyle name="Normal 3 2 2 6" xfId="3884" xr:uid="{00000000-0005-0000-0000-000014180000}"/>
    <cellStyle name="Normal 3 2 2 7" xfId="4545" xr:uid="{00000000-0005-0000-0000-000015180000}"/>
    <cellStyle name="Normal 3 2 2 8" xfId="6428" xr:uid="{00000000-0005-0000-0000-000016180000}"/>
    <cellStyle name="Normal 3 2 2 9" xfId="1176"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3" xr:uid="{00000000-0005-0000-0000-00001B180000}"/>
    <cellStyle name="Normal 3 2 3 2 4" xfId="2957" xr:uid="{00000000-0005-0000-0000-00001C180000}"/>
    <cellStyle name="Normal 3 2 3 3" xfId="583" xr:uid="{00000000-0005-0000-0000-00001D180000}"/>
    <cellStyle name="Normal 3 2 3 3 2" xfId="584" xr:uid="{00000000-0005-0000-0000-00001E180000}"/>
    <cellStyle name="Normal 3 2 3 3 3" xfId="8110" xr:uid="{00000000-0005-0000-0000-00001F180000}"/>
    <cellStyle name="Normal 3 2 3 3 4" xfId="3054"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6" xr:uid="{00000000-0005-0000-0000-000025180000}"/>
    <cellStyle name="Normal 3 2 3 4 4" xfId="3753"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9" xr:uid="{00000000-0005-0000-0000-00002A180000}"/>
    <cellStyle name="Normal 3 2 3 6" xfId="592" xr:uid="{00000000-0005-0000-0000-00002B180000}"/>
    <cellStyle name="Normal 3 2 3 7" xfId="593" xr:uid="{00000000-0005-0000-0000-00002C180000}"/>
    <cellStyle name="Normal 3 2 3 7 2" xfId="7893" xr:uid="{00000000-0005-0000-0000-00002D180000}"/>
    <cellStyle name="Normal 3 2 3 8" xfId="2699"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7" xr:uid="{00000000-0005-0000-0000-000032180000}"/>
    <cellStyle name="Normal 3 2 4 3" xfId="597" xr:uid="{00000000-0005-0000-0000-000033180000}"/>
    <cellStyle name="Normal 3 2 4 3 2" xfId="598" xr:uid="{00000000-0005-0000-0000-000034180000}"/>
    <cellStyle name="Normal 3 2 4 3 3" xfId="8721" xr:uid="{00000000-0005-0000-0000-000035180000}"/>
    <cellStyle name="Normal 3 2 4 4" xfId="599" xr:uid="{00000000-0005-0000-0000-000036180000}"/>
    <cellStyle name="Normal 3 2 4 5" xfId="3810"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6" xr:uid="{00000000-0005-0000-0000-00003B180000}"/>
    <cellStyle name="Normal 3 2 6" xfId="603" xr:uid="{00000000-0005-0000-0000-00003C180000}"/>
    <cellStyle name="Normal 3 2 6 2" xfId="604" xr:uid="{00000000-0005-0000-0000-00003D180000}"/>
    <cellStyle name="Normal 3 2 6 3" xfId="6276" xr:uid="{00000000-0005-0000-0000-00003E180000}"/>
    <cellStyle name="Normal 3 2 7" xfId="605" xr:uid="{00000000-0005-0000-0000-00003F180000}"/>
    <cellStyle name="Normal 3 2 7 2" xfId="994"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7" xr:uid="{00000000-0005-0000-0000-000045180000}"/>
    <cellStyle name="Normal 3 3 2" xfId="1154" xr:uid="{00000000-0005-0000-0000-000046180000}"/>
    <cellStyle name="Normal 3 3 2 2" xfId="2116" xr:uid="{00000000-0005-0000-0000-000047180000}"/>
    <cellStyle name="Normal 3 3 2 2 2" xfId="2956" xr:uid="{00000000-0005-0000-0000-000048180000}"/>
    <cellStyle name="Normal 3 3 2 2 2 2" xfId="4616" xr:uid="{00000000-0005-0000-0000-000049180000}"/>
    <cellStyle name="Normal 3 3 2 2 2 3" xfId="8012" xr:uid="{00000000-0005-0000-0000-00004A180000}"/>
    <cellStyle name="Normal 3 3 2 2 3" xfId="3053" xr:uid="{00000000-0005-0000-0000-00004B180000}"/>
    <cellStyle name="Normal 3 3 2 2 3 2" xfId="4699" xr:uid="{00000000-0005-0000-0000-00004C180000}"/>
    <cellStyle name="Normal 3 3 2 2 3 3" xfId="8109" xr:uid="{00000000-0005-0000-0000-00004D180000}"/>
    <cellStyle name="Normal 3 3 2 2 4" xfId="3821" xr:uid="{00000000-0005-0000-0000-00004E180000}"/>
    <cellStyle name="Normal 3 3 2 2 4 2" xfId="6206" xr:uid="{00000000-0005-0000-0000-00004F180000}"/>
    <cellStyle name="Normal 3 3 2 2 4 3" xfId="8732" xr:uid="{00000000-0005-0000-0000-000050180000}"/>
    <cellStyle name="Normal 3 3 2 2 5" xfId="2858" xr:uid="{00000000-0005-0000-0000-000051180000}"/>
    <cellStyle name="Normal 3 3 2 2 6" xfId="4288" xr:uid="{00000000-0005-0000-0000-000052180000}"/>
    <cellStyle name="Normal 3 3 2 2 7" xfId="7360" xr:uid="{00000000-0005-0000-0000-000053180000}"/>
    <cellStyle name="Normal 3 3 2 3" xfId="2700" xr:uid="{00000000-0005-0000-0000-000054180000}"/>
    <cellStyle name="Normal 3 3 2 3 2" xfId="2928" xr:uid="{00000000-0005-0000-0000-000055180000}"/>
    <cellStyle name="Normal 3 3 2 3 2 2" xfId="4596" xr:uid="{00000000-0005-0000-0000-000056180000}"/>
    <cellStyle name="Normal 3 3 2 3 2 3" xfId="7985" xr:uid="{00000000-0005-0000-0000-000057180000}"/>
    <cellStyle name="Normal 3 3 2 3 3" xfId="3021" xr:uid="{00000000-0005-0000-0000-000058180000}"/>
    <cellStyle name="Normal 3 3 2 3 3 2" xfId="4680" xr:uid="{00000000-0005-0000-0000-000059180000}"/>
    <cellStyle name="Normal 3 3 2 3 3 3" xfId="8077" xr:uid="{00000000-0005-0000-0000-00005A180000}"/>
    <cellStyle name="Normal 3 3 2 3 4" xfId="3794" xr:uid="{00000000-0005-0000-0000-00005B180000}"/>
    <cellStyle name="Normal 3 3 2 3 4 2" xfId="6184" xr:uid="{00000000-0005-0000-0000-00005C180000}"/>
    <cellStyle name="Normal 3 3 2 3 4 3" xfId="8705" xr:uid="{00000000-0005-0000-0000-00005D180000}"/>
    <cellStyle name="Normal 3 3 2 3 5" xfId="2822" xr:uid="{00000000-0005-0000-0000-00005E180000}"/>
    <cellStyle name="Normal 3 3 2 3 6" xfId="4289" xr:uid="{00000000-0005-0000-0000-00005F180000}"/>
    <cellStyle name="Normal 3 3 2 3 7" xfId="7894" xr:uid="{00000000-0005-0000-0000-000060180000}"/>
    <cellStyle name="Normal 3 3 2 4" xfId="2917" xr:uid="{00000000-0005-0000-0000-000061180000}"/>
    <cellStyle name="Normal 3 3 2 4 2" xfId="4585" xr:uid="{00000000-0005-0000-0000-000062180000}"/>
    <cellStyle name="Normal 3 3 2 4 3" xfId="7974" xr:uid="{00000000-0005-0000-0000-000063180000}"/>
    <cellStyle name="Normal 3 3 2 5" xfId="3009" xr:uid="{00000000-0005-0000-0000-000064180000}"/>
    <cellStyle name="Normal 3 3 2 5 2" xfId="4669" xr:uid="{00000000-0005-0000-0000-000065180000}"/>
    <cellStyle name="Normal 3 3 2 5 3" xfId="8065" xr:uid="{00000000-0005-0000-0000-000066180000}"/>
    <cellStyle name="Normal 3 3 2 6" xfId="3811" xr:uid="{00000000-0005-0000-0000-000067180000}"/>
    <cellStyle name="Normal 3 3 2 6 2" xfId="6198" xr:uid="{00000000-0005-0000-0000-000068180000}"/>
    <cellStyle name="Normal 3 3 2 6 3" xfId="8722" xr:uid="{00000000-0005-0000-0000-000069180000}"/>
    <cellStyle name="Normal 3 3 2 7" xfId="2808" xr:uid="{00000000-0005-0000-0000-00006A180000}"/>
    <cellStyle name="Normal 3 3 2 8" xfId="4287" xr:uid="{00000000-0005-0000-0000-00006B180000}"/>
    <cellStyle name="Normal 3 3 2 9" xfId="6409" xr:uid="{00000000-0005-0000-0000-00006C180000}"/>
    <cellStyle name="Normal 3 3 3" xfId="1170" xr:uid="{00000000-0005-0000-0000-00006D180000}"/>
    <cellStyle name="Normal 3 3 3 2" xfId="2701" xr:uid="{00000000-0005-0000-0000-00006E180000}"/>
    <cellStyle name="Normal 3 3 3 2 2" xfId="4608" xr:uid="{00000000-0005-0000-0000-00006F180000}"/>
    <cellStyle name="Normal 3 3 3 2 3" xfId="7895" xr:uid="{00000000-0005-0000-0000-000070180000}"/>
    <cellStyle name="Normal 3 3 3 3" xfId="3044" xr:uid="{00000000-0005-0000-0000-000071180000}"/>
    <cellStyle name="Normal 3 3 3 3 2" xfId="4691" xr:uid="{00000000-0005-0000-0000-000072180000}"/>
    <cellStyle name="Normal 3 3 3 3 3" xfId="8100" xr:uid="{00000000-0005-0000-0000-000073180000}"/>
    <cellStyle name="Normal 3 3 3 4" xfId="3827" xr:uid="{00000000-0005-0000-0000-000074180000}"/>
    <cellStyle name="Normal 3 3 3 4 2" xfId="6210" xr:uid="{00000000-0005-0000-0000-000075180000}"/>
    <cellStyle name="Normal 3 3 3 4 3" xfId="8738" xr:uid="{00000000-0005-0000-0000-000076180000}"/>
    <cellStyle name="Normal 3 3 3 5" xfId="2849" xr:uid="{00000000-0005-0000-0000-000077180000}"/>
    <cellStyle name="Normal 3 3 3 6" xfId="4290" xr:uid="{00000000-0005-0000-0000-000078180000}"/>
    <cellStyle name="Normal 3 3 3 7" xfId="6423" xr:uid="{00000000-0005-0000-0000-000079180000}"/>
    <cellStyle name="Normal 3 3 4" xfId="2908" xr:uid="{00000000-0005-0000-0000-00007A180000}"/>
    <cellStyle name="Normal 3 3 4 2" xfId="3804" xr:uid="{00000000-0005-0000-0000-00007B180000}"/>
    <cellStyle name="Normal 3 3 4 2 2" xfId="6194" xr:uid="{00000000-0005-0000-0000-00007C180000}"/>
    <cellStyle name="Normal 3 3 4 2 3" xfId="8715" xr:uid="{00000000-0005-0000-0000-00007D180000}"/>
    <cellStyle name="Normal 3 3 4 3" xfId="4575" xr:uid="{00000000-0005-0000-0000-00007E180000}"/>
    <cellStyle name="Normal 3 3 4 4" xfId="7967" xr:uid="{00000000-0005-0000-0000-00007F180000}"/>
    <cellStyle name="Normal 3 3 5" xfId="2998" xr:uid="{00000000-0005-0000-0000-000080180000}"/>
    <cellStyle name="Normal 3 3 5 2" xfId="3793" xr:uid="{00000000-0005-0000-0000-000081180000}"/>
    <cellStyle name="Normal 3 3 5 2 2" xfId="6183" xr:uid="{00000000-0005-0000-0000-000082180000}"/>
    <cellStyle name="Normal 3 3 5 2 3" xfId="8704" xr:uid="{00000000-0005-0000-0000-000083180000}"/>
    <cellStyle name="Normal 3 3 5 3" xfId="4660" xr:uid="{00000000-0005-0000-0000-000084180000}"/>
    <cellStyle name="Normal 3 3 5 4" xfId="8054" xr:uid="{00000000-0005-0000-0000-000085180000}"/>
    <cellStyle name="Normal 3 3 6" xfId="3381" xr:uid="{00000000-0005-0000-0000-000086180000}"/>
    <cellStyle name="Normal 3 3 6 2" xfId="5018" xr:uid="{00000000-0005-0000-0000-000087180000}"/>
    <cellStyle name="Normal 3 3 6 3" xfId="8409" xr:uid="{00000000-0005-0000-0000-000088180000}"/>
    <cellStyle name="Normal 3 3 7" xfId="2794" xr:uid="{00000000-0005-0000-0000-000089180000}"/>
    <cellStyle name="Normal 3 3 8" xfId="4286" xr:uid="{00000000-0005-0000-0000-00008A180000}"/>
    <cellStyle name="Normal 3 3 9" xfId="6388" xr:uid="{00000000-0005-0000-0000-00008B180000}"/>
    <cellStyle name="Normal 3 4" xfId="610" xr:uid="{00000000-0005-0000-0000-00008C180000}"/>
    <cellStyle name="Normal 3 4 2" xfId="2403" xr:uid="{00000000-0005-0000-0000-00008D180000}"/>
    <cellStyle name="Normal 3 4 2 2" xfId="2702" xr:uid="{00000000-0005-0000-0000-00008E180000}"/>
    <cellStyle name="Normal 3 4 2 2 2" xfId="2954" xr:uid="{00000000-0005-0000-0000-00008F180000}"/>
    <cellStyle name="Normal 3 4 2 2 2 2" xfId="4614" xr:uid="{00000000-0005-0000-0000-000090180000}"/>
    <cellStyle name="Normal 3 4 2 2 2 3" xfId="8010" xr:uid="{00000000-0005-0000-0000-000091180000}"/>
    <cellStyle name="Normal 3 4 2 2 3" xfId="3051" xr:uid="{00000000-0005-0000-0000-000092180000}"/>
    <cellStyle name="Normal 3 4 2 2 3 2" xfId="4697" xr:uid="{00000000-0005-0000-0000-000093180000}"/>
    <cellStyle name="Normal 3 4 2 2 3 3" xfId="8107" xr:uid="{00000000-0005-0000-0000-000094180000}"/>
    <cellStyle name="Normal 3 4 2 2 4" xfId="3842" xr:uid="{00000000-0005-0000-0000-000095180000}"/>
    <cellStyle name="Normal 3 4 2 2 4 2" xfId="6222" xr:uid="{00000000-0005-0000-0000-000096180000}"/>
    <cellStyle name="Normal 3 4 2 2 4 3" xfId="8753" xr:uid="{00000000-0005-0000-0000-000097180000}"/>
    <cellStyle name="Normal 3 4 2 2 5" xfId="2856" xr:uid="{00000000-0005-0000-0000-000098180000}"/>
    <cellStyle name="Normal 3 4 2 2 6" xfId="4293" xr:uid="{00000000-0005-0000-0000-000099180000}"/>
    <cellStyle name="Normal 3 4 2 2 7" xfId="7896" xr:uid="{00000000-0005-0000-0000-00009A180000}"/>
    <cellStyle name="Normal 3 4 2 3" xfId="2703" xr:uid="{00000000-0005-0000-0000-00009B180000}"/>
    <cellStyle name="Normal 3 4 2 3 2" xfId="2955" xr:uid="{00000000-0005-0000-0000-00009C180000}"/>
    <cellStyle name="Normal 3 4 2 3 2 2" xfId="4615" xr:uid="{00000000-0005-0000-0000-00009D180000}"/>
    <cellStyle name="Normal 3 4 2 3 2 3" xfId="8011" xr:uid="{00000000-0005-0000-0000-00009E180000}"/>
    <cellStyle name="Normal 3 4 2 3 3" xfId="3052" xr:uid="{00000000-0005-0000-0000-00009F180000}"/>
    <cellStyle name="Normal 3 4 2 3 3 2" xfId="4698" xr:uid="{00000000-0005-0000-0000-0000A0180000}"/>
    <cellStyle name="Normal 3 4 2 3 3 3" xfId="8108" xr:uid="{00000000-0005-0000-0000-0000A1180000}"/>
    <cellStyle name="Normal 3 4 2 3 4" xfId="3849" xr:uid="{00000000-0005-0000-0000-0000A2180000}"/>
    <cellStyle name="Normal 3 4 2 3 4 2" xfId="6226" xr:uid="{00000000-0005-0000-0000-0000A3180000}"/>
    <cellStyle name="Normal 3 4 2 3 4 3" xfId="8760" xr:uid="{00000000-0005-0000-0000-0000A4180000}"/>
    <cellStyle name="Normal 3 4 2 3 5" xfId="2857" xr:uid="{00000000-0005-0000-0000-0000A5180000}"/>
    <cellStyle name="Normal 3 4 2 3 6" xfId="4294" xr:uid="{00000000-0005-0000-0000-0000A6180000}"/>
    <cellStyle name="Normal 3 4 2 3 7" xfId="7897" xr:uid="{00000000-0005-0000-0000-0000A7180000}"/>
    <cellStyle name="Normal 3 4 2 4" xfId="2918" xr:uid="{00000000-0005-0000-0000-0000A8180000}"/>
    <cellStyle name="Normal 3 4 2 4 2" xfId="4586" xr:uid="{00000000-0005-0000-0000-0000A9180000}"/>
    <cellStyle name="Normal 3 4 2 4 3" xfId="7975" xr:uid="{00000000-0005-0000-0000-0000AA180000}"/>
    <cellStyle name="Normal 3 4 2 5" xfId="3010" xr:uid="{00000000-0005-0000-0000-0000AB180000}"/>
    <cellStyle name="Normal 3 4 2 5 2" xfId="4670" xr:uid="{00000000-0005-0000-0000-0000AC180000}"/>
    <cellStyle name="Normal 3 4 2 5 3" xfId="8066" xr:uid="{00000000-0005-0000-0000-0000AD180000}"/>
    <cellStyle name="Normal 3 4 2 6" xfId="3747" xr:uid="{00000000-0005-0000-0000-0000AE180000}"/>
    <cellStyle name="Normal 3 4 2 6 2" xfId="6145" xr:uid="{00000000-0005-0000-0000-0000AF180000}"/>
    <cellStyle name="Normal 3 4 2 6 3" xfId="8661" xr:uid="{00000000-0005-0000-0000-0000B0180000}"/>
    <cellStyle name="Normal 3 4 2 7" xfId="2809" xr:uid="{00000000-0005-0000-0000-0000B1180000}"/>
    <cellStyle name="Normal 3 4 2 8" xfId="4292" xr:uid="{00000000-0005-0000-0000-0000B2180000}"/>
    <cellStyle name="Normal 3 4 2 9" xfId="7633" xr:uid="{00000000-0005-0000-0000-0000B3180000}"/>
    <cellStyle name="Normal 3 4 3" xfId="2704" xr:uid="{00000000-0005-0000-0000-0000B4180000}"/>
    <cellStyle name="Normal 3 4 3 2" xfId="2949" xr:uid="{00000000-0005-0000-0000-0000B5180000}"/>
    <cellStyle name="Normal 3 4 3 2 2" xfId="4609" xr:uid="{00000000-0005-0000-0000-0000B6180000}"/>
    <cellStyle name="Normal 3 4 3 2 3" xfId="8005" xr:uid="{00000000-0005-0000-0000-0000B7180000}"/>
    <cellStyle name="Normal 3 4 3 3" xfId="3045" xr:uid="{00000000-0005-0000-0000-0000B8180000}"/>
    <cellStyle name="Normal 3 4 3 3 2" xfId="4692" xr:uid="{00000000-0005-0000-0000-0000B9180000}"/>
    <cellStyle name="Normal 3 4 3 3 3" xfId="8101" xr:uid="{00000000-0005-0000-0000-0000BA180000}"/>
    <cellStyle name="Normal 3 4 3 4" xfId="3837" xr:uid="{00000000-0005-0000-0000-0000BB180000}"/>
    <cellStyle name="Normal 3 4 3 4 2" xfId="6218" xr:uid="{00000000-0005-0000-0000-0000BC180000}"/>
    <cellStyle name="Normal 3 4 3 4 3" xfId="8748" xr:uid="{00000000-0005-0000-0000-0000BD180000}"/>
    <cellStyle name="Normal 3 4 3 5" xfId="2850" xr:uid="{00000000-0005-0000-0000-0000BE180000}"/>
    <cellStyle name="Normal 3 4 3 6" xfId="4295" xr:uid="{00000000-0005-0000-0000-0000BF180000}"/>
    <cellStyle name="Normal 3 4 3 7" xfId="7898" xr:uid="{00000000-0005-0000-0000-0000C0180000}"/>
    <cellStyle name="Normal 3 4 4" xfId="3382" xr:uid="{00000000-0005-0000-0000-0000C1180000}"/>
    <cellStyle name="Normal 3 4 4 2" xfId="5019" xr:uid="{00000000-0005-0000-0000-0000C2180000}"/>
    <cellStyle name="Normal 3 4 4 3" xfId="8410" xr:uid="{00000000-0005-0000-0000-0000C3180000}"/>
    <cellStyle name="Normal 3 4 5" xfId="4291" xr:uid="{00000000-0005-0000-0000-0000C4180000}"/>
    <cellStyle name="Normal 3 4 6" xfId="6389" xr:uid="{00000000-0005-0000-0000-0000C5180000}"/>
    <cellStyle name="Normal 3 4 7" xfId="1118" xr:uid="{00000000-0005-0000-0000-0000C6180000}"/>
    <cellStyle name="Normal 3 5" xfId="611" xr:uid="{00000000-0005-0000-0000-0000C7180000}"/>
    <cellStyle name="Normal 3 5 2" xfId="2404" xr:uid="{00000000-0005-0000-0000-0000C8180000}"/>
    <cellStyle name="Normal 3 5 2 2" xfId="2919" xr:uid="{00000000-0005-0000-0000-0000C9180000}"/>
    <cellStyle name="Normal 3 5 2 2 2" xfId="4587" xr:uid="{00000000-0005-0000-0000-0000CA180000}"/>
    <cellStyle name="Normal 3 5 2 2 3" xfId="7976" xr:uid="{00000000-0005-0000-0000-0000CB180000}"/>
    <cellStyle name="Normal 3 5 2 3" xfId="3011" xr:uid="{00000000-0005-0000-0000-0000CC180000}"/>
    <cellStyle name="Normal 3 5 2 3 2" xfId="4671" xr:uid="{00000000-0005-0000-0000-0000CD180000}"/>
    <cellStyle name="Normal 3 5 2 3 3" xfId="8067" xr:uid="{00000000-0005-0000-0000-0000CE180000}"/>
    <cellStyle name="Normal 3 5 2 4" xfId="3815" xr:uid="{00000000-0005-0000-0000-0000CF180000}"/>
    <cellStyle name="Normal 3 5 2 4 2" xfId="6202" xr:uid="{00000000-0005-0000-0000-0000D0180000}"/>
    <cellStyle name="Normal 3 5 2 4 3" xfId="8726" xr:uid="{00000000-0005-0000-0000-0000D1180000}"/>
    <cellStyle name="Normal 3 5 2 5" xfId="2810" xr:uid="{00000000-0005-0000-0000-0000D2180000}"/>
    <cellStyle name="Normal 3 5 2 6" xfId="4297" xr:uid="{00000000-0005-0000-0000-0000D3180000}"/>
    <cellStyle name="Normal 3 5 2 7" xfId="7634" xr:uid="{00000000-0005-0000-0000-0000D4180000}"/>
    <cellStyle name="Normal 3 5 3" xfId="2705" xr:uid="{00000000-0005-0000-0000-0000D5180000}"/>
    <cellStyle name="Normal 3 5 3 2" xfId="2950" xr:uid="{00000000-0005-0000-0000-0000D6180000}"/>
    <cellStyle name="Normal 3 5 3 2 2" xfId="4610" xr:uid="{00000000-0005-0000-0000-0000D7180000}"/>
    <cellStyle name="Normal 3 5 3 2 3" xfId="8006" xr:uid="{00000000-0005-0000-0000-0000D8180000}"/>
    <cellStyle name="Normal 3 5 3 3" xfId="3046" xr:uid="{00000000-0005-0000-0000-0000D9180000}"/>
    <cellStyle name="Normal 3 5 3 3 2" xfId="4693" xr:uid="{00000000-0005-0000-0000-0000DA180000}"/>
    <cellStyle name="Normal 3 5 3 3 3" xfId="8102" xr:uid="{00000000-0005-0000-0000-0000DB180000}"/>
    <cellStyle name="Normal 3 5 3 4" xfId="3736" xr:uid="{00000000-0005-0000-0000-0000DC180000}"/>
    <cellStyle name="Normal 3 5 3 4 2" xfId="6137" xr:uid="{00000000-0005-0000-0000-0000DD180000}"/>
    <cellStyle name="Normal 3 5 3 4 3" xfId="8650" xr:uid="{00000000-0005-0000-0000-0000DE180000}"/>
    <cellStyle name="Normal 3 5 3 5" xfId="2851" xr:uid="{00000000-0005-0000-0000-0000DF180000}"/>
    <cellStyle name="Normal 3 5 3 6" xfId="4298" xr:uid="{00000000-0005-0000-0000-0000E0180000}"/>
    <cellStyle name="Normal 3 5 3 7" xfId="7899" xr:uid="{00000000-0005-0000-0000-0000E1180000}"/>
    <cellStyle name="Normal 3 5 4" xfId="2706" xr:uid="{00000000-0005-0000-0000-0000E2180000}"/>
    <cellStyle name="Normal 3 5 4 2" xfId="4299" xr:uid="{00000000-0005-0000-0000-0000E3180000}"/>
    <cellStyle name="Normal 3 5 4 3" xfId="7900" xr:uid="{00000000-0005-0000-0000-0000E4180000}"/>
    <cellStyle name="Normal 3 5 5" xfId="4296" xr:uid="{00000000-0005-0000-0000-0000E5180000}"/>
    <cellStyle name="Normal 3 5 6" xfId="6387" xr:uid="{00000000-0005-0000-0000-0000E6180000}"/>
    <cellStyle name="Normal 3 5 7" xfId="1116" xr:uid="{00000000-0005-0000-0000-0000E7180000}"/>
    <cellStyle name="Normal 3 6" xfId="612" xr:uid="{00000000-0005-0000-0000-0000E8180000}"/>
    <cellStyle name="Normal 3 6 2" xfId="2405" xr:uid="{00000000-0005-0000-0000-0000E9180000}"/>
    <cellStyle name="Normal 3 6 2 2" xfId="2920" xr:uid="{00000000-0005-0000-0000-0000EA180000}"/>
    <cellStyle name="Normal 3 6 2 2 2" xfId="4588" xr:uid="{00000000-0005-0000-0000-0000EB180000}"/>
    <cellStyle name="Normal 3 6 2 2 3" xfId="7977" xr:uid="{00000000-0005-0000-0000-0000EC180000}"/>
    <cellStyle name="Normal 3 6 2 3" xfId="3012" xr:uid="{00000000-0005-0000-0000-0000ED180000}"/>
    <cellStyle name="Normal 3 6 2 3 2" xfId="4672" xr:uid="{00000000-0005-0000-0000-0000EE180000}"/>
    <cellStyle name="Normal 3 6 2 3 3" xfId="8068" xr:uid="{00000000-0005-0000-0000-0000EF180000}"/>
    <cellStyle name="Normal 3 6 2 4" xfId="3795" xr:uid="{00000000-0005-0000-0000-0000F0180000}"/>
    <cellStyle name="Normal 3 6 2 4 2" xfId="6185" xr:uid="{00000000-0005-0000-0000-0000F1180000}"/>
    <cellStyle name="Normal 3 6 2 4 3" xfId="8706" xr:uid="{00000000-0005-0000-0000-0000F2180000}"/>
    <cellStyle name="Normal 3 6 2 5" xfId="2811" xr:uid="{00000000-0005-0000-0000-0000F3180000}"/>
    <cellStyle name="Normal 3 6 2 6" xfId="4301" xr:uid="{00000000-0005-0000-0000-0000F4180000}"/>
    <cellStyle name="Normal 3 6 2 7" xfId="7635" xr:uid="{00000000-0005-0000-0000-0000F5180000}"/>
    <cellStyle name="Normal 3 6 3" xfId="2708" xr:uid="{00000000-0005-0000-0000-0000F6180000}"/>
    <cellStyle name="Normal 3 6 3 2" xfId="2951" xr:uid="{00000000-0005-0000-0000-0000F7180000}"/>
    <cellStyle name="Normal 3 6 3 2 2" xfId="4611" xr:uid="{00000000-0005-0000-0000-0000F8180000}"/>
    <cellStyle name="Normal 3 6 3 2 3" xfId="8007" xr:uid="{00000000-0005-0000-0000-0000F9180000}"/>
    <cellStyle name="Normal 3 6 3 3" xfId="3047" xr:uid="{00000000-0005-0000-0000-0000FA180000}"/>
    <cellStyle name="Normal 3 6 3 3 2" xfId="4694" xr:uid="{00000000-0005-0000-0000-0000FB180000}"/>
    <cellStyle name="Normal 3 6 3 3 3" xfId="8103" xr:uid="{00000000-0005-0000-0000-0000FC180000}"/>
    <cellStyle name="Normal 3 6 3 4" xfId="3787" xr:uid="{00000000-0005-0000-0000-0000FD180000}"/>
    <cellStyle name="Normal 3 6 3 4 2" xfId="6178" xr:uid="{00000000-0005-0000-0000-0000FE180000}"/>
    <cellStyle name="Normal 3 6 3 4 3" xfId="8698" xr:uid="{00000000-0005-0000-0000-0000FF180000}"/>
    <cellStyle name="Normal 3 6 3 5" xfId="2852" xr:uid="{00000000-0005-0000-0000-000000190000}"/>
    <cellStyle name="Normal 3 6 3 6" xfId="4302" xr:uid="{00000000-0005-0000-0000-000001190000}"/>
    <cellStyle name="Normal 3 6 3 7" xfId="7902" xr:uid="{00000000-0005-0000-0000-000002190000}"/>
    <cellStyle name="Normal 3 6 4" xfId="2709" xr:uid="{00000000-0005-0000-0000-000003190000}"/>
    <cellStyle name="Normal 3 6 4 2" xfId="2953" xr:uid="{00000000-0005-0000-0000-000004190000}"/>
    <cellStyle name="Normal 3 6 4 2 2" xfId="8009" xr:uid="{00000000-0005-0000-0000-000005190000}"/>
    <cellStyle name="Normal 3 6 4 3" xfId="3050" xr:uid="{00000000-0005-0000-0000-000006190000}"/>
    <cellStyle name="Normal 3 6 4 3 2" xfId="8106" xr:uid="{00000000-0005-0000-0000-000007190000}"/>
    <cellStyle name="Normal 3 6 4 4" xfId="3745" xr:uid="{00000000-0005-0000-0000-000008190000}"/>
    <cellStyle name="Normal 3 6 4 4 2" xfId="8659" xr:uid="{00000000-0005-0000-0000-000009190000}"/>
    <cellStyle name="Normal 3 6 4 5" xfId="2855" xr:uid="{00000000-0005-0000-0000-00000A190000}"/>
    <cellStyle name="Normal 3 6 4 6" xfId="7903" xr:uid="{00000000-0005-0000-0000-00000B190000}"/>
    <cellStyle name="Normal 3 6 5" xfId="2707" xr:uid="{00000000-0005-0000-0000-00000C190000}"/>
    <cellStyle name="Normal 3 6 5 2" xfId="4580" xr:uid="{00000000-0005-0000-0000-00000D190000}"/>
    <cellStyle name="Normal 3 6 5 3" xfId="7901" xr:uid="{00000000-0005-0000-0000-00000E190000}"/>
    <cellStyle name="Normal 3 6 6" xfId="4300" xr:uid="{00000000-0005-0000-0000-00000F190000}"/>
    <cellStyle name="Normal 3 6 7" xfId="7357" xr:uid="{00000000-0005-0000-0000-000010190000}"/>
    <cellStyle name="Normal 3 6 8" xfId="2112" xr:uid="{00000000-0005-0000-0000-000011190000}"/>
    <cellStyle name="Normal 3 7" xfId="613" xr:uid="{00000000-0005-0000-0000-000012190000}"/>
    <cellStyle name="Normal 3 7 10" xfId="7636" xr:uid="{00000000-0005-0000-0000-000013190000}"/>
    <cellStyle name="Normal 3 7 11" xfId="2406" xr:uid="{00000000-0005-0000-0000-000014190000}"/>
    <cellStyle name="Normal 3 7 2" xfId="2676" xr:uid="{00000000-0005-0000-0000-000015190000}"/>
    <cellStyle name="Normal 3 7 2 2" xfId="2952" xr:uid="{00000000-0005-0000-0000-000016190000}"/>
    <cellStyle name="Normal 3 7 2 2 2" xfId="4612" xr:uid="{00000000-0005-0000-0000-000017190000}"/>
    <cellStyle name="Normal 3 7 2 2 3" xfId="8008" xr:uid="{00000000-0005-0000-0000-000018190000}"/>
    <cellStyle name="Normal 3 7 2 3" xfId="3048" xr:uid="{00000000-0005-0000-0000-000019190000}"/>
    <cellStyle name="Normal 3 7 2 3 2" xfId="4695" xr:uid="{00000000-0005-0000-0000-00001A190000}"/>
    <cellStyle name="Normal 3 7 2 3 3" xfId="8104" xr:uid="{00000000-0005-0000-0000-00001B190000}"/>
    <cellStyle name="Normal 3 7 2 4" xfId="3726" xr:uid="{00000000-0005-0000-0000-00001C190000}"/>
    <cellStyle name="Normal 3 7 2 4 2" xfId="6130" xr:uid="{00000000-0005-0000-0000-00001D190000}"/>
    <cellStyle name="Normal 3 7 2 4 3" xfId="8640" xr:uid="{00000000-0005-0000-0000-00001E190000}"/>
    <cellStyle name="Normal 3 7 2 5" xfId="2853" xr:uid="{00000000-0005-0000-0000-00001F190000}"/>
    <cellStyle name="Normal 3 7 2 6" xfId="4304" xr:uid="{00000000-0005-0000-0000-000020190000}"/>
    <cellStyle name="Normal 3 7 2 7" xfId="7873" xr:uid="{00000000-0005-0000-0000-000021190000}"/>
    <cellStyle name="Normal 3 7 3" xfId="2710" xr:uid="{00000000-0005-0000-0000-000022190000}"/>
    <cellStyle name="Normal 3 7 3 2" xfId="4305" xr:uid="{00000000-0005-0000-0000-000023190000}"/>
    <cellStyle name="Normal 3 7 3 3" xfId="7904" xr:uid="{00000000-0005-0000-0000-000024190000}"/>
    <cellStyle name="Normal 3 7 4" xfId="2921" xr:uid="{00000000-0005-0000-0000-000025190000}"/>
    <cellStyle name="Normal 3 7 4 2" xfId="4589" xr:uid="{00000000-0005-0000-0000-000026190000}"/>
    <cellStyle name="Normal 3 7 4 3" xfId="7978" xr:uid="{00000000-0005-0000-0000-000027190000}"/>
    <cellStyle name="Normal 3 7 5" xfId="3013" xr:uid="{00000000-0005-0000-0000-000028190000}"/>
    <cellStyle name="Normal 3 7 5 2" xfId="4673" xr:uid="{00000000-0005-0000-0000-000029190000}"/>
    <cellStyle name="Normal 3 7 5 3" xfId="8069" xr:uid="{00000000-0005-0000-0000-00002A190000}"/>
    <cellStyle name="Normal 3 7 6" xfId="3383" xr:uid="{00000000-0005-0000-0000-00002B190000}"/>
    <cellStyle name="Normal 3 7 6 2" xfId="5020" xr:uid="{00000000-0005-0000-0000-00002C190000}"/>
    <cellStyle name="Normal 3 7 6 3" xfId="8411" xr:uid="{00000000-0005-0000-0000-00002D190000}"/>
    <cellStyle name="Normal 3 7 7" xfId="3789" xr:uid="{00000000-0005-0000-0000-00002E190000}"/>
    <cellStyle name="Normal 3 7 7 2" xfId="6179" xr:uid="{00000000-0005-0000-0000-00002F190000}"/>
    <cellStyle name="Normal 3 7 7 3" xfId="8700" xr:uid="{00000000-0005-0000-0000-000030190000}"/>
    <cellStyle name="Normal 3 7 8" xfId="2812" xr:uid="{00000000-0005-0000-0000-000031190000}"/>
    <cellStyle name="Normal 3 7 9" xfId="4303" xr:uid="{00000000-0005-0000-0000-000032190000}"/>
    <cellStyle name="Normal 3 8" xfId="614" xr:uid="{00000000-0005-0000-0000-000033190000}"/>
    <cellStyle name="Normal 3 8 10" xfId="2407" xr:uid="{00000000-0005-0000-0000-000034190000}"/>
    <cellStyle name="Normal 3 8 2" xfId="2284" xr:uid="{00000000-0005-0000-0000-000035190000}"/>
    <cellStyle name="Normal 3 8 2 2" xfId="2711" xr:uid="{00000000-0005-0000-0000-000036190000}"/>
    <cellStyle name="Normal 3 8 2 2 2" xfId="4613" xr:uid="{00000000-0005-0000-0000-000037190000}"/>
    <cellStyle name="Normal 3 8 2 2 3" xfId="7905" xr:uid="{00000000-0005-0000-0000-000038190000}"/>
    <cellStyle name="Normal 3 8 2 3" xfId="3049" xr:uid="{00000000-0005-0000-0000-000039190000}"/>
    <cellStyle name="Normal 3 8 2 3 2" xfId="4696" xr:uid="{00000000-0005-0000-0000-00003A190000}"/>
    <cellStyle name="Normal 3 8 2 3 3" xfId="8105" xr:uid="{00000000-0005-0000-0000-00003B190000}"/>
    <cellStyle name="Normal 3 8 2 4" xfId="3812" xr:uid="{00000000-0005-0000-0000-00003C190000}"/>
    <cellStyle name="Normal 3 8 2 4 2" xfId="6199" xr:uid="{00000000-0005-0000-0000-00003D190000}"/>
    <cellStyle name="Normal 3 8 2 4 3" xfId="8723" xr:uid="{00000000-0005-0000-0000-00003E190000}"/>
    <cellStyle name="Normal 3 8 2 5" xfId="2854" xr:uid="{00000000-0005-0000-0000-00003F190000}"/>
    <cellStyle name="Normal 3 8 2 6" xfId="4307" xr:uid="{00000000-0005-0000-0000-000040190000}"/>
    <cellStyle name="Normal 3 8 2 7" xfId="7517" xr:uid="{00000000-0005-0000-0000-000041190000}"/>
    <cellStyle name="Normal 3 8 3" xfId="2922" xr:uid="{00000000-0005-0000-0000-000042190000}"/>
    <cellStyle name="Normal 3 8 3 2" xfId="4590" xr:uid="{00000000-0005-0000-0000-000043190000}"/>
    <cellStyle name="Normal 3 8 3 3" xfId="7979" xr:uid="{00000000-0005-0000-0000-000044190000}"/>
    <cellStyle name="Normal 3 8 4" xfId="3014" xr:uid="{00000000-0005-0000-0000-000045190000}"/>
    <cellStyle name="Normal 3 8 4 2" xfId="4674" xr:uid="{00000000-0005-0000-0000-000046190000}"/>
    <cellStyle name="Normal 3 8 4 3" xfId="8070" xr:uid="{00000000-0005-0000-0000-000047190000}"/>
    <cellStyle name="Normal 3 8 5" xfId="3384" xr:uid="{00000000-0005-0000-0000-000048190000}"/>
    <cellStyle name="Normal 3 8 5 2" xfId="5021" xr:uid="{00000000-0005-0000-0000-000049190000}"/>
    <cellStyle name="Normal 3 8 5 3" xfId="8412" xr:uid="{00000000-0005-0000-0000-00004A190000}"/>
    <cellStyle name="Normal 3 8 6" xfId="3741" xr:uid="{00000000-0005-0000-0000-00004B190000}"/>
    <cellStyle name="Normal 3 8 6 2" xfId="6142" xr:uid="{00000000-0005-0000-0000-00004C190000}"/>
    <cellStyle name="Normal 3 8 6 3" xfId="8655" xr:uid="{00000000-0005-0000-0000-00004D190000}"/>
    <cellStyle name="Normal 3 8 7" xfId="2813" xr:uid="{00000000-0005-0000-0000-00004E190000}"/>
    <cellStyle name="Normal 3 8 8" xfId="4306" xr:uid="{00000000-0005-0000-0000-00004F190000}"/>
    <cellStyle name="Normal 3 8 9" xfId="7637" xr:uid="{00000000-0005-0000-0000-000050190000}"/>
    <cellStyle name="Normal 3 9" xfId="615" xr:uid="{00000000-0005-0000-0000-000051190000}"/>
    <cellStyle name="Normal 3 9 2" xfId="2659" xr:uid="{00000000-0005-0000-0000-000052190000}"/>
    <cellStyle name="Normal 3 9 2 2" xfId="3385" xr:uid="{00000000-0005-0000-0000-000053190000}"/>
    <cellStyle name="Normal 3 9 2 3" xfId="5022" xr:uid="{00000000-0005-0000-0000-000054190000}"/>
    <cellStyle name="Normal 3 9 2 4" xfId="7869" xr:uid="{00000000-0005-0000-0000-000055190000}"/>
    <cellStyle name="Normal 3 9 3" xfId="4308" xr:uid="{00000000-0005-0000-0000-000056190000}"/>
    <cellStyle name="Normal 3 9 4" xfId="7638" xr:uid="{00000000-0005-0000-0000-000057190000}"/>
    <cellStyle name="Normal 3 9 5" xfId="2408" xr:uid="{00000000-0005-0000-0000-000058190000}"/>
    <cellStyle name="Normal 3_global_PO" xfId="3386" xr:uid="{00000000-0005-0000-0000-000059190000}"/>
    <cellStyle name="Normal 30" xfId="616" xr:uid="{00000000-0005-0000-0000-00005A190000}"/>
    <cellStyle name="Normal 30 2" xfId="3714" xr:uid="{00000000-0005-0000-0000-00005B190000}"/>
    <cellStyle name="Normal 30 2 2" xfId="6117" xr:uid="{00000000-0005-0000-0000-00005C190000}"/>
    <cellStyle name="Normal 30 2 3" xfId="8628" xr:uid="{00000000-0005-0000-0000-00005D190000}"/>
    <cellStyle name="Normal 30 3" xfId="3387" xr:uid="{00000000-0005-0000-0000-00005E190000}"/>
    <cellStyle name="Normal 30 4" xfId="5023" xr:uid="{00000000-0005-0000-0000-00005F190000}"/>
    <cellStyle name="Normal 30 5" xfId="7347" xr:uid="{00000000-0005-0000-0000-000060190000}"/>
    <cellStyle name="Normal 30 6" xfId="2102" xr:uid="{00000000-0005-0000-0000-000061190000}"/>
    <cellStyle name="Normal 31" xfId="617" xr:uid="{00000000-0005-0000-0000-000062190000}"/>
    <cellStyle name="Normal 31 2" xfId="3715" xr:uid="{00000000-0005-0000-0000-000063190000}"/>
    <cellStyle name="Normal 31 2 2" xfId="6118" xr:uid="{00000000-0005-0000-0000-000064190000}"/>
    <cellStyle name="Normal 31 2 3" xfId="8629" xr:uid="{00000000-0005-0000-0000-000065190000}"/>
    <cellStyle name="Normal 31 3" xfId="3388" xr:uid="{00000000-0005-0000-0000-000066190000}"/>
    <cellStyle name="Normal 31 4" xfId="5024" xr:uid="{00000000-0005-0000-0000-000067190000}"/>
    <cellStyle name="Normal 31 5" xfId="7348" xr:uid="{00000000-0005-0000-0000-000068190000}"/>
    <cellStyle name="Normal 31 6" xfId="2103" xr:uid="{00000000-0005-0000-0000-000069190000}"/>
    <cellStyle name="Normal 32" xfId="618" xr:uid="{00000000-0005-0000-0000-00006A190000}"/>
    <cellStyle name="Normal 32 2" xfId="2409" xr:uid="{00000000-0005-0000-0000-00006B190000}"/>
    <cellStyle name="Normal 32 2 2" xfId="3716" xr:uid="{00000000-0005-0000-0000-00006C190000}"/>
    <cellStyle name="Normal 32 2 2 2" xfId="6119" xr:uid="{00000000-0005-0000-0000-00006D190000}"/>
    <cellStyle name="Normal 32 2 2 3" xfId="8630" xr:uid="{00000000-0005-0000-0000-00006E190000}"/>
    <cellStyle name="Normal 32 2 3" xfId="4309" xr:uid="{00000000-0005-0000-0000-00006F190000}"/>
    <cellStyle name="Normal 32 2 4" xfId="7639" xr:uid="{00000000-0005-0000-0000-000070190000}"/>
    <cellStyle name="Normal 32 3" xfId="3389" xr:uid="{00000000-0005-0000-0000-000071190000}"/>
    <cellStyle name="Normal 32 4" xfId="5025" xr:uid="{00000000-0005-0000-0000-000072190000}"/>
    <cellStyle name="Normal 32 5" xfId="7349" xr:uid="{00000000-0005-0000-0000-000073190000}"/>
    <cellStyle name="Normal 32 6" xfId="2104" xr:uid="{00000000-0005-0000-0000-000074190000}"/>
    <cellStyle name="Normal 33" xfId="619" xr:uid="{00000000-0005-0000-0000-000075190000}"/>
    <cellStyle name="Normal 33 2" xfId="3717" xr:uid="{00000000-0005-0000-0000-000076190000}"/>
    <cellStyle name="Normal 33 2 2" xfId="6120" xr:uid="{00000000-0005-0000-0000-000077190000}"/>
    <cellStyle name="Normal 33 2 3" xfId="8631" xr:uid="{00000000-0005-0000-0000-000078190000}"/>
    <cellStyle name="Normal 33 3" xfId="3390" xr:uid="{00000000-0005-0000-0000-000079190000}"/>
    <cellStyle name="Normal 33 4" xfId="5026" xr:uid="{00000000-0005-0000-0000-00007A190000}"/>
    <cellStyle name="Normal 33 5" xfId="7350" xr:uid="{00000000-0005-0000-0000-00007B190000}"/>
    <cellStyle name="Normal 33 6" xfId="2105" xr:uid="{00000000-0005-0000-0000-00007C190000}"/>
    <cellStyle name="Normal 34" xfId="620" xr:uid="{00000000-0005-0000-0000-00007D190000}"/>
    <cellStyle name="Normal 34 2" xfId="2410" xr:uid="{00000000-0005-0000-0000-00007E190000}"/>
    <cellStyle name="Normal 34 2 2" xfId="3718" xr:uid="{00000000-0005-0000-0000-00007F190000}"/>
    <cellStyle name="Normal 34 2 2 2" xfId="6121" xr:uid="{00000000-0005-0000-0000-000080190000}"/>
    <cellStyle name="Normal 34 2 2 3" xfId="8632" xr:uid="{00000000-0005-0000-0000-000081190000}"/>
    <cellStyle name="Normal 34 2 3" xfId="4310" xr:uid="{00000000-0005-0000-0000-000082190000}"/>
    <cellStyle name="Normal 34 2 4" xfId="7640" xr:uid="{00000000-0005-0000-0000-000083190000}"/>
    <cellStyle name="Normal 34 3" xfId="3391" xr:uid="{00000000-0005-0000-0000-000084190000}"/>
    <cellStyle name="Normal 34 4" xfId="5027" xr:uid="{00000000-0005-0000-0000-000085190000}"/>
    <cellStyle name="Normal 34 5" xfId="7351" xr:uid="{00000000-0005-0000-0000-000086190000}"/>
    <cellStyle name="Normal 34 6" xfId="2106" xr:uid="{00000000-0005-0000-0000-000087190000}"/>
    <cellStyle name="Normal 35" xfId="621" xr:uid="{00000000-0005-0000-0000-000088190000}"/>
    <cellStyle name="Normal 35 2" xfId="2411" xr:uid="{00000000-0005-0000-0000-000089190000}"/>
    <cellStyle name="Normal 35 2 2" xfId="3719" xr:uid="{00000000-0005-0000-0000-00008A190000}"/>
    <cellStyle name="Normal 35 2 2 2" xfId="6122" xr:uid="{00000000-0005-0000-0000-00008B190000}"/>
    <cellStyle name="Normal 35 2 2 3" xfId="8633" xr:uid="{00000000-0005-0000-0000-00008C190000}"/>
    <cellStyle name="Normal 35 2 3" xfId="4311" xr:uid="{00000000-0005-0000-0000-00008D190000}"/>
    <cellStyle name="Normal 35 2 4" xfId="7641" xr:uid="{00000000-0005-0000-0000-00008E190000}"/>
    <cellStyle name="Normal 35 3" xfId="3392" xr:uid="{00000000-0005-0000-0000-00008F190000}"/>
    <cellStyle name="Normal 35 4" xfId="5028" xr:uid="{00000000-0005-0000-0000-000090190000}"/>
    <cellStyle name="Normal 35 5" xfId="7352" xr:uid="{00000000-0005-0000-0000-000091190000}"/>
    <cellStyle name="Normal 35 6" xfId="2107" xr:uid="{00000000-0005-0000-0000-000092190000}"/>
    <cellStyle name="Normal 36" xfId="622" xr:uid="{00000000-0005-0000-0000-000093190000}"/>
    <cellStyle name="Normal 36 2" xfId="5029" xr:uid="{00000000-0005-0000-0000-000094190000}"/>
    <cellStyle name="Normal 36 3" xfId="7353" xr:uid="{00000000-0005-0000-0000-000095190000}"/>
    <cellStyle name="Normal 36 4" xfId="2108" xr:uid="{00000000-0005-0000-0000-000096190000}"/>
    <cellStyle name="Normal 37" xfId="623" xr:uid="{00000000-0005-0000-0000-000097190000}"/>
    <cellStyle name="Normal 37 2" xfId="1641" xr:uid="{00000000-0005-0000-0000-000098190000}"/>
    <cellStyle name="Normal 37 2 2" xfId="2412" xr:uid="{00000000-0005-0000-0000-000099190000}"/>
    <cellStyle name="Normal 37 2 2 2" xfId="3695" xr:uid="{00000000-0005-0000-0000-00009A190000}"/>
    <cellStyle name="Normal 37 2 2 3" xfId="5665" xr:uid="{00000000-0005-0000-0000-00009B190000}"/>
    <cellStyle name="Normal 37 2 2 4" xfId="7642" xr:uid="{00000000-0005-0000-0000-00009C190000}"/>
    <cellStyle name="Normal 37 2 3" xfId="4312" xr:uid="{00000000-0005-0000-0000-00009D190000}"/>
    <cellStyle name="Normal 37 2 4" xfId="6890" xr:uid="{00000000-0005-0000-0000-00009E190000}"/>
    <cellStyle name="Normal 37 3" xfId="1837" xr:uid="{00000000-0005-0000-0000-00009F190000}"/>
    <cellStyle name="Normal 37 3 2" xfId="5858" xr:uid="{00000000-0005-0000-0000-0000A0190000}"/>
    <cellStyle name="Normal 37 3 3" xfId="7084" xr:uid="{00000000-0005-0000-0000-0000A1190000}"/>
    <cellStyle name="Normal 37 4" xfId="2022" xr:uid="{00000000-0005-0000-0000-0000A2190000}"/>
    <cellStyle name="Normal 37 4 2" xfId="6041" xr:uid="{00000000-0005-0000-0000-0000A3190000}"/>
    <cellStyle name="Normal 37 4 3" xfId="7269" xr:uid="{00000000-0005-0000-0000-0000A4190000}"/>
    <cellStyle name="Normal 37 5" xfId="5030" xr:uid="{00000000-0005-0000-0000-0000A5190000}"/>
    <cellStyle name="Normal 37 6" xfId="6623" xr:uid="{00000000-0005-0000-0000-0000A6190000}"/>
    <cellStyle name="Normal 37 7" xfId="1371" xr:uid="{00000000-0005-0000-0000-0000A7190000}"/>
    <cellStyle name="Normal 38" xfId="624" xr:uid="{00000000-0005-0000-0000-0000A8190000}"/>
    <cellStyle name="Normal 38 2" xfId="3720" xr:uid="{00000000-0005-0000-0000-0000A9190000}"/>
    <cellStyle name="Normal 38 2 2" xfId="6123" xr:uid="{00000000-0005-0000-0000-0000AA190000}"/>
    <cellStyle name="Normal 38 2 3" xfId="8634" xr:uid="{00000000-0005-0000-0000-0000AB190000}"/>
    <cellStyle name="Normal 38 3" xfId="3393" xr:uid="{00000000-0005-0000-0000-0000AC190000}"/>
    <cellStyle name="Normal 38 4" xfId="5031" xr:uid="{00000000-0005-0000-0000-0000AD190000}"/>
    <cellStyle name="Normal 38 5" xfId="7354" xr:uid="{00000000-0005-0000-0000-0000AE190000}"/>
    <cellStyle name="Normal 38 6" xfId="2109" xr:uid="{00000000-0005-0000-0000-0000AF190000}"/>
    <cellStyle name="Normal 39" xfId="625" xr:uid="{00000000-0005-0000-0000-0000B0190000}"/>
    <cellStyle name="Normal 39 2" xfId="2110" xr:uid="{00000000-0005-0000-0000-0000B1190000}"/>
    <cellStyle name="Normal 39 2 2" xfId="6124" xr:uid="{00000000-0005-0000-0000-0000B2190000}"/>
    <cellStyle name="Normal 39 2 3" xfId="7355" xr:uid="{00000000-0005-0000-0000-0000B3190000}"/>
    <cellStyle name="Normal 39 3" xfId="4313" xr:uid="{00000000-0005-0000-0000-0000B4190000}"/>
    <cellStyle name="Normal 39 4" xfId="6415" xr:uid="{00000000-0005-0000-0000-0000B5190000}"/>
    <cellStyle name="Normal 39 5" xfId="1161" xr:uid="{00000000-0005-0000-0000-0000B6190000}"/>
    <cellStyle name="Normal 4" xfId="626" xr:uid="{00000000-0005-0000-0000-0000B7190000}"/>
    <cellStyle name="Normal 4 10" xfId="627" xr:uid="{00000000-0005-0000-0000-0000B8190000}"/>
    <cellStyle name="Normal 4 10 2" xfId="3394" xr:uid="{00000000-0005-0000-0000-0000B9190000}"/>
    <cellStyle name="Normal 4 10 2 2" xfId="5032" xr:uid="{00000000-0005-0000-0000-0000BA190000}"/>
    <cellStyle name="Normal 4 10 2 3" xfId="8413" xr:uid="{00000000-0005-0000-0000-0000BB190000}"/>
    <cellStyle name="Normal 4 10 3" xfId="4533" xr:uid="{00000000-0005-0000-0000-0000BC190000}"/>
    <cellStyle name="Normal 4 10 4" xfId="7939" xr:uid="{00000000-0005-0000-0000-0000BD190000}"/>
    <cellStyle name="Normal 4 10 5" xfId="2762" xr:uid="{00000000-0005-0000-0000-0000BE190000}"/>
    <cellStyle name="Normal 4 11" xfId="3395" xr:uid="{00000000-0005-0000-0000-0000BF190000}"/>
    <cellStyle name="Normal 4 11 2" xfId="5033" xr:uid="{00000000-0005-0000-0000-0000C0190000}"/>
    <cellStyle name="Normal 4 11 3" xfId="8414" xr:uid="{00000000-0005-0000-0000-0000C1190000}"/>
    <cellStyle name="Normal 4 12" xfId="3562" xr:uid="{00000000-0005-0000-0000-0000C2190000}"/>
    <cellStyle name="Normal 4 12 2" xfId="5178" xr:uid="{00000000-0005-0000-0000-0000C3190000}"/>
    <cellStyle name="Normal 4 12 3" xfId="8551" xr:uid="{00000000-0005-0000-0000-0000C4190000}"/>
    <cellStyle name="Normal 4 13" xfId="2758" xr:uid="{00000000-0005-0000-0000-0000C5190000}"/>
    <cellStyle name="Normal 4 14" xfId="3876" xr:uid="{00000000-0005-0000-0000-0000C6190000}"/>
    <cellStyle name="Normal 4 15" xfId="6323" xr:uid="{00000000-0005-0000-0000-0000C7190000}"/>
    <cellStyle name="Normal 4 16" xfId="1041" xr:uid="{00000000-0005-0000-0000-0000C8190000}"/>
    <cellStyle name="Normal 4 2" xfId="628" xr:uid="{00000000-0005-0000-0000-0000C9190000}"/>
    <cellStyle name="Normal 4 2 10" xfId="6391" xr:uid="{00000000-0005-0000-0000-0000CA190000}"/>
    <cellStyle name="Normal 4 2 11" xfId="1120" xr:uid="{00000000-0005-0000-0000-0000CB190000}"/>
    <cellStyle name="Normal 4 2 2" xfId="1201" xr:uid="{00000000-0005-0000-0000-0000CC190000}"/>
    <cellStyle name="Normal 4 2 2 2" xfId="2713" xr:uid="{00000000-0005-0000-0000-0000CD190000}"/>
    <cellStyle name="Normal 4 2 2 2 2" xfId="2932" xr:uid="{00000000-0005-0000-0000-0000CE190000}"/>
    <cellStyle name="Normal 4 2 2 2 2 2" xfId="4600" xr:uid="{00000000-0005-0000-0000-0000CF190000}"/>
    <cellStyle name="Normal 4 2 2 2 2 3" xfId="7988" xr:uid="{00000000-0005-0000-0000-0000D0190000}"/>
    <cellStyle name="Normal 4 2 2 2 3" xfId="3025" xr:uid="{00000000-0005-0000-0000-0000D1190000}"/>
    <cellStyle name="Normal 4 2 2 2 3 2" xfId="4684" xr:uid="{00000000-0005-0000-0000-0000D2190000}"/>
    <cellStyle name="Normal 4 2 2 2 3 3" xfId="8081" xr:uid="{00000000-0005-0000-0000-0000D3190000}"/>
    <cellStyle name="Normal 4 2 2 2 4" xfId="3744" xr:uid="{00000000-0005-0000-0000-0000D4190000}"/>
    <cellStyle name="Normal 4 2 2 2 4 2" xfId="6143" xr:uid="{00000000-0005-0000-0000-0000D5190000}"/>
    <cellStyle name="Normal 4 2 2 2 4 3" xfId="8658" xr:uid="{00000000-0005-0000-0000-0000D6190000}"/>
    <cellStyle name="Normal 4 2 2 2 5" xfId="2827" xr:uid="{00000000-0005-0000-0000-0000D7190000}"/>
    <cellStyle name="Normal 4 2 2 2 6" xfId="4315" xr:uid="{00000000-0005-0000-0000-0000D8190000}"/>
    <cellStyle name="Normal 4 2 2 2 7" xfId="7907" xr:uid="{00000000-0005-0000-0000-0000D9190000}"/>
    <cellStyle name="Normal 4 2 2 3" xfId="2712" xr:uid="{00000000-0005-0000-0000-0000DA190000}"/>
    <cellStyle name="Normal 4 2 2 3 2" xfId="3617" xr:uid="{00000000-0005-0000-0000-0000DB190000}"/>
    <cellStyle name="Normal 4 2 2 3 3" xfId="5243" xr:uid="{00000000-0005-0000-0000-0000DC190000}"/>
    <cellStyle name="Normal 4 2 2 3 4" xfId="7906" xr:uid="{00000000-0005-0000-0000-0000DD190000}"/>
    <cellStyle name="Normal 4 2 2 4" xfId="4314" xr:uid="{00000000-0005-0000-0000-0000DE190000}"/>
    <cellStyle name="Normal 4 2 2 5" xfId="6453" xr:uid="{00000000-0005-0000-0000-0000DF190000}"/>
    <cellStyle name="Normal 4 2 3" xfId="1162" xr:uid="{00000000-0005-0000-0000-0000E0190000}"/>
    <cellStyle name="Normal 4 2 3 2" xfId="2714" xr:uid="{00000000-0005-0000-0000-0000E1190000}"/>
    <cellStyle name="Normal 4 2 3 3" xfId="4316" xr:uid="{00000000-0005-0000-0000-0000E2190000}"/>
    <cellStyle name="Normal 4 2 3 4" xfId="6416" xr:uid="{00000000-0005-0000-0000-0000E3190000}"/>
    <cellStyle name="Normal 4 2 3 5" xfId="9131" xr:uid="{00000000-0005-0000-0000-0000E4190000}"/>
    <cellStyle name="Normal 4 2 4" xfId="2413" xr:uid="{00000000-0005-0000-0000-0000E5190000}"/>
    <cellStyle name="Normal 4 2 4 2" xfId="3772" xr:uid="{00000000-0005-0000-0000-0000E6190000}"/>
    <cellStyle name="Normal 4 2 4 2 2" xfId="6167" xr:uid="{00000000-0005-0000-0000-0000E7190000}"/>
    <cellStyle name="Normal 4 2 4 2 3" xfId="8684" xr:uid="{00000000-0005-0000-0000-0000E8190000}"/>
    <cellStyle name="Normal 4 2 4 3" xfId="2883" xr:uid="{00000000-0005-0000-0000-0000E9190000}"/>
    <cellStyle name="Normal 4 2 4 4" xfId="4549" xr:uid="{00000000-0005-0000-0000-0000EA190000}"/>
    <cellStyle name="Normal 4 2 4 5" xfId="7643" xr:uid="{00000000-0005-0000-0000-0000EB190000}"/>
    <cellStyle name="Normal 4 2 5" xfId="2973" xr:uid="{00000000-0005-0000-0000-0000EC190000}"/>
    <cellStyle name="Normal 4 2 5 2" xfId="3802" xr:uid="{00000000-0005-0000-0000-0000ED190000}"/>
    <cellStyle name="Normal 4 2 5 2 2" xfId="6192" xr:uid="{00000000-0005-0000-0000-0000EE190000}"/>
    <cellStyle name="Normal 4 2 5 2 3" xfId="8713" xr:uid="{00000000-0005-0000-0000-0000EF190000}"/>
    <cellStyle name="Normal 4 2 5 3" xfId="4634" xr:uid="{00000000-0005-0000-0000-0000F0190000}"/>
    <cellStyle name="Normal 4 2 5 4" xfId="8029" xr:uid="{00000000-0005-0000-0000-0000F1190000}"/>
    <cellStyle name="Normal 4 2 6" xfId="3396" xr:uid="{00000000-0005-0000-0000-0000F2190000}"/>
    <cellStyle name="Normal 4 2 6 2" xfId="5034" xr:uid="{00000000-0005-0000-0000-0000F3190000}"/>
    <cellStyle name="Normal 4 2 6 3" xfId="8415" xr:uid="{00000000-0005-0000-0000-0000F4190000}"/>
    <cellStyle name="Normal 4 2 7" xfId="3850" xr:uid="{00000000-0005-0000-0000-0000F5190000}"/>
    <cellStyle name="Normal 4 2 7 2" xfId="6227" xr:uid="{00000000-0005-0000-0000-0000F6190000}"/>
    <cellStyle name="Normal 4 2 7 3" xfId="8761" xr:uid="{00000000-0005-0000-0000-0000F7190000}"/>
    <cellStyle name="Normal 4 2 8" xfId="2768" xr:uid="{00000000-0005-0000-0000-0000F8190000}"/>
    <cellStyle name="Normal 4 2 9" xfId="3877" xr:uid="{00000000-0005-0000-0000-0000F9190000}"/>
    <cellStyle name="Normal 4 3" xfId="629" xr:uid="{00000000-0005-0000-0000-0000FA190000}"/>
    <cellStyle name="Normal 4 3 2" xfId="1245" xr:uid="{00000000-0005-0000-0000-0000FB190000}"/>
    <cellStyle name="Normal 4 3 2 2" xfId="3631" xr:uid="{00000000-0005-0000-0000-0000FC190000}"/>
    <cellStyle name="Normal 4 3 2 2 2" xfId="5282" xr:uid="{00000000-0005-0000-0000-0000FD190000}"/>
    <cellStyle name="Normal 4 3 2 2 3" xfId="8597" xr:uid="{00000000-0005-0000-0000-0000FE190000}"/>
    <cellStyle name="Normal 4 3 2 3" xfId="3824" xr:uid="{00000000-0005-0000-0000-0000FF190000}"/>
    <cellStyle name="Normal 4 3 2 3 2" xfId="6208" xr:uid="{00000000-0005-0000-0000-0000001A0000}"/>
    <cellStyle name="Normal 4 3 2 3 3" xfId="8735" xr:uid="{00000000-0005-0000-0000-0000011A0000}"/>
    <cellStyle name="Normal 4 3 2 4" xfId="2909" xr:uid="{00000000-0005-0000-0000-0000021A0000}"/>
    <cellStyle name="Normal 4 3 2 5" xfId="4576" xr:uid="{00000000-0005-0000-0000-0000031A0000}"/>
    <cellStyle name="Normal 4 3 2 6" xfId="6497" xr:uid="{00000000-0005-0000-0000-0000041A0000}"/>
    <cellStyle name="Normal 4 3 3" xfId="2999" xr:uid="{00000000-0005-0000-0000-0000051A0000}"/>
    <cellStyle name="Normal 4 3 3 2" xfId="3786" xr:uid="{00000000-0005-0000-0000-0000061A0000}"/>
    <cellStyle name="Normal 4 3 3 2 2" xfId="6177" xr:uid="{00000000-0005-0000-0000-0000071A0000}"/>
    <cellStyle name="Normal 4 3 3 2 3" xfId="8697" xr:uid="{00000000-0005-0000-0000-0000081A0000}"/>
    <cellStyle name="Normal 4 3 3 3" xfId="4661" xr:uid="{00000000-0005-0000-0000-0000091A0000}"/>
    <cellStyle name="Normal 4 3 3 4" xfId="8055" xr:uid="{00000000-0005-0000-0000-00000A1A0000}"/>
    <cellStyle name="Normal 4 3 4" xfId="3397" xr:uid="{00000000-0005-0000-0000-00000B1A0000}"/>
    <cellStyle name="Normal 4 3 4 2" xfId="5035" xr:uid="{00000000-0005-0000-0000-00000C1A0000}"/>
    <cellStyle name="Normal 4 3 4 3" xfId="8416" xr:uid="{00000000-0005-0000-0000-00000D1A0000}"/>
    <cellStyle name="Normal 4 3 5" xfId="3781" xr:uid="{00000000-0005-0000-0000-00000E1A0000}"/>
    <cellStyle name="Normal 4 3 5 2" xfId="6174" xr:uid="{00000000-0005-0000-0000-00000F1A0000}"/>
    <cellStyle name="Normal 4 3 5 3" xfId="8692" xr:uid="{00000000-0005-0000-0000-0000101A0000}"/>
    <cellStyle name="Normal 4 3 6" xfId="2795" xr:uid="{00000000-0005-0000-0000-0000111A0000}"/>
    <cellStyle name="Normal 4 3 7" xfId="4317" xr:uid="{00000000-0005-0000-0000-0000121A0000}"/>
    <cellStyle name="Normal 4 3 8" xfId="6392" xr:uid="{00000000-0005-0000-0000-0000131A0000}"/>
    <cellStyle name="Normal 4 3 9" xfId="1121" xr:uid="{00000000-0005-0000-0000-0000141A0000}"/>
    <cellStyle name="Normal 4 4" xfId="630" xr:uid="{00000000-0005-0000-0000-0000151A0000}"/>
    <cellStyle name="Normal 4 4 2" xfId="1296" xr:uid="{00000000-0005-0000-0000-0000161A0000}"/>
    <cellStyle name="Normal 4 4 2 2" xfId="5332" xr:uid="{00000000-0005-0000-0000-0000171A0000}"/>
    <cellStyle name="Normal 4 4 2 3" xfId="6548" xr:uid="{00000000-0005-0000-0000-0000181A0000}"/>
    <cellStyle name="Normal 4 4 3" xfId="4318" xr:uid="{00000000-0005-0000-0000-0000191A0000}"/>
    <cellStyle name="Normal 4 4 4" xfId="6390" xr:uid="{00000000-0005-0000-0000-00001A1A0000}"/>
    <cellStyle name="Normal 4 4 5" xfId="1119" xr:uid="{00000000-0005-0000-0000-00001B1A0000}"/>
    <cellStyle name="Normal 4 5" xfId="631" xr:uid="{00000000-0005-0000-0000-00001C1A0000}"/>
    <cellStyle name="Normal 4 5 2" xfId="2715" xr:uid="{00000000-0005-0000-0000-00001D1A0000}"/>
    <cellStyle name="Normal 4 5 2 2" xfId="3676" xr:uid="{00000000-0005-0000-0000-00001E1A0000}"/>
    <cellStyle name="Normal 4 5 2 3" xfId="5473" xr:uid="{00000000-0005-0000-0000-00001F1A0000}"/>
    <cellStyle name="Normal 4 5 2 4" xfId="7908" xr:uid="{00000000-0005-0000-0000-0000201A0000}"/>
    <cellStyle name="Normal 4 5 3" xfId="3398" xr:uid="{00000000-0005-0000-0000-0000211A0000}"/>
    <cellStyle name="Normal 4 5 3 2" xfId="5036" xr:uid="{00000000-0005-0000-0000-0000221A0000}"/>
    <cellStyle name="Normal 4 5 3 3" xfId="8417" xr:uid="{00000000-0005-0000-0000-0000231A0000}"/>
    <cellStyle name="Normal 4 5 4" xfId="4319" xr:uid="{00000000-0005-0000-0000-0000241A0000}"/>
    <cellStyle name="Normal 4 5 5" xfId="6696" xr:uid="{00000000-0005-0000-0000-0000251A0000}"/>
    <cellStyle name="Normal 4 5 6" xfId="1444" xr:uid="{00000000-0005-0000-0000-0000261A0000}"/>
    <cellStyle name="Normal 4 6" xfId="632" xr:uid="{00000000-0005-0000-0000-0000271A0000}"/>
    <cellStyle name="Normal 4 6 2" xfId="2716" xr:uid="{00000000-0005-0000-0000-0000281A0000}"/>
    <cellStyle name="Normal 4 6 2 2" xfId="3693" xr:uid="{00000000-0005-0000-0000-0000291A0000}"/>
    <cellStyle name="Normal 4 6 2 2 2" xfId="5660" xr:uid="{00000000-0005-0000-0000-00002A1A0000}"/>
    <cellStyle name="Normal 4 6 2 2 3" xfId="8618" xr:uid="{00000000-0005-0000-0000-00002B1A0000}"/>
    <cellStyle name="Normal 4 6 2 3" xfId="4632" xr:uid="{00000000-0005-0000-0000-00002C1A0000}"/>
    <cellStyle name="Normal 4 6 2 4" xfId="7909" xr:uid="{00000000-0005-0000-0000-00002D1A0000}"/>
    <cellStyle name="Normal 4 6 3" xfId="3073" xr:uid="{00000000-0005-0000-0000-00002E1A0000}"/>
    <cellStyle name="Normal 4 6 3 2" xfId="4715" xr:uid="{00000000-0005-0000-0000-00002F1A0000}"/>
    <cellStyle name="Normal 4 6 3 3" xfId="8129" xr:uid="{00000000-0005-0000-0000-0000301A0000}"/>
    <cellStyle name="Normal 4 6 4" xfId="3399" xr:uid="{00000000-0005-0000-0000-0000311A0000}"/>
    <cellStyle name="Normal 4 6 4 2" xfId="5037" xr:uid="{00000000-0005-0000-0000-0000321A0000}"/>
    <cellStyle name="Normal 4 6 4 3" xfId="8418" xr:uid="{00000000-0005-0000-0000-0000331A0000}"/>
    <cellStyle name="Normal 4 6 5" xfId="3780" xr:uid="{00000000-0005-0000-0000-0000341A0000}"/>
    <cellStyle name="Normal 4 6 5 2" xfId="6173" xr:uid="{00000000-0005-0000-0000-0000351A0000}"/>
    <cellStyle name="Normal 4 6 5 3" xfId="8691" xr:uid="{00000000-0005-0000-0000-0000361A0000}"/>
    <cellStyle name="Normal 4 6 6" xfId="2880" xr:uid="{00000000-0005-0000-0000-0000371A0000}"/>
    <cellStyle name="Normal 4 6 7" xfId="4320" xr:uid="{00000000-0005-0000-0000-0000381A0000}"/>
    <cellStyle name="Normal 4 6 8" xfId="6885" xr:uid="{00000000-0005-0000-0000-0000391A0000}"/>
    <cellStyle name="Normal 4 6 9" xfId="1634" xr:uid="{00000000-0005-0000-0000-00003A1A0000}"/>
    <cellStyle name="Normal 4 7" xfId="633" xr:uid="{00000000-0005-0000-0000-00003B1A0000}"/>
    <cellStyle name="Normal 4 7 2" xfId="2717" xr:uid="{00000000-0005-0000-0000-00003C1A0000}"/>
    <cellStyle name="Normal 4 7 2 2" xfId="3702" xr:uid="{00000000-0005-0000-0000-00003D1A0000}"/>
    <cellStyle name="Normal 4 7 2 3" xfId="5782" xr:uid="{00000000-0005-0000-0000-00003E1A0000}"/>
    <cellStyle name="Normal 4 7 2 4" xfId="7910" xr:uid="{00000000-0005-0000-0000-00003F1A0000}"/>
    <cellStyle name="Normal 4 7 3" xfId="3400" xr:uid="{00000000-0005-0000-0000-0000401A0000}"/>
    <cellStyle name="Normal 4 7 3 2" xfId="5038" xr:uid="{00000000-0005-0000-0000-0000411A0000}"/>
    <cellStyle name="Normal 4 7 3 3" xfId="8419" xr:uid="{00000000-0005-0000-0000-0000421A0000}"/>
    <cellStyle name="Normal 4 7 4" xfId="2767" xr:uid="{00000000-0005-0000-0000-0000431A0000}"/>
    <cellStyle name="Normal 4 7 5" xfId="4321" xr:uid="{00000000-0005-0000-0000-0000441A0000}"/>
    <cellStyle name="Normal 4 7 6" xfId="7007" xr:uid="{00000000-0005-0000-0000-0000451A0000}"/>
    <cellStyle name="Normal 4 7 7" xfId="1760" xr:uid="{00000000-0005-0000-0000-0000461A0000}"/>
    <cellStyle name="Normal 4 8" xfId="634" xr:uid="{00000000-0005-0000-0000-0000471A0000}"/>
    <cellStyle name="Normal 4 8 2" xfId="3570" xr:uid="{00000000-0005-0000-0000-0000481A0000}"/>
    <cellStyle name="Normal 4 8 2 2" xfId="5182" xr:uid="{00000000-0005-0000-0000-0000491A0000}"/>
    <cellStyle name="Normal 4 8 2 3" xfId="8554" xr:uid="{00000000-0005-0000-0000-00004A1A0000}"/>
    <cellStyle name="Normal 4 8 3" xfId="3401" xr:uid="{00000000-0005-0000-0000-00004B1A0000}"/>
    <cellStyle name="Normal 4 8 3 2" xfId="5039" xr:uid="{00000000-0005-0000-0000-00004C1A0000}"/>
    <cellStyle name="Normal 4 8 3 3" xfId="8420" xr:uid="{00000000-0005-0000-0000-00004D1A0000}"/>
    <cellStyle name="Normal 4 8 4" xfId="2882" xr:uid="{00000000-0005-0000-0000-00004E1A0000}"/>
    <cellStyle name="Normal 4 8 5" xfId="4548" xr:uid="{00000000-0005-0000-0000-00004F1A0000}"/>
    <cellStyle name="Normal 4 8 6" xfId="6429" xr:uid="{00000000-0005-0000-0000-0000501A0000}"/>
    <cellStyle name="Normal 4 8 7" xfId="1177" xr:uid="{00000000-0005-0000-0000-0000511A0000}"/>
    <cellStyle name="Normal 4 9" xfId="635" xr:uid="{00000000-0005-0000-0000-0000521A0000}"/>
    <cellStyle name="Normal 4 9 2" xfId="3402" xr:uid="{00000000-0005-0000-0000-0000531A0000}"/>
    <cellStyle name="Normal 4 9 2 2" xfId="5040" xr:uid="{00000000-0005-0000-0000-0000541A0000}"/>
    <cellStyle name="Normal 4 9 2 3" xfId="8421" xr:uid="{00000000-0005-0000-0000-0000551A0000}"/>
    <cellStyle name="Normal 4 9 3" xfId="4633" xr:uid="{00000000-0005-0000-0000-0000561A0000}"/>
    <cellStyle name="Normal 4 9 4" xfId="8028" xr:uid="{00000000-0005-0000-0000-0000571A0000}"/>
    <cellStyle name="Normal 4 9 5" xfId="2972" xr:uid="{00000000-0005-0000-0000-0000581A0000}"/>
    <cellStyle name="Normal 4_global_PO" xfId="3403" xr:uid="{00000000-0005-0000-0000-0000591A0000}"/>
    <cellStyle name="Normal 40" xfId="636" xr:uid="{00000000-0005-0000-0000-00005A1A0000}"/>
    <cellStyle name="Normal 40 2" xfId="2414" xr:uid="{00000000-0005-0000-0000-00005B1A0000}"/>
    <cellStyle name="Normal 40 2 2" xfId="4322" xr:uid="{00000000-0005-0000-0000-00005C1A0000}"/>
    <cellStyle name="Normal 40 2 3" xfId="7644" xr:uid="{00000000-0005-0000-0000-00005D1A0000}"/>
    <cellStyle name="Normal 40 3" xfId="6125" xr:uid="{00000000-0005-0000-0000-00005E1A0000}"/>
    <cellStyle name="Normal 40 4" xfId="7356" xr:uid="{00000000-0005-0000-0000-00005F1A0000}"/>
    <cellStyle name="Normal 40 5" xfId="2111" xr:uid="{00000000-0005-0000-0000-0000601A0000}"/>
    <cellStyle name="Normal 41" xfId="637" xr:uid="{00000000-0005-0000-0000-0000611A0000}"/>
    <cellStyle name="Normal 41 2" xfId="1642" xr:uid="{00000000-0005-0000-0000-0000621A0000}"/>
    <cellStyle name="Normal 41 2 2" xfId="5666" xr:uid="{00000000-0005-0000-0000-0000631A0000}"/>
    <cellStyle name="Normal 41 2 3" xfId="6891" xr:uid="{00000000-0005-0000-0000-0000641A0000}"/>
    <cellStyle name="Normal 41 3" xfId="1838" xr:uid="{00000000-0005-0000-0000-0000651A0000}"/>
    <cellStyle name="Normal 41 3 2" xfId="5859" xr:uid="{00000000-0005-0000-0000-0000661A0000}"/>
    <cellStyle name="Normal 41 3 3" xfId="7085" xr:uid="{00000000-0005-0000-0000-0000671A0000}"/>
    <cellStyle name="Normal 41 4" xfId="2023" xr:uid="{00000000-0005-0000-0000-0000681A0000}"/>
    <cellStyle name="Normal 41 4 2" xfId="6042" xr:uid="{00000000-0005-0000-0000-0000691A0000}"/>
    <cellStyle name="Normal 41 4 3" xfId="7270" xr:uid="{00000000-0005-0000-0000-00006A1A0000}"/>
    <cellStyle name="Normal 41 5" xfId="5403" xr:uid="{00000000-0005-0000-0000-00006B1A0000}"/>
    <cellStyle name="Normal 41 6" xfId="6624" xr:uid="{00000000-0005-0000-0000-00006C1A0000}"/>
    <cellStyle name="Normal 41 7" xfId="1372" xr:uid="{00000000-0005-0000-0000-00006D1A0000}"/>
    <cellStyle name="Normal 42" xfId="638" xr:uid="{00000000-0005-0000-0000-00006E1A0000}"/>
    <cellStyle name="Normal 42 2" xfId="1643" xr:uid="{00000000-0005-0000-0000-00006F1A0000}"/>
    <cellStyle name="Normal 42 2 2" xfId="5667" xr:uid="{00000000-0005-0000-0000-0000701A0000}"/>
    <cellStyle name="Normal 42 2 3" xfId="6892" xr:uid="{00000000-0005-0000-0000-0000711A0000}"/>
    <cellStyle name="Normal 42 3" xfId="1839" xr:uid="{00000000-0005-0000-0000-0000721A0000}"/>
    <cellStyle name="Normal 42 3 2" xfId="5860" xr:uid="{00000000-0005-0000-0000-0000731A0000}"/>
    <cellStyle name="Normal 42 3 3" xfId="7086" xr:uid="{00000000-0005-0000-0000-0000741A0000}"/>
    <cellStyle name="Normal 42 4" xfId="2024" xr:uid="{00000000-0005-0000-0000-0000751A0000}"/>
    <cellStyle name="Normal 42 4 2" xfId="6043" xr:uid="{00000000-0005-0000-0000-0000761A0000}"/>
    <cellStyle name="Normal 42 4 3" xfId="7271" xr:uid="{00000000-0005-0000-0000-0000771A0000}"/>
    <cellStyle name="Normal 42 5" xfId="5404" xr:uid="{00000000-0005-0000-0000-0000781A0000}"/>
    <cellStyle name="Normal 42 6" xfId="6625" xr:uid="{00000000-0005-0000-0000-0000791A0000}"/>
    <cellStyle name="Normal 42 7" xfId="1373" xr:uid="{00000000-0005-0000-0000-00007A1A0000}"/>
    <cellStyle name="Normal 43" xfId="639" xr:uid="{00000000-0005-0000-0000-00007B1A0000}"/>
    <cellStyle name="Normal 43 2" xfId="1644" xr:uid="{00000000-0005-0000-0000-00007C1A0000}"/>
    <cellStyle name="Normal 43 2 2" xfId="5668" xr:uid="{00000000-0005-0000-0000-00007D1A0000}"/>
    <cellStyle name="Normal 43 2 3" xfId="6893" xr:uid="{00000000-0005-0000-0000-00007E1A0000}"/>
    <cellStyle name="Normal 43 3" xfId="1840" xr:uid="{00000000-0005-0000-0000-00007F1A0000}"/>
    <cellStyle name="Normal 43 3 2" xfId="5861" xr:uid="{00000000-0005-0000-0000-0000801A0000}"/>
    <cellStyle name="Normal 43 3 3" xfId="7087" xr:uid="{00000000-0005-0000-0000-0000811A0000}"/>
    <cellStyle name="Normal 43 4" xfId="2025" xr:uid="{00000000-0005-0000-0000-0000821A0000}"/>
    <cellStyle name="Normal 43 4 2" xfId="6044" xr:uid="{00000000-0005-0000-0000-0000831A0000}"/>
    <cellStyle name="Normal 43 4 3" xfId="7272" xr:uid="{00000000-0005-0000-0000-0000841A0000}"/>
    <cellStyle name="Normal 43 5" xfId="5405" xr:uid="{00000000-0005-0000-0000-0000851A0000}"/>
    <cellStyle name="Normal 43 6" xfId="6626" xr:uid="{00000000-0005-0000-0000-0000861A0000}"/>
    <cellStyle name="Normal 43 7" xfId="1374" xr:uid="{00000000-0005-0000-0000-0000871A0000}"/>
    <cellStyle name="Normal 44" xfId="640" xr:uid="{00000000-0005-0000-0000-0000881A0000}"/>
    <cellStyle name="Normal 44 2" xfId="6127" xr:uid="{00000000-0005-0000-0000-0000891A0000}"/>
    <cellStyle name="Normal 44 3" xfId="8636" xr:uid="{00000000-0005-0000-0000-00008A1A0000}"/>
    <cellStyle name="Normal 44 4" xfId="3722" xr:uid="{00000000-0005-0000-0000-00008B1A0000}"/>
    <cellStyle name="Normal 45" xfId="641" xr:uid="{00000000-0005-0000-0000-00008C1A0000}"/>
    <cellStyle name="Normal 45 2" xfId="6128" xr:uid="{00000000-0005-0000-0000-00008D1A0000}"/>
    <cellStyle name="Normal 45 3" xfId="8637" xr:uid="{00000000-0005-0000-0000-00008E1A0000}"/>
    <cellStyle name="Normal 45 4" xfId="3723" xr:uid="{00000000-0005-0000-0000-00008F1A0000}"/>
    <cellStyle name="Normal 46" xfId="642" xr:uid="{00000000-0005-0000-0000-0000901A0000}"/>
    <cellStyle name="Normal 46 2" xfId="6126" xr:uid="{00000000-0005-0000-0000-0000911A0000}"/>
    <cellStyle name="Normal 46 3" xfId="8635" xr:uid="{00000000-0005-0000-0000-0000921A0000}"/>
    <cellStyle name="Normal 46 4" xfId="3721" xr:uid="{00000000-0005-0000-0000-0000931A0000}"/>
    <cellStyle name="Normal 47" xfId="643" xr:uid="{00000000-0005-0000-0000-0000941A0000}"/>
    <cellStyle name="Normal 47 2" xfId="4726" xr:uid="{00000000-0005-0000-0000-0000951A0000}"/>
    <cellStyle name="Normal 47 3" xfId="8130" xr:uid="{00000000-0005-0000-0000-0000961A0000}"/>
    <cellStyle name="Normal 47 4" xfId="3074" xr:uid="{00000000-0005-0000-0000-0000971A0000}"/>
    <cellStyle name="Normal 48" xfId="644" xr:uid="{00000000-0005-0000-0000-0000981A0000}"/>
    <cellStyle name="Normal 48 2" xfId="3855" xr:uid="{00000000-0005-0000-0000-0000991A0000}"/>
    <cellStyle name="Normal 49" xfId="645" xr:uid="{00000000-0005-0000-0000-00009A1A0000}"/>
    <cellStyle name="Normal 49 2" xfId="3885"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6" xr:uid="{00000000-0005-0000-0000-0000AA1A0000}"/>
    <cellStyle name="Normal 5 10 4" xfId="2416" xr:uid="{00000000-0005-0000-0000-0000AB1A0000}"/>
    <cellStyle name="Normal 5 11" xfId="2417" xr:uid="{00000000-0005-0000-0000-0000AC1A0000}"/>
    <cellStyle name="Normal 5 11 2" xfId="4323" xr:uid="{00000000-0005-0000-0000-0000AD1A0000}"/>
    <cellStyle name="Normal 5 11 3" xfId="7647" xr:uid="{00000000-0005-0000-0000-0000AE1A0000}"/>
    <cellStyle name="Normal 5 12" xfId="2418" xr:uid="{00000000-0005-0000-0000-0000AF1A0000}"/>
    <cellStyle name="Normal 5 12 2" xfId="4324" xr:uid="{00000000-0005-0000-0000-0000B01A0000}"/>
    <cellStyle name="Normal 5 12 3" xfId="7648" xr:uid="{00000000-0005-0000-0000-0000B11A0000}"/>
    <cellStyle name="Normal 5 13" xfId="2419" xr:uid="{00000000-0005-0000-0000-0000B21A0000}"/>
    <cellStyle name="Normal 5 13 2" xfId="4325" xr:uid="{00000000-0005-0000-0000-0000B31A0000}"/>
    <cellStyle name="Normal 5 13 3" xfId="7649" xr:uid="{00000000-0005-0000-0000-0000B41A0000}"/>
    <cellStyle name="Normal 5 14" xfId="2420" xr:uid="{00000000-0005-0000-0000-0000B51A0000}"/>
    <cellStyle name="Normal 5 14 2" xfId="4326" xr:uid="{00000000-0005-0000-0000-0000B61A0000}"/>
    <cellStyle name="Normal 5 14 3" xfId="7650" xr:uid="{00000000-0005-0000-0000-0000B71A0000}"/>
    <cellStyle name="Normal 5 15" xfId="2421" xr:uid="{00000000-0005-0000-0000-0000B81A0000}"/>
    <cellStyle name="Normal 5 15 2" xfId="4327" xr:uid="{00000000-0005-0000-0000-0000B91A0000}"/>
    <cellStyle name="Normal 5 15 3" xfId="7651" xr:uid="{00000000-0005-0000-0000-0000BA1A0000}"/>
    <cellStyle name="Normal 5 16" xfId="2422" xr:uid="{00000000-0005-0000-0000-0000BB1A0000}"/>
    <cellStyle name="Normal 5 16 2" xfId="4328" xr:uid="{00000000-0005-0000-0000-0000BC1A0000}"/>
    <cellStyle name="Normal 5 16 3" xfId="7652" xr:uid="{00000000-0005-0000-0000-0000BD1A0000}"/>
    <cellStyle name="Normal 5 17" xfId="2423" xr:uid="{00000000-0005-0000-0000-0000BE1A0000}"/>
    <cellStyle name="Normal 5 17 2" xfId="4329" xr:uid="{00000000-0005-0000-0000-0000BF1A0000}"/>
    <cellStyle name="Normal 5 17 3" xfId="7653" xr:uid="{00000000-0005-0000-0000-0000C01A0000}"/>
    <cellStyle name="Normal 5 18" xfId="2424" xr:uid="{00000000-0005-0000-0000-0000C11A0000}"/>
    <cellStyle name="Normal 5 18 2" xfId="4330" xr:uid="{00000000-0005-0000-0000-0000C21A0000}"/>
    <cellStyle name="Normal 5 18 3" xfId="7654" xr:uid="{00000000-0005-0000-0000-0000C31A0000}"/>
    <cellStyle name="Normal 5 19" xfId="2425" xr:uid="{00000000-0005-0000-0000-0000C41A0000}"/>
    <cellStyle name="Normal 5 19 2" xfId="4331" xr:uid="{00000000-0005-0000-0000-0000C51A0000}"/>
    <cellStyle name="Normal 5 19 3" xfId="7655" xr:uid="{00000000-0005-0000-0000-0000C61A0000}"/>
    <cellStyle name="Normal 5 2" xfId="660" xr:uid="{00000000-0005-0000-0000-0000C71A0000}"/>
    <cellStyle name="Normal 5 2 10" xfId="6393" xr:uid="{00000000-0005-0000-0000-0000C81A0000}"/>
    <cellStyle name="Normal 5 2 11" xfId="1122" xr:uid="{00000000-0005-0000-0000-0000C91A0000}"/>
    <cellStyle name="Normal 5 2 2" xfId="661" xr:uid="{00000000-0005-0000-0000-0000CA1A0000}"/>
    <cellStyle name="Normal 5 2 2 2" xfId="1546" xr:uid="{00000000-0005-0000-0000-0000CB1A0000}"/>
    <cellStyle name="Normal 5 2 2 2 2" xfId="3685" xr:uid="{00000000-0005-0000-0000-0000CC1A0000}"/>
    <cellStyle name="Normal 5 2 2 2 2 2" xfId="5573" xr:uid="{00000000-0005-0000-0000-0000CD1A0000}"/>
    <cellStyle name="Normal 5 2 2 2 2 3" xfId="8613" xr:uid="{00000000-0005-0000-0000-0000CE1A0000}"/>
    <cellStyle name="Normal 5 2 2 2 3" xfId="4593" xr:uid="{00000000-0005-0000-0000-0000CF1A0000}"/>
    <cellStyle name="Normal 5 2 2 2 4" xfId="6798" xr:uid="{00000000-0005-0000-0000-0000D01A0000}"/>
    <cellStyle name="Normal 5 2 2 3" xfId="1751" xr:uid="{00000000-0005-0000-0000-0000D11A0000}"/>
    <cellStyle name="Normal 5 2 2 3 2" xfId="3700" xr:uid="{00000000-0005-0000-0000-0000D21A0000}"/>
    <cellStyle name="Normal 5 2 2 3 2 2" xfId="5773" xr:uid="{00000000-0005-0000-0000-0000D31A0000}"/>
    <cellStyle name="Normal 5 2 2 3 2 3" xfId="8620" xr:uid="{00000000-0005-0000-0000-0000D41A0000}"/>
    <cellStyle name="Normal 5 2 2 3 3" xfId="4677" xr:uid="{00000000-0005-0000-0000-0000D51A0000}"/>
    <cellStyle name="Normal 5 2 2 3 4" xfId="6998" xr:uid="{00000000-0005-0000-0000-0000D61A0000}"/>
    <cellStyle name="Normal 5 2 2 4" xfId="1909" xr:uid="{00000000-0005-0000-0000-0000D71A0000}"/>
    <cellStyle name="Normal 5 2 2 4 2" xfId="5929" xr:uid="{00000000-0005-0000-0000-0000D81A0000}"/>
    <cellStyle name="Normal 5 2 2 4 3" xfId="7156" xr:uid="{00000000-0005-0000-0000-0000D91A0000}"/>
    <cellStyle name="Normal 5 2 2 5" xfId="3639" xr:uid="{00000000-0005-0000-0000-0000DA1A0000}"/>
    <cellStyle name="Normal 5 2 2 5 2" xfId="5311" xr:uid="{00000000-0005-0000-0000-0000DB1A0000}"/>
    <cellStyle name="Normal 5 2 2 5 3" xfId="8599" xr:uid="{00000000-0005-0000-0000-0000DC1A0000}"/>
    <cellStyle name="Normal 5 2 2 6" xfId="2818" xr:uid="{00000000-0005-0000-0000-0000DD1A0000}"/>
    <cellStyle name="Normal 5 2 2 7" xfId="4333" xr:uid="{00000000-0005-0000-0000-0000DE1A0000}"/>
    <cellStyle name="Normal 5 2 2 8" xfId="6526" xr:uid="{00000000-0005-0000-0000-0000DF1A0000}"/>
    <cellStyle name="Normal 5 2 2 9" xfId="1274" xr:uid="{00000000-0005-0000-0000-0000E01A0000}"/>
    <cellStyle name="Normal 5 2 3" xfId="1321" xr:uid="{00000000-0005-0000-0000-0000E11A0000}"/>
    <cellStyle name="Normal 5 2 3 2" xfId="1589" xr:uid="{00000000-0005-0000-0000-0000E21A0000}"/>
    <cellStyle name="Normal 5 2 3 2 2" xfId="3690" xr:uid="{00000000-0005-0000-0000-0000E31A0000}"/>
    <cellStyle name="Normal 5 2 3 2 2 2" xfId="5615" xr:uid="{00000000-0005-0000-0000-0000E41A0000}"/>
    <cellStyle name="Normal 5 2 3 2 2 3" xfId="8616" xr:uid="{00000000-0005-0000-0000-0000E51A0000}"/>
    <cellStyle name="Normal 5 2 3 2 3" xfId="4597" xr:uid="{00000000-0005-0000-0000-0000E61A0000}"/>
    <cellStyle name="Normal 5 2 3 2 4" xfId="6840" xr:uid="{00000000-0005-0000-0000-0000E71A0000}"/>
    <cellStyle name="Normal 5 2 3 3" xfId="1793" xr:uid="{00000000-0005-0000-0000-0000E81A0000}"/>
    <cellStyle name="Normal 5 2 3 3 2" xfId="3703" xr:uid="{00000000-0005-0000-0000-0000E91A0000}"/>
    <cellStyle name="Normal 5 2 3 3 2 2" xfId="5814" xr:uid="{00000000-0005-0000-0000-0000EA1A0000}"/>
    <cellStyle name="Normal 5 2 3 3 2 3" xfId="8622" xr:uid="{00000000-0005-0000-0000-0000EB1A0000}"/>
    <cellStyle name="Normal 5 2 3 3 3" xfId="4681" xr:uid="{00000000-0005-0000-0000-0000EC1A0000}"/>
    <cellStyle name="Normal 5 2 3 3 4" xfId="7040" xr:uid="{00000000-0005-0000-0000-0000ED1A0000}"/>
    <cellStyle name="Normal 5 2 3 4" xfId="1908" xr:uid="{00000000-0005-0000-0000-0000EE1A0000}"/>
    <cellStyle name="Normal 5 2 3 4 2" xfId="5928" xr:uid="{00000000-0005-0000-0000-0000EF1A0000}"/>
    <cellStyle name="Normal 5 2 3 4 3" xfId="7155" xr:uid="{00000000-0005-0000-0000-0000F01A0000}"/>
    <cellStyle name="Normal 5 2 3 5" xfId="3662" xr:uid="{00000000-0005-0000-0000-0000F11A0000}"/>
    <cellStyle name="Normal 5 2 3 5 2" xfId="5357" xr:uid="{00000000-0005-0000-0000-0000F21A0000}"/>
    <cellStyle name="Normal 5 2 3 5 3" xfId="8605" xr:uid="{00000000-0005-0000-0000-0000F31A0000}"/>
    <cellStyle name="Normal 5 2 3 6" xfId="2824" xr:uid="{00000000-0005-0000-0000-0000F41A0000}"/>
    <cellStyle name="Normal 5 2 3 7" xfId="4334" xr:uid="{00000000-0005-0000-0000-0000F51A0000}"/>
    <cellStyle name="Normal 5 2 3 8" xfId="6573" xr:uid="{00000000-0005-0000-0000-0000F61A0000}"/>
    <cellStyle name="Normal 5 2 4" xfId="1473" xr:uid="{00000000-0005-0000-0000-0000F71A0000}"/>
    <cellStyle name="Normal 5 2 4 2" xfId="5501" xr:uid="{00000000-0005-0000-0000-0000F81A0000}"/>
    <cellStyle name="Normal 5 2 4 3" xfId="6725" xr:uid="{00000000-0005-0000-0000-0000F91A0000}"/>
    <cellStyle name="Normal 5 2 5" xfId="1468" xr:uid="{00000000-0005-0000-0000-0000FA1A0000}"/>
    <cellStyle name="Normal 5 2 5 2" xfId="5496" xr:uid="{00000000-0005-0000-0000-0000FB1A0000}"/>
    <cellStyle name="Normal 5 2 5 3" xfId="6720" xr:uid="{00000000-0005-0000-0000-0000FC1A0000}"/>
    <cellStyle name="Normal 5 2 6" xfId="1726" xr:uid="{00000000-0005-0000-0000-0000FD1A0000}"/>
    <cellStyle name="Normal 5 2 6 2" xfId="5748" xr:uid="{00000000-0005-0000-0000-0000FE1A0000}"/>
    <cellStyle name="Normal 5 2 6 3" xfId="6973" xr:uid="{00000000-0005-0000-0000-0000FF1A0000}"/>
    <cellStyle name="Normal 5 2 7" xfId="1203" xr:uid="{00000000-0005-0000-0000-0000001B0000}"/>
    <cellStyle name="Normal 5 2 7 2" xfId="5041" xr:uid="{00000000-0005-0000-0000-0000011B0000}"/>
    <cellStyle name="Normal 5 2 7 3" xfId="6455" xr:uid="{00000000-0005-0000-0000-0000021B0000}"/>
    <cellStyle name="Normal 5 2 8" xfId="2426" xr:uid="{00000000-0005-0000-0000-0000031B0000}"/>
    <cellStyle name="Normal 5 2 9" xfId="4332" xr:uid="{00000000-0005-0000-0000-0000041B0000}"/>
    <cellStyle name="Normal 5 20" xfId="2427" xr:uid="{00000000-0005-0000-0000-0000051B0000}"/>
    <cellStyle name="Normal 5 20 2" xfId="4335" xr:uid="{00000000-0005-0000-0000-0000061B0000}"/>
    <cellStyle name="Normal 5 20 3" xfId="7656" xr:uid="{00000000-0005-0000-0000-0000071B0000}"/>
    <cellStyle name="Normal 5 21" xfId="2428" xr:uid="{00000000-0005-0000-0000-0000081B0000}"/>
    <cellStyle name="Normal 5 21 2" xfId="4336" xr:uid="{00000000-0005-0000-0000-0000091B0000}"/>
    <cellStyle name="Normal 5 21 3" xfId="7657" xr:uid="{00000000-0005-0000-0000-00000A1B0000}"/>
    <cellStyle name="Normal 5 22" xfId="2429" xr:uid="{00000000-0005-0000-0000-00000B1B0000}"/>
    <cellStyle name="Normal 5 22 2" xfId="4337" xr:uid="{00000000-0005-0000-0000-00000C1B0000}"/>
    <cellStyle name="Normal 5 22 3" xfId="7658" xr:uid="{00000000-0005-0000-0000-00000D1B0000}"/>
    <cellStyle name="Normal 5 23" xfId="2430" xr:uid="{00000000-0005-0000-0000-00000E1B0000}"/>
    <cellStyle name="Normal 5 23 2" xfId="4338" xr:uid="{00000000-0005-0000-0000-00000F1B0000}"/>
    <cellStyle name="Normal 5 23 3" xfId="7659" xr:uid="{00000000-0005-0000-0000-0000101B0000}"/>
    <cellStyle name="Normal 5 24" xfId="2431" xr:uid="{00000000-0005-0000-0000-0000111B0000}"/>
    <cellStyle name="Normal 5 24 2" xfId="4339" xr:uid="{00000000-0005-0000-0000-0000121B0000}"/>
    <cellStyle name="Normal 5 24 3" xfId="7660" xr:uid="{00000000-0005-0000-0000-0000131B0000}"/>
    <cellStyle name="Normal 5 25" xfId="2432" xr:uid="{00000000-0005-0000-0000-0000141B0000}"/>
    <cellStyle name="Normal 5 25 2" xfId="4340" xr:uid="{00000000-0005-0000-0000-0000151B0000}"/>
    <cellStyle name="Normal 5 25 3" xfId="7661" xr:uid="{00000000-0005-0000-0000-0000161B0000}"/>
    <cellStyle name="Normal 5 26" xfId="2433" xr:uid="{00000000-0005-0000-0000-0000171B0000}"/>
    <cellStyle name="Normal 5 26 2" xfId="4341" xr:uid="{00000000-0005-0000-0000-0000181B0000}"/>
    <cellStyle name="Normal 5 26 3" xfId="7662" xr:uid="{00000000-0005-0000-0000-0000191B0000}"/>
    <cellStyle name="Normal 5 27" xfId="2434" xr:uid="{00000000-0005-0000-0000-00001A1B0000}"/>
    <cellStyle name="Normal 5 27 2" xfId="4342" xr:uid="{00000000-0005-0000-0000-00001B1B0000}"/>
    <cellStyle name="Normal 5 27 3" xfId="7663" xr:uid="{00000000-0005-0000-0000-00001C1B0000}"/>
    <cellStyle name="Normal 5 28" xfId="2435" xr:uid="{00000000-0005-0000-0000-00001D1B0000}"/>
    <cellStyle name="Normal 5 28 2" xfId="4343" xr:uid="{00000000-0005-0000-0000-00001E1B0000}"/>
    <cellStyle name="Normal 5 28 3" xfId="7664" xr:uid="{00000000-0005-0000-0000-00001F1B0000}"/>
    <cellStyle name="Normal 5 29" xfId="2436" xr:uid="{00000000-0005-0000-0000-0000201B0000}"/>
    <cellStyle name="Normal 5 29 2" xfId="4344" xr:uid="{00000000-0005-0000-0000-0000211B0000}"/>
    <cellStyle name="Normal 5 29 3" xfId="7665" xr:uid="{00000000-0005-0000-0000-0000221B0000}"/>
    <cellStyle name="Normal 5 3" xfId="662" xr:uid="{00000000-0005-0000-0000-0000231B0000}"/>
    <cellStyle name="Normal 5 3 2" xfId="1523" xr:uid="{00000000-0005-0000-0000-0000241B0000}"/>
    <cellStyle name="Normal 5 3 2 2" xfId="2718" xr:uid="{00000000-0005-0000-0000-0000251B0000}"/>
    <cellStyle name="Normal 5 3 2 2 2" xfId="3683" xr:uid="{00000000-0005-0000-0000-0000261B0000}"/>
    <cellStyle name="Normal 5 3 2 2 3" xfId="5550" xr:uid="{00000000-0005-0000-0000-0000271B0000}"/>
    <cellStyle name="Normal 5 3 2 2 4" xfId="7911" xr:uid="{00000000-0005-0000-0000-0000281B0000}"/>
    <cellStyle name="Normal 5 3 2 3" xfId="4346" xr:uid="{00000000-0005-0000-0000-0000291B0000}"/>
    <cellStyle name="Normal 5 3 2 4" xfId="6775" xr:uid="{00000000-0005-0000-0000-00002A1B0000}"/>
    <cellStyle name="Normal 5 3 3" xfId="1728" xr:uid="{00000000-0005-0000-0000-00002B1B0000}"/>
    <cellStyle name="Normal 5 3 3 2" xfId="5750" xr:uid="{00000000-0005-0000-0000-00002C1B0000}"/>
    <cellStyle name="Normal 5 3 3 3" xfId="6975" xr:uid="{00000000-0005-0000-0000-00002D1B0000}"/>
    <cellStyle name="Normal 5 3 4" xfId="1598" xr:uid="{00000000-0005-0000-0000-00002E1B0000}"/>
    <cellStyle name="Normal 5 3 4 2" xfId="5624" xr:uid="{00000000-0005-0000-0000-00002F1B0000}"/>
    <cellStyle name="Normal 5 3 4 3" xfId="6849" xr:uid="{00000000-0005-0000-0000-0000301B0000}"/>
    <cellStyle name="Normal 5 3 5" xfId="1253" xr:uid="{00000000-0005-0000-0000-0000311B0000}"/>
    <cellStyle name="Normal 5 3 5 2" xfId="5042" xr:uid="{00000000-0005-0000-0000-0000321B0000}"/>
    <cellStyle name="Normal 5 3 5 3" xfId="6505" xr:uid="{00000000-0005-0000-0000-0000331B0000}"/>
    <cellStyle name="Normal 5 3 6" xfId="2437" xr:uid="{00000000-0005-0000-0000-0000341B0000}"/>
    <cellStyle name="Normal 5 3 7" xfId="4345" xr:uid="{00000000-0005-0000-0000-0000351B0000}"/>
    <cellStyle name="Normal 5 3 8" xfId="6410" xr:uid="{00000000-0005-0000-0000-0000361B0000}"/>
    <cellStyle name="Normal 5 3 9" xfId="1155" xr:uid="{00000000-0005-0000-0000-0000371B0000}"/>
    <cellStyle name="Normal 5 30" xfId="2438" xr:uid="{00000000-0005-0000-0000-0000381B0000}"/>
    <cellStyle name="Normal 5 30 2" xfId="4347" xr:uid="{00000000-0005-0000-0000-0000391B0000}"/>
    <cellStyle name="Normal 5 30 3" xfId="7666" xr:uid="{00000000-0005-0000-0000-00003A1B0000}"/>
    <cellStyle name="Normal 5 31" xfId="2439" xr:uid="{00000000-0005-0000-0000-00003B1B0000}"/>
    <cellStyle name="Normal 5 31 2" xfId="4348" xr:uid="{00000000-0005-0000-0000-00003C1B0000}"/>
    <cellStyle name="Normal 5 31 3" xfId="7667" xr:uid="{00000000-0005-0000-0000-00003D1B0000}"/>
    <cellStyle name="Normal 5 32" xfId="2440" xr:uid="{00000000-0005-0000-0000-00003E1B0000}"/>
    <cellStyle name="Normal 5 32 2" xfId="4349" xr:uid="{00000000-0005-0000-0000-00003F1B0000}"/>
    <cellStyle name="Normal 5 32 3" xfId="7668" xr:uid="{00000000-0005-0000-0000-0000401B0000}"/>
    <cellStyle name="Normal 5 33" xfId="2441" xr:uid="{00000000-0005-0000-0000-0000411B0000}"/>
    <cellStyle name="Normal 5 33 2" xfId="4350" xr:uid="{00000000-0005-0000-0000-0000421B0000}"/>
    <cellStyle name="Normal 5 33 3" xfId="7669" xr:uid="{00000000-0005-0000-0000-0000431B0000}"/>
    <cellStyle name="Normal 5 34" xfId="2442" xr:uid="{00000000-0005-0000-0000-0000441B0000}"/>
    <cellStyle name="Normal 5 34 2" xfId="4351" xr:uid="{00000000-0005-0000-0000-0000451B0000}"/>
    <cellStyle name="Normal 5 34 3" xfId="7670" xr:uid="{00000000-0005-0000-0000-0000461B0000}"/>
    <cellStyle name="Normal 5 35" xfId="2443" xr:uid="{00000000-0005-0000-0000-0000471B0000}"/>
    <cellStyle name="Normal 5 35 2" xfId="4352" xr:uid="{00000000-0005-0000-0000-0000481B0000}"/>
    <cellStyle name="Normal 5 35 3" xfId="7671" xr:uid="{00000000-0005-0000-0000-0000491B0000}"/>
    <cellStyle name="Normal 5 36" xfId="2444" xr:uid="{00000000-0005-0000-0000-00004A1B0000}"/>
    <cellStyle name="Normal 5 36 2" xfId="4353" xr:uid="{00000000-0005-0000-0000-00004B1B0000}"/>
    <cellStyle name="Normal 5 36 3" xfId="7672" xr:uid="{00000000-0005-0000-0000-00004C1B0000}"/>
    <cellStyle name="Normal 5 37" xfId="2445" xr:uid="{00000000-0005-0000-0000-00004D1B0000}"/>
    <cellStyle name="Normal 5 37 2" xfId="4354" xr:uid="{00000000-0005-0000-0000-00004E1B0000}"/>
    <cellStyle name="Normal 5 37 3" xfId="7673" xr:uid="{00000000-0005-0000-0000-00004F1B0000}"/>
    <cellStyle name="Normal 5 38" xfId="2446" xr:uid="{00000000-0005-0000-0000-0000501B0000}"/>
    <cellStyle name="Normal 5 38 2" xfId="4355" xr:uid="{00000000-0005-0000-0000-0000511B0000}"/>
    <cellStyle name="Normal 5 38 3" xfId="7674" xr:uid="{00000000-0005-0000-0000-0000521B0000}"/>
    <cellStyle name="Normal 5 39" xfId="2447" xr:uid="{00000000-0005-0000-0000-0000531B0000}"/>
    <cellStyle name="Normal 5 39 2" xfId="4356" xr:uid="{00000000-0005-0000-0000-0000541B0000}"/>
    <cellStyle name="Normal 5 39 3" xfId="7675" xr:uid="{00000000-0005-0000-0000-0000551B0000}"/>
    <cellStyle name="Normal 5 4" xfId="663" xr:uid="{00000000-0005-0000-0000-0000561B0000}"/>
    <cellStyle name="Normal 5 4 2" xfId="1568" xr:uid="{00000000-0005-0000-0000-0000571B0000}"/>
    <cellStyle name="Normal 5 4 2 2" xfId="5594" xr:uid="{00000000-0005-0000-0000-0000581B0000}"/>
    <cellStyle name="Normal 5 4 2 3" xfId="6819" xr:uid="{00000000-0005-0000-0000-0000591B0000}"/>
    <cellStyle name="Normal 5 4 3" xfId="1772" xr:uid="{00000000-0005-0000-0000-00005A1B0000}"/>
    <cellStyle name="Normal 5 4 3 2" xfId="5793" xr:uid="{00000000-0005-0000-0000-00005B1B0000}"/>
    <cellStyle name="Normal 5 4 3 3" xfId="7019" xr:uid="{00000000-0005-0000-0000-00005C1B0000}"/>
    <cellStyle name="Normal 5 4 4" xfId="1944" xr:uid="{00000000-0005-0000-0000-00005D1B0000}"/>
    <cellStyle name="Normal 5 4 4 2" xfId="5964" xr:uid="{00000000-0005-0000-0000-00005E1B0000}"/>
    <cellStyle name="Normal 5 4 4 3" xfId="7191" xr:uid="{00000000-0005-0000-0000-00005F1B0000}"/>
    <cellStyle name="Normal 5 4 5" xfId="2448" xr:uid="{00000000-0005-0000-0000-0000601B0000}"/>
    <cellStyle name="Normal 5 4 5 2" xfId="3404" xr:uid="{00000000-0005-0000-0000-0000611B0000}"/>
    <cellStyle name="Normal 5 4 5 3" xfId="5043" xr:uid="{00000000-0005-0000-0000-0000621B0000}"/>
    <cellStyle name="Normal 5 4 5 4" xfId="7676" xr:uid="{00000000-0005-0000-0000-0000631B0000}"/>
    <cellStyle name="Normal 5 4 6" xfId="4357" xr:uid="{00000000-0005-0000-0000-0000641B0000}"/>
    <cellStyle name="Normal 5 4 7" xfId="6407" xr:uid="{00000000-0005-0000-0000-0000651B0000}"/>
    <cellStyle name="Normal 5 4 8" xfId="1152" xr:uid="{00000000-0005-0000-0000-0000661B0000}"/>
    <cellStyle name="Normal 5 40" xfId="2449" xr:uid="{00000000-0005-0000-0000-0000671B0000}"/>
    <cellStyle name="Normal 5 40 2" xfId="4358" xr:uid="{00000000-0005-0000-0000-0000681B0000}"/>
    <cellStyle name="Normal 5 40 3" xfId="7677" xr:uid="{00000000-0005-0000-0000-0000691B0000}"/>
    <cellStyle name="Normal 5 41" xfId="2450" xr:uid="{00000000-0005-0000-0000-00006A1B0000}"/>
    <cellStyle name="Normal 5 41 2" xfId="4359" xr:uid="{00000000-0005-0000-0000-00006B1B0000}"/>
    <cellStyle name="Normal 5 41 3" xfId="7678" xr:uid="{00000000-0005-0000-0000-00006C1B0000}"/>
    <cellStyle name="Normal 5 42" xfId="2451" xr:uid="{00000000-0005-0000-0000-00006D1B0000}"/>
    <cellStyle name="Normal 5 42 2" xfId="4360" xr:uid="{00000000-0005-0000-0000-00006E1B0000}"/>
    <cellStyle name="Normal 5 42 3" xfId="7679" xr:uid="{00000000-0005-0000-0000-00006F1B0000}"/>
    <cellStyle name="Normal 5 43" xfId="2452" xr:uid="{00000000-0005-0000-0000-0000701B0000}"/>
    <cellStyle name="Normal 5 43 2" xfId="4361" xr:uid="{00000000-0005-0000-0000-0000711B0000}"/>
    <cellStyle name="Normal 5 43 3" xfId="7680" xr:uid="{00000000-0005-0000-0000-0000721B0000}"/>
    <cellStyle name="Normal 5 44" xfId="2453" xr:uid="{00000000-0005-0000-0000-0000731B0000}"/>
    <cellStyle name="Normal 5 44 2" xfId="4362" xr:uid="{00000000-0005-0000-0000-0000741B0000}"/>
    <cellStyle name="Normal 5 44 3" xfId="7681" xr:uid="{00000000-0005-0000-0000-0000751B0000}"/>
    <cellStyle name="Normal 5 45" xfId="2454" xr:uid="{00000000-0005-0000-0000-0000761B0000}"/>
    <cellStyle name="Normal 5 45 2" xfId="4363" xr:uid="{00000000-0005-0000-0000-0000771B0000}"/>
    <cellStyle name="Normal 5 45 3" xfId="7682" xr:uid="{00000000-0005-0000-0000-0000781B0000}"/>
    <cellStyle name="Normal 5 46" xfId="2455" xr:uid="{00000000-0005-0000-0000-0000791B0000}"/>
    <cellStyle name="Normal 5 46 2" xfId="4364" xr:uid="{00000000-0005-0000-0000-00007A1B0000}"/>
    <cellStyle name="Normal 5 46 3" xfId="7683" xr:uid="{00000000-0005-0000-0000-00007B1B0000}"/>
    <cellStyle name="Normal 5 47" xfId="2456" xr:uid="{00000000-0005-0000-0000-00007C1B0000}"/>
    <cellStyle name="Normal 5 47 2" xfId="4365" xr:uid="{00000000-0005-0000-0000-00007D1B0000}"/>
    <cellStyle name="Normal 5 47 3" xfId="7684" xr:uid="{00000000-0005-0000-0000-00007E1B0000}"/>
    <cellStyle name="Normal 5 48" xfId="2457" xr:uid="{00000000-0005-0000-0000-00007F1B0000}"/>
    <cellStyle name="Normal 5 48 2" xfId="4366" xr:uid="{00000000-0005-0000-0000-0000801B0000}"/>
    <cellStyle name="Normal 5 48 3" xfId="7685" xr:uid="{00000000-0005-0000-0000-0000811B0000}"/>
    <cellStyle name="Normal 5 49" xfId="2458" xr:uid="{00000000-0005-0000-0000-0000821B0000}"/>
    <cellStyle name="Normal 5 49 2" xfId="4367" xr:uid="{00000000-0005-0000-0000-0000831B0000}"/>
    <cellStyle name="Normal 5 49 3" xfId="7686" xr:uid="{00000000-0005-0000-0000-0000841B0000}"/>
    <cellStyle name="Normal 5 5" xfId="664" xr:uid="{00000000-0005-0000-0000-0000851B0000}"/>
    <cellStyle name="Normal 5 5 2" xfId="665" xr:uid="{00000000-0005-0000-0000-0000861B0000}"/>
    <cellStyle name="Normal 5 5 2 2" xfId="3405" xr:uid="{00000000-0005-0000-0000-0000871B0000}"/>
    <cellStyle name="Normal 5 5 2 3" xfId="5044" xr:uid="{00000000-0005-0000-0000-0000881B0000}"/>
    <cellStyle name="Normal 5 5 2 4" xfId="7687" xr:uid="{00000000-0005-0000-0000-0000891B0000}"/>
    <cellStyle name="Normal 5 5 2 5" xfId="2459" xr:uid="{00000000-0005-0000-0000-00008A1B0000}"/>
    <cellStyle name="Normal 5 5 3" xfId="4368" xr:uid="{00000000-0005-0000-0000-00008B1B0000}"/>
    <cellStyle name="Normal 5 5 4" xfId="6700" xr:uid="{00000000-0005-0000-0000-00008C1B0000}"/>
    <cellStyle name="Normal 5 5 5" xfId="1448" xr:uid="{00000000-0005-0000-0000-00008D1B0000}"/>
    <cellStyle name="Normal 5 50" xfId="2460" xr:uid="{00000000-0005-0000-0000-00008E1B0000}"/>
    <cellStyle name="Normal 5 50 2" xfId="4369" xr:uid="{00000000-0005-0000-0000-00008F1B0000}"/>
    <cellStyle name="Normal 5 50 3" xfId="7688" xr:uid="{00000000-0005-0000-0000-0000901B0000}"/>
    <cellStyle name="Normal 5 51" xfId="2461" xr:uid="{00000000-0005-0000-0000-0000911B0000}"/>
    <cellStyle name="Normal 5 51 2" xfId="4370" xr:uid="{00000000-0005-0000-0000-0000921B0000}"/>
    <cellStyle name="Normal 5 51 3" xfId="7689" xr:uid="{00000000-0005-0000-0000-0000931B0000}"/>
    <cellStyle name="Normal 5 52" xfId="2462" xr:uid="{00000000-0005-0000-0000-0000941B0000}"/>
    <cellStyle name="Normal 5 52 2" xfId="4371" xr:uid="{00000000-0005-0000-0000-0000951B0000}"/>
    <cellStyle name="Normal 5 52 3" xfId="7690" xr:uid="{00000000-0005-0000-0000-0000961B0000}"/>
    <cellStyle name="Normal 5 53" xfId="2463" xr:uid="{00000000-0005-0000-0000-0000971B0000}"/>
    <cellStyle name="Normal 5 53 2" xfId="4372" xr:uid="{00000000-0005-0000-0000-0000981B0000}"/>
    <cellStyle name="Normal 5 53 3" xfId="7691" xr:uid="{00000000-0005-0000-0000-0000991B0000}"/>
    <cellStyle name="Normal 5 54" xfId="2464" xr:uid="{00000000-0005-0000-0000-00009A1B0000}"/>
    <cellStyle name="Normal 5 54 2" xfId="4373" xr:uid="{00000000-0005-0000-0000-00009B1B0000}"/>
    <cellStyle name="Normal 5 54 3" xfId="7692" xr:uid="{00000000-0005-0000-0000-00009C1B0000}"/>
    <cellStyle name="Normal 5 55" xfId="2465" xr:uid="{00000000-0005-0000-0000-00009D1B0000}"/>
    <cellStyle name="Normal 5 55 2" xfId="4374" xr:uid="{00000000-0005-0000-0000-00009E1B0000}"/>
    <cellStyle name="Normal 5 55 3" xfId="7693" xr:uid="{00000000-0005-0000-0000-00009F1B0000}"/>
    <cellStyle name="Normal 5 56" xfId="2466" xr:uid="{00000000-0005-0000-0000-0000A01B0000}"/>
    <cellStyle name="Normal 5 56 2" xfId="4375" xr:uid="{00000000-0005-0000-0000-0000A11B0000}"/>
    <cellStyle name="Normal 5 56 3" xfId="7694" xr:uid="{00000000-0005-0000-0000-0000A21B0000}"/>
    <cellStyle name="Normal 5 57" xfId="2467" xr:uid="{00000000-0005-0000-0000-0000A31B0000}"/>
    <cellStyle name="Normal 5 57 2" xfId="4376" xr:uid="{00000000-0005-0000-0000-0000A41B0000}"/>
    <cellStyle name="Normal 5 57 3" xfId="7695" xr:uid="{00000000-0005-0000-0000-0000A51B0000}"/>
    <cellStyle name="Normal 5 58" xfId="2468" xr:uid="{00000000-0005-0000-0000-0000A61B0000}"/>
    <cellStyle name="Normal 5 58 2" xfId="4377" xr:uid="{00000000-0005-0000-0000-0000A71B0000}"/>
    <cellStyle name="Normal 5 58 3" xfId="7696" xr:uid="{00000000-0005-0000-0000-0000A81B0000}"/>
    <cellStyle name="Normal 5 59" xfId="2469" xr:uid="{00000000-0005-0000-0000-0000A91B0000}"/>
    <cellStyle name="Normal 5 59 2" xfId="4378" xr:uid="{00000000-0005-0000-0000-0000AA1B0000}"/>
    <cellStyle name="Normal 5 59 3" xfId="7697" xr:uid="{00000000-0005-0000-0000-0000AB1B0000}"/>
    <cellStyle name="Normal 5 6" xfId="666" xr:uid="{00000000-0005-0000-0000-0000AC1B0000}"/>
    <cellStyle name="Normal 5 6 2" xfId="2470" xr:uid="{00000000-0005-0000-0000-0000AD1B0000}"/>
    <cellStyle name="Normal 5 6 2 2" xfId="3406" xr:uid="{00000000-0005-0000-0000-0000AE1B0000}"/>
    <cellStyle name="Normal 5 6 2 3" xfId="5045" xr:uid="{00000000-0005-0000-0000-0000AF1B0000}"/>
    <cellStyle name="Normal 5 6 2 4" xfId="7698" xr:uid="{00000000-0005-0000-0000-0000B01B0000}"/>
    <cellStyle name="Normal 5 6 3" xfId="4379" xr:uid="{00000000-0005-0000-0000-0000B11B0000}"/>
    <cellStyle name="Normal 5 6 4" xfId="6661" xr:uid="{00000000-0005-0000-0000-0000B21B0000}"/>
    <cellStyle name="Normal 5 6 5" xfId="1409" xr:uid="{00000000-0005-0000-0000-0000B31B0000}"/>
    <cellStyle name="Normal 5 60" xfId="2471" xr:uid="{00000000-0005-0000-0000-0000B41B0000}"/>
    <cellStyle name="Normal 5 60 2" xfId="4380" xr:uid="{00000000-0005-0000-0000-0000B51B0000}"/>
    <cellStyle name="Normal 5 60 3" xfId="7699" xr:uid="{00000000-0005-0000-0000-0000B61B0000}"/>
    <cellStyle name="Normal 5 61" xfId="2472" xr:uid="{00000000-0005-0000-0000-0000B71B0000}"/>
    <cellStyle name="Normal 5 61 2" xfId="4381" xr:uid="{00000000-0005-0000-0000-0000B81B0000}"/>
    <cellStyle name="Normal 5 61 3" xfId="7700" xr:uid="{00000000-0005-0000-0000-0000B91B0000}"/>
    <cellStyle name="Normal 5 62" xfId="2473" xr:uid="{00000000-0005-0000-0000-0000BA1B0000}"/>
    <cellStyle name="Normal 5 62 2" xfId="4382" xr:uid="{00000000-0005-0000-0000-0000BB1B0000}"/>
    <cellStyle name="Normal 5 62 3" xfId="7701" xr:uid="{00000000-0005-0000-0000-0000BC1B0000}"/>
    <cellStyle name="Normal 5 63" xfId="2474" xr:uid="{00000000-0005-0000-0000-0000BD1B0000}"/>
    <cellStyle name="Normal 5 63 2" xfId="4383" xr:uid="{00000000-0005-0000-0000-0000BE1B0000}"/>
    <cellStyle name="Normal 5 63 3" xfId="7702" xr:uid="{00000000-0005-0000-0000-0000BF1B0000}"/>
    <cellStyle name="Normal 5 64" xfId="2475" xr:uid="{00000000-0005-0000-0000-0000C01B0000}"/>
    <cellStyle name="Normal 5 64 2" xfId="4384" xr:uid="{00000000-0005-0000-0000-0000C11B0000}"/>
    <cellStyle name="Normal 5 64 3" xfId="7703" xr:uid="{00000000-0005-0000-0000-0000C21B0000}"/>
    <cellStyle name="Normal 5 65" xfId="2476" xr:uid="{00000000-0005-0000-0000-0000C31B0000}"/>
    <cellStyle name="Normal 5 65 2" xfId="4385" xr:uid="{00000000-0005-0000-0000-0000C41B0000}"/>
    <cellStyle name="Normal 5 65 3" xfId="7704" xr:uid="{00000000-0005-0000-0000-0000C51B0000}"/>
    <cellStyle name="Normal 5 66" xfId="2477" xr:uid="{00000000-0005-0000-0000-0000C61B0000}"/>
    <cellStyle name="Normal 5 66 2" xfId="4386" xr:uid="{00000000-0005-0000-0000-0000C71B0000}"/>
    <cellStyle name="Normal 5 66 3" xfId="7705" xr:uid="{00000000-0005-0000-0000-0000C81B0000}"/>
    <cellStyle name="Normal 5 67" xfId="2478" xr:uid="{00000000-0005-0000-0000-0000C91B0000}"/>
    <cellStyle name="Normal 5 67 2" xfId="4387" xr:uid="{00000000-0005-0000-0000-0000CA1B0000}"/>
    <cellStyle name="Normal 5 67 3" xfId="7706" xr:uid="{00000000-0005-0000-0000-0000CB1B0000}"/>
    <cellStyle name="Normal 5 68" xfId="2479" xr:uid="{00000000-0005-0000-0000-0000CC1B0000}"/>
    <cellStyle name="Normal 5 68 2" xfId="4388" xr:uid="{00000000-0005-0000-0000-0000CD1B0000}"/>
    <cellStyle name="Normal 5 68 3" xfId="7707" xr:uid="{00000000-0005-0000-0000-0000CE1B0000}"/>
    <cellStyle name="Normal 5 69" xfId="2480" xr:uid="{00000000-0005-0000-0000-0000CF1B0000}"/>
    <cellStyle name="Normal 5 69 2" xfId="4389" xr:uid="{00000000-0005-0000-0000-0000D01B0000}"/>
    <cellStyle name="Normal 5 69 3" xfId="7708" xr:uid="{00000000-0005-0000-0000-0000D11B0000}"/>
    <cellStyle name="Normal 5 7" xfId="667" xr:uid="{00000000-0005-0000-0000-0000D21B0000}"/>
    <cellStyle name="Normal 5 7 2" xfId="2481" xr:uid="{00000000-0005-0000-0000-0000D31B0000}"/>
    <cellStyle name="Normal 5 7 2 2" xfId="3407" xr:uid="{00000000-0005-0000-0000-0000D41B0000}"/>
    <cellStyle name="Normal 5 7 2 3" xfId="5046" xr:uid="{00000000-0005-0000-0000-0000D51B0000}"/>
    <cellStyle name="Normal 5 7 2 4" xfId="7709" xr:uid="{00000000-0005-0000-0000-0000D61B0000}"/>
    <cellStyle name="Normal 5 7 3" xfId="4390" xr:uid="{00000000-0005-0000-0000-0000D71B0000}"/>
    <cellStyle name="Normal 5 7 4" xfId="7016" xr:uid="{00000000-0005-0000-0000-0000D81B0000}"/>
    <cellStyle name="Normal 5 7 5" xfId="1769" xr:uid="{00000000-0005-0000-0000-0000D91B0000}"/>
    <cellStyle name="Normal 5 70" xfId="2482" xr:uid="{00000000-0005-0000-0000-0000DA1B0000}"/>
    <cellStyle name="Normal 5 70 2" xfId="4391" xr:uid="{00000000-0005-0000-0000-0000DB1B0000}"/>
    <cellStyle name="Normal 5 70 3" xfId="7710" xr:uid="{00000000-0005-0000-0000-0000DC1B0000}"/>
    <cellStyle name="Normal 5 71" xfId="2483" xr:uid="{00000000-0005-0000-0000-0000DD1B0000}"/>
    <cellStyle name="Normal 5 71 2" xfId="4392" xr:uid="{00000000-0005-0000-0000-0000DE1B0000}"/>
    <cellStyle name="Normal 5 71 3" xfId="7711" xr:uid="{00000000-0005-0000-0000-0000DF1B0000}"/>
    <cellStyle name="Normal 5 72" xfId="2484" xr:uid="{00000000-0005-0000-0000-0000E01B0000}"/>
    <cellStyle name="Normal 5 72 2" xfId="4393" xr:uid="{00000000-0005-0000-0000-0000E11B0000}"/>
    <cellStyle name="Normal 5 72 3" xfId="7712" xr:uid="{00000000-0005-0000-0000-0000E21B0000}"/>
    <cellStyle name="Normal 5 73" xfId="2485" xr:uid="{00000000-0005-0000-0000-0000E31B0000}"/>
    <cellStyle name="Normal 5 73 2" xfId="4394" xr:uid="{00000000-0005-0000-0000-0000E41B0000}"/>
    <cellStyle name="Normal 5 73 3" xfId="7713" xr:uid="{00000000-0005-0000-0000-0000E51B0000}"/>
    <cellStyle name="Normal 5 74" xfId="2486" xr:uid="{00000000-0005-0000-0000-0000E61B0000}"/>
    <cellStyle name="Normal 5 74 2" xfId="4395" xr:uid="{00000000-0005-0000-0000-0000E71B0000}"/>
    <cellStyle name="Normal 5 74 3" xfId="7714" xr:uid="{00000000-0005-0000-0000-0000E81B0000}"/>
    <cellStyle name="Normal 5 75" xfId="2487" xr:uid="{00000000-0005-0000-0000-0000E91B0000}"/>
    <cellStyle name="Normal 5 75 2" xfId="4396" xr:uid="{00000000-0005-0000-0000-0000EA1B0000}"/>
    <cellStyle name="Normal 5 75 3" xfId="7715" xr:uid="{00000000-0005-0000-0000-0000EB1B0000}"/>
    <cellStyle name="Normal 5 76" xfId="2488" xr:uid="{00000000-0005-0000-0000-0000EC1B0000}"/>
    <cellStyle name="Normal 5 76 2" xfId="4397" xr:uid="{00000000-0005-0000-0000-0000ED1B0000}"/>
    <cellStyle name="Normal 5 76 3" xfId="7716" xr:uid="{00000000-0005-0000-0000-0000EE1B0000}"/>
    <cellStyle name="Normal 5 77" xfId="2489" xr:uid="{00000000-0005-0000-0000-0000EF1B0000}"/>
    <cellStyle name="Normal 5 77 2" xfId="4398" xr:uid="{00000000-0005-0000-0000-0000F01B0000}"/>
    <cellStyle name="Normal 5 77 3" xfId="7717" xr:uid="{00000000-0005-0000-0000-0000F11B0000}"/>
    <cellStyle name="Normal 5 78" xfId="2490" xr:uid="{00000000-0005-0000-0000-0000F21B0000}"/>
    <cellStyle name="Normal 5 78 2" xfId="4399" xr:uid="{00000000-0005-0000-0000-0000F31B0000}"/>
    <cellStyle name="Normal 5 78 3" xfId="7718" xr:uid="{00000000-0005-0000-0000-0000F41B0000}"/>
    <cellStyle name="Normal 5 79" xfId="2491" xr:uid="{00000000-0005-0000-0000-0000F51B0000}"/>
    <cellStyle name="Normal 5 79 2" xfId="4400" xr:uid="{00000000-0005-0000-0000-0000F61B0000}"/>
    <cellStyle name="Normal 5 79 3" xfId="7719" xr:uid="{00000000-0005-0000-0000-0000F71B0000}"/>
    <cellStyle name="Normal 5 8" xfId="668" xr:uid="{00000000-0005-0000-0000-0000F81B0000}"/>
    <cellStyle name="Normal 5 8 2" xfId="2492" xr:uid="{00000000-0005-0000-0000-0000F91B0000}"/>
    <cellStyle name="Normal 5 8 2 2" xfId="3609" xr:uid="{00000000-0005-0000-0000-0000FA1B0000}"/>
    <cellStyle name="Normal 5 8 2 3" xfId="5221" xr:uid="{00000000-0005-0000-0000-0000FB1B0000}"/>
    <cellStyle name="Normal 5 8 2 4" xfId="7720" xr:uid="{00000000-0005-0000-0000-0000FC1B0000}"/>
    <cellStyle name="Normal 5 8 3" xfId="4401" xr:uid="{00000000-0005-0000-0000-0000FD1B0000}"/>
    <cellStyle name="Normal 5 8 4" xfId="6432" xr:uid="{00000000-0005-0000-0000-0000FE1B0000}"/>
    <cellStyle name="Normal 5 8 5" xfId="1180" xr:uid="{00000000-0005-0000-0000-0000FF1B0000}"/>
    <cellStyle name="Normal 5 80" xfId="2493" xr:uid="{00000000-0005-0000-0000-0000001C0000}"/>
    <cellStyle name="Normal 5 80 2" xfId="2293" xr:uid="{00000000-0005-0000-0000-0000011C0000}"/>
    <cellStyle name="Normal 5 80 3" xfId="4402" xr:uid="{00000000-0005-0000-0000-0000021C0000}"/>
    <cellStyle name="Normal 5 80 4" xfId="7721" xr:uid="{00000000-0005-0000-0000-0000031C0000}"/>
    <cellStyle name="Normal 5 81" xfId="2415" xr:uid="{00000000-0005-0000-0000-0000041C0000}"/>
    <cellStyle name="Normal 5 81 2" xfId="2677" xr:uid="{00000000-0005-0000-0000-0000051C0000}"/>
    <cellStyle name="Normal 5 81 3" xfId="4403" xr:uid="{00000000-0005-0000-0000-0000061C0000}"/>
    <cellStyle name="Normal 5 81 4" xfId="7645" xr:uid="{00000000-0005-0000-0000-0000071C0000}"/>
    <cellStyle name="Normal 5 82" xfId="2612" xr:uid="{00000000-0005-0000-0000-0000081C0000}"/>
    <cellStyle name="Normal 5 82 2" xfId="2719" xr:uid="{00000000-0005-0000-0000-0000091C0000}"/>
    <cellStyle name="Normal 5 82 3" xfId="4404" xr:uid="{00000000-0005-0000-0000-00000A1C0000}"/>
    <cellStyle name="Normal 5 82 4" xfId="7829" xr:uid="{00000000-0005-0000-0000-00000B1C0000}"/>
    <cellStyle name="Normal 5 83" xfId="2720" xr:uid="{00000000-0005-0000-0000-00000C1C0000}"/>
    <cellStyle name="Normal 5 83 2" xfId="4405" xr:uid="{00000000-0005-0000-0000-00000D1C0000}"/>
    <cellStyle name="Normal 5 83 3" xfId="7912" xr:uid="{00000000-0005-0000-0000-00000E1C0000}"/>
    <cellStyle name="Normal 5 84" xfId="2721" xr:uid="{00000000-0005-0000-0000-00000F1C0000}"/>
    <cellStyle name="Normal 5 84 2" xfId="4406" xr:uid="{00000000-0005-0000-0000-0000101C0000}"/>
    <cellStyle name="Normal 5 84 3" xfId="7913" xr:uid="{00000000-0005-0000-0000-0000111C0000}"/>
    <cellStyle name="Normal 5 85" xfId="2763" xr:uid="{00000000-0005-0000-0000-0000121C0000}"/>
    <cellStyle name="Normal 5 85 2" xfId="4534" xr:uid="{00000000-0005-0000-0000-0000131C0000}"/>
    <cellStyle name="Normal 5 85 3" xfId="7940" xr:uid="{00000000-0005-0000-0000-0000141C0000}"/>
    <cellStyle name="Normal 5 86" xfId="2759" xr:uid="{00000000-0005-0000-0000-0000151C0000}"/>
    <cellStyle name="Normal 5 87" xfId="3878" xr:uid="{00000000-0005-0000-0000-0000161C0000}"/>
    <cellStyle name="Normal 5 88" xfId="6325" xr:uid="{00000000-0005-0000-0000-0000171C0000}"/>
    <cellStyle name="Normal 5 89" xfId="1043" xr:uid="{00000000-0005-0000-0000-0000181C0000}"/>
    <cellStyle name="Normal 5 9" xfId="669" xr:uid="{00000000-0005-0000-0000-0000191C0000}"/>
    <cellStyle name="Normal 5 9 2" xfId="4407" xr:uid="{00000000-0005-0000-0000-00001A1C0000}"/>
    <cellStyle name="Normal 5 9 3" xfId="6417" xr:uid="{00000000-0005-0000-0000-00001B1C0000}"/>
    <cellStyle name="Normal 5 9 4" xfId="1163" xr:uid="{00000000-0005-0000-0000-00001C1C0000}"/>
    <cellStyle name="Normal 5_ON2_ListaOperacoesAprovadas SI - Apoio (30-06-2010)" xfId="3408" xr:uid="{00000000-0005-0000-0000-00001D1C0000}"/>
    <cellStyle name="Normal 50" xfId="670" xr:uid="{00000000-0005-0000-0000-00001E1C0000}"/>
    <cellStyle name="Normal 50 2" xfId="4529" xr:uid="{00000000-0005-0000-0000-00001F1C0000}"/>
    <cellStyle name="Normal 51" xfId="671" xr:uid="{00000000-0005-0000-0000-0000201C0000}"/>
    <cellStyle name="Normal 51 2" xfId="4530" xr:uid="{00000000-0005-0000-0000-0000211C0000}"/>
    <cellStyle name="Normal 52" xfId="672" xr:uid="{00000000-0005-0000-0000-0000221C0000}"/>
    <cellStyle name="Normal 52 2" xfId="4531" xr:uid="{00000000-0005-0000-0000-0000231C0000}"/>
    <cellStyle name="Normal 53" xfId="673" xr:uid="{00000000-0005-0000-0000-0000241C0000}"/>
    <cellStyle name="Normal 53 2" xfId="4532" xr:uid="{00000000-0005-0000-0000-0000251C0000}"/>
    <cellStyle name="Normal 54" xfId="674" xr:uid="{00000000-0005-0000-0000-0000261C0000}"/>
    <cellStyle name="Normal 54 2" xfId="6275" xr:uid="{00000000-0005-0000-0000-0000271C0000}"/>
    <cellStyle name="Normal 55" xfId="675" xr:uid="{00000000-0005-0000-0000-0000281C0000}"/>
    <cellStyle name="Normal 56" xfId="676" xr:uid="{00000000-0005-0000-0000-0000291C0000}"/>
    <cellStyle name="Normal 56 2" xfId="8768" xr:uid="{00000000-0005-0000-0000-00002A1C0000}"/>
    <cellStyle name="Normal 57" xfId="677" xr:uid="{00000000-0005-0000-0000-00002B1C0000}"/>
    <cellStyle name="Normal 57 2" xfId="993" xr:uid="{00000000-0005-0000-0000-00002C1C0000}"/>
    <cellStyle name="Normal 58" xfId="678" xr:uid="{00000000-0005-0000-0000-00002D1C0000}"/>
    <cellStyle name="Normal 58 2" xfId="8770" xr:uid="{00000000-0005-0000-0000-00002E1C0000}"/>
    <cellStyle name="Normal 59" xfId="679" xr:uid="{00000000-0005-0000-0000-00002F1C0000}"/>
    <cellStyle name="Normal 59 2" xfId="2495" xr:uid="{00000000-0005-0000-0000-0000301C0000}"/>
    <cellStyle name="Normal 59 2 2" xfId="4408" xr:uid="{00000000-0005-0000-0000-0000311C0000}"/>
    <cellStyle name="Normal 59 2 3" xfId="7722" xr:uid="{00000000-0005-0000-0000-0000321C0000}"/>
    <cellStyle name="Normal 59 3" xfId="8880"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3"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6" xr:uid="{00000000-0005-0000-0000-00003C1C0000}"/>
    <cellStyle name="Normal 6 2 2 2 3" xfId="8003" xr:uid="{00000000-0005-0000-0000-00003D1C0000}"/>
    <cellStyle name="Normal 6 2 2 2 4" xfId="2947" xr:uid="{00000000-0005-0000-0000-00003E1C0000}"/>
    <cellStyle name="Normal 6 2 2 3" xfId="3042" xr:uid="{00000000-0005-0000-0000-00003F1C0000}"/>
    <cellStyle name="Normal 6 2 2 3 2" xfId="4689" xr:uid="{00000000-0005-0000-0000-0000401C0000}"/>
    <cellStyle name="Normal 6 2 2 3 3" xfId="8098" xr:uid="{00000000-0005-0000-0000-0000411C0000}"/>
    <cellStyle name="Normal 6 2 2 4" xfId="3610" xr:uid="{00000000-0005-0000-0000-0000421C0000}"/>
    <cellStyle name="Normal 6 2 2 4 2" xfId="5222" xr:uid="{00000000-0005-0000-0000-0000431C0000}"/>
    <cellStyle name="Normal 6 2 2 4 3" xfId="8592" xr:uid="{00000000-0005-0000-0000-0000441C0000}"/>
    <cellStyle name="Normal 6 2 2 5" xfId="3816" xr:uid="{00000000-0005-0000-0000-0000451C0000}"/>
    <cellStyle name="Normal 6 2 2 5 2" xfId="6203" xr:uid="{00000000-0005-0000-0000-0000461C0000}"/>
    <cellStyle name="Normal 6 2 2 5 3" xfId="8727" xr:uid="{00000000-0005-0000-0000-0000471C0000}"/>
    <cellStyle name="Normal 6 2 2 6" xfId="2847" xr:uid="{00000000-0005-0000-0000-0000481C0000}"/>
    <cellStyle name="Normal 6 2 2 7" xfId="4410" xr:uid="{00000000-0005-0000-0000-0000491C0000}"/>
    <cellStyle name="Normal 6 2 2 8" xfId="7914" xr:uid="{00000000-0005-0000-0000-00004A1C0000}"/>
    <cellStyle name="Normal 6 2 2 9" xfId="2722" xr:uid="{00000000-0005-0000-0000-00004B1C0000}"/>
    <cellStyle name="Normal 6 2 3" xfId="687" xr:uid="{00000000-0005-0000-0000-00004C1C0000}"/>
    <cellStyle name="Normal 6 2 3 2" xfId="688" xr:uid="{00000000-0005-0000-0000-00004D1C0000}"/>
    <cellStyle name="Normal 6 2 3 2 2" xfId="4607" xr:uid="{00000000-0005-0000-0000-00004E1C0000}"/>
    <cellStyle name="Normal 6 2 3 2 3" xfId="8004" xr:uid="{00000000-0005-0000-0000-00004F1C0000}"/>
    <cellStyle name="Normal 6 2 3 2 4" xfId="2948" xr:uid="{00000000-0005-0000-0000-0000501C0000}"/>
    <cellStyle name="Normal 6 2 3 3" xfId="3043" xr:uid="{00000000-0005-0000-0000-0000511C0000}"/>
    <cellStyle name="Normal 6 2 3 3 2" xfId="4690" xr:uid="{00000000-0005-0000-0000-0000521C0000}"/>
    <cellStyle name="Normal 6 2 3 3 3" xfId="8099" xr:uid="{00000000-0005-0000-0000-0000531C0000}"/>
    <cellStyle name="Normal 6 2 3 4" xfId="3836" xr:uid="{00000000-0005-0000-0000-0000541C0000}"/>
    <cellStyle name="Normal 6 2 3 4 2" xfId="6217" xr:uid="{00000000-0005-0000-0000-0000551C0000}"/>
    <cellStyle name="Normal 6 2 3 4 3" xfId="8747" xr:uid="{00000000-0005-0000-0000-0000561C0000}"/>
    <cellStyle name="Normal 6 2 3 5" xfId="2848" xr:uid="{00000000-0005-0000-0000-0000571C0000}"/>
    <cellStyle name="Normal 6 2 3 6" xfId="4411" xr:uid="{00000000-0005-0000-0000-0000581C0000}"/>
    <cellStyle name="Normal 6 2 3 7" xfId="7915" xr:uid="{00000000-0005-0000-0000-0000591C0000}"/>
    <cellStyle name="Normal 6 2 3 8" xfId="2723" xr:uid="{00000000-0005-0000-0000-00005A1C0000}"/>
    <cellStyle name="Normal 6 2 4" xfId="689" xr:uid="{00000000-0005-0000-0000-00005B1C0000}"/>
    <cellStyle name="Normal 6 2 4 2" xfId="5048" xr:uid="{00000000-0005-0000-0000-00005C1C0000}"/>
    <cellStyle name="Normal 6 2 4 3" xfId="8423" xr:uid="{00000000-0005-0000-0000-00005D1C0000}"/>
    <cellStyle name="Normal 6 2 4 4" xfId="3410" xr:uid="{00000000-0005-0000-0000-00005E1C0000}"/>
    <cellStyle name="Normal 6 2 5" xfId="690" xr:uid="{00000000-0005-0000-0000-00005F1C0000}"/>
    <cellStyle name="Normal 6 2 5 2" xfId="4409" xr:uid="{00000000-0005-0000-0000-0000601C0000}"/>
    <cellStyle name="Normal 6 2 6" xfId="6394" xr:uid="{00000000-0005-0000-0000-0000611C0000}"/>
    <cellStyle name="Normal 6 2 7" xfId="1124" xr:uid="{00000000-0005-0000-0000-0000621C0000}"/>
    <cellStyle name="Normal 6 3" xfId="691" xr:uid="{00000000-0005-0000-0000-0000631C0000}"/>
    <cellStyle name="Normal 6 3 2" xfId="692" xr:uid="{00000000-0005-0000-0000-0000641C0000}"/>
    <cellStyle name="Normal 6 3 3" xfId="6395" xr:uid="{00000000-0005-0000-0000-0000651C0000}"/>
    <cellStyle name="Normal 6 3 4" xfId="1125" xr:uid="{00000000-0005-0000-0000-0000661C0000}"/>
    <cellStyle name="Normal 6 4" xfId="693" xr:uid="{00000000-0005-0000-0000-0000671C0000}"/>
    <cellStyle name="Normal 6 4 2" xfId="694" xr:uid="{00000000-0005-0000-0000-0000681C0000}"/>
    <cellStyle name="Normal 6 4 2 2" xfId="2724" xr:uid="{00000000-0005-0000-0000-0000691C0000}"/>
    <cellStyle name="Normal 6 4 3" xfId="6412" xr:uid="{00000000-0005-0000-0000-00006A1C0000}"/>
    <cellStyle name="Normal 6 4 4" xfId="1157" xr:uid="{00000000-0005-0000-0000-00006B1C0000}"/>
    <cellStyle name="Normal 6 5" xfId="695" xr:uid="{00000000-0005-0000-0000-00006C1C0000}"/>
    <cellStyle name="Normal 6 5 2" xfId="2725" xr:uid="{00000000-0005-0000-0000-00006D1C0000}"/>
    <cellStyle name="Normal 6 5 3" xfId="4412" xr:uid="{00000000-0005-0000-0000-00006E1C0000}"/>
    <cellStyle name="Normal 6 5 4" xfId="7519" xr:uid="{00000000-0005-0000-0000-00006F1C0000}"/>
    <cellStyle name="Normal 6 5 5" xfId="2286" xr:uid="{00000000-0005-0000-0000-0000701C0000}"/>
    <cellStyle name="Normal 6 6" xfId="696" xr:uid="{00000000-0005-0000-0000-0000711C0000}"/>
    <cellStyle name="Normal 6 6 2" xfId="5047" xr:uid="{00000000-0005-0000-0000-0000721C0000}"/>
    <cellStyle name="Normal 6 6 3" xfId="8422" xr:uid="{00000000-0005-0000-0000-0000731C0000}"/>
    <cellStyle name="Normal 6 6 4" xfId="3409"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1" xr:uid="{00000000-0005-0000-0000-0000781C0000}"/>
    <cellStyle name="Normal 60" xfId="700" xr:uid="{00000000-0005-0000-0000-0000791C0000}"/>
    <cellStyle name="Normal 60 2" xfId="2497" xr:uid="{00000000-0005-0000-0000-00007A1C0000}"/>
    <cellStyle name="Normal 60 2 2" xfId="4413" xr:uid="{00000000-0005-0000-0000-00007B1C0000}"/>
    <cellStyle name="Normal 60 2 3" xfId="7723" xr:uid="{00000000-0005-0000-0000-00007C1C0000}"/>
    <cellStyle name="Normal 60 3" xfId="8882" xr:uid="{00000000-0005-0000-0000-00007D1C0000}"/>
    <cellStyle name="Normal 61" xfId="701" xr:uid="{00000000-0005-0000-0000-00007E1C0000}"/>
    <cellStyle name="Normal 61 2" xfId="4414" xr:uid="{00000000-0005-0000-0000-00007F1C0000}"/>
    <cellStyle name="Normal 61 3" xfId="7724" xr:uid="{00000000-0005-0000-0000-0000801C0000}"/>
    <cellStyle name="Normal 61 4" xfId="2498" xr:uid="{00000000-0005-0000-0000-0000811C0000}"/>
    <cellStyle name="Normal 62" xfId="702" xr:uid="{00000000-0005-0000-0000-0000821C0000}"/>
    <cellStyle name="Normal 62 2" xfId="8883" xr:uid="{00000000-0005-0000-0000-0000831C0000}"/>
    <cellStyle name="Normal 63" xfId="703" xr:uid="{00000000-0005-0000-0000-0000841C0000}"/>
    <cellStyle name="Normal 63 2" xfId="4415" xr:uid="{00000000-0005-0000-0000-0000851C0000}"/>
    <cellStyle name="Normal 63 3" xfId="7725" xr:uid="{00000000-0005-0000-0000-0000861C0000}"/>
    <cellStyle name="Normal 63 4" xfId="2499" xr:uid="{00000000-0005-0000-0000-0000871C0000}"/>
    <cellStyle name="Normal 64" xfId="704" xr:uid="{00000000-0005-0000-0000-0000881C0000}"/>
    <cellStyle name="Normal 64 2" xfId="8884" xr:uid="{00000000-0005-0000-0000-0000891C0000}"/>
    <cellStyle name="Normal 65" xfId="705" xr:uid="{00000000-0005-0000-0000-00008A1C0000}"/>
    <cellStyle name="Normal 65 2" xfId="8885" xr:uid="{00000000-0005-0000-0000-00008B1C0000}"/>
    <cellStyle name="Normal 66" xfId="706" xr:uid="{00000000-0005-0000-0000-00008C1C0000}"/>
    <cellStyle name="Normal 66 2" xfId="8886" xr:uid="{00000000-0005-0000-0000-00008D1C0000}"/>
    <cellStyle name="Normal 67" xfId="707" xr:uid="{00000000-0005-0000-0000-00008E1C0000}"/>
    <cellStyle name="Normal 67 2" xfId="708" xr:uid="{00000000-0005-0000-0000-00008F1C0000}"/>
    <cellStyle name="Normal 68" xfId="8966" xr:uid="{00000000-0005-0000-0000-0000901C0000}"/>
    <cellStyle name="Normal 68 2" xfId="8967" xr:uid="{00000000-0005-0000-0000-0000911C0000}"/>
    <cellStyle name="Normal 69" xfId="8968" xr:uid="{00000000-0005-0000-0000-0000921C0000}"/>
    <cellStyle name="Normal 69 2" xfId="709" xr:uid="{00000000-0005-0000-0000-0000931C0000}"/>
    <cellStyle name="Normal 69 2 2" xfId="8969" xr:uid="{00000000-0005-0000-0000-0000941C0000}"/>
    <cellStyle name="Normal 7" xfId="710" xr:uid="{00000000-0005-0000-0000-0000951C0000}"/>
    <cellStyle name="Normal 7 10" xfId="1168" xr:uid="{00000000-0005-0000-0000-0000961C0000}"/>
    <cellStyle name="Normal 7 11" xfId="2500" xr:uid="{00000000-0005-0000-0000-0000971C0000}"/>
    <cellStyle name="Normal 7 12" xfId="2675" xr:uid="{00000000-0005-0000-0000-0000981C0000}"/>
    <cellStyle name="Normal 7 13" xfId="3879" xr:uid="{00000000-0005-0000-0000-0000991C0000}"/>
    <cellStyle name="Normal 7 14" xfId="6396" xr:uid="{00000000-0005-0000-0000-00009A1C0000}"/>
    <cellStyle name="Normal 7 15" xfId="1126" xr:uid="{00000000-0005-0000-0000-00009B1C0000}"/>
    <cellStyle name="Normal 7 2" xfId="711" xr:uid="{00000000-0005-0000-0000-00009C1C0000}"/>
    <cellStyle name="Normal 7 2 10" xfId="6397" xr:uid="{00000000-0005-0000-0000-00009D1C0000}"/>
    <cellStyle name="Normal 7 2 11" xfId="1127" xr:uid="{00000000-0005-0000-0000-00009E1C0000}"/>
    <cellStyle name="Normal 7 2 2" xfId="712" xr:uid="{00000000-0005-0000-0000-00009F1C0000}"/>
    <cellStyle name="Normal 7 2 2 2" xfId="713" xr:uid="{00000000-0005-0000-0000-0000A01C0000}"/>
    <cellStyle name="Normal 7 2 2 2 2" xfId="2946" xr:uid="{00000000-0005-0000-0000-0000A11C0000}"/>
    <cellStyle name="Normal 7 2 2 2 2 2" xfId="3839" xr:uid="{00000000-0005-0000-0000-0000A21C0000}"/>
    <cellStyle name="Normal 7 2 2 2 2 2 2" xfId="6220" xr:uid="{00000000-0005-0000-0000-0000A31C0000}"/>
    <cellStyle name="Normal 7 2 2 2 2 2 3" xfId="8750" xr:uid="{00000000-0005-0000-0000-0000A41C0000}"/>
    <cellStyle name="Normal 7 2 2 2 2 3" xfId="4604" xr:uid="{00000000-0005-0000-0000-0000A51C0000}"/>
    <cellStyle name="Normal 7 2 2 2 2 4" xfId="8002" xr:uid="{00000000-0005-0000-0000-0000A61C0000}"/>
    <cellStyle name="Normal 7 2 2 2 3" xfId="3041" xr:uid="{00000000-0005-0000-0000-0000A71C0000}"/>
    <cellStyle name="Normal 7 2 2 2 3 2" xfId="4687" xr:uid="{00000000-0005-0000-0000-0000A81C0000}"/>
    <cellStyle name="Normal 7 2 2 2 3 2 5 2 4 3 5 4 2" xfId="714" xr:uid="{00000000-0005-0000-0000-0000A91C0000}"/>
    <cellStyle name="Normal 7 2 2 2 3 3" xfId="8097" xr:uid="{00000000-0005-0000-0000-0000AA1C0000}"/>
    <cellStyle name="Normal 7 2 2 2 4" xfId="3686" xr:uid="{00000000-0005-0000-0000-0000AB1C0000}"/>
    <cellStyle name="Normal 7 2 2 2 4 2" xfId="5574" xr:uid="{00000000-0005-0000-0000-0000AC1C0000}"/>
    <cellStyle name="Normal 7 2 2 2 4 3" xfId="8614" xr:uid="{00000000-0005-0000-0000-0000AD1C0000}"/>
    <cellStyle name="Normal 7 2 2 2 5" xfId="2845" xr:uid="{00000000-0005-0000-0000-0000AE1C0000}"/>
    <cellStyle name="Normal 7 2 2 2 6" xfId="4418" xr:uid="{00000000-0005-0000-0000-0000AF1C0000}"/>
    <cellStyle name="Normal 7 2 2 2 7" xfId="6799" xr:uid="{00000000-0005-0000-0000-0000B01C0000}"/>
    <cellStyle name="Normal 7 2 2 2 8" xfId="1547" xr:uid="{00000000-0005-0000-0000-0000B11C0000}"/>
    <cellStyle name="Normal 7 2 2 3" xfId="1752" xr:uid="{00000000-0005-0000-0000-0000B21C0000}"/>
    <cellStyle name="Normal 7 2 2 3 2" xfId="5774" xr:uid="{00000000-0005-0000-0000-0000B31C0000}"/>
    <cellStyle name="Normal 7 2 2 3 2 8 2 4 2" xfId="715" xr:uid="{00000000-0005-0000-0000-0000B41C0000}"/>
    <cellStyle name="Normal 7 2 2 3 3" xfId="6999" xr:uid="{00000000-0005-0000-0000-0000B51C0000}"/>
    <cellStyle name="Normal 7 2 2 4" xfId="1966" xr:uid="{00000000-0005-0000-0000-0000B61C0000}"/>
    <cellStyle name="Normal 7 2 2 4 2" xfId="5986" xr:uid="{00000000-0005-0000-0000-0000B71C0000}"/>
    <cellStyle name="Normal 7 2 2 4 3" xfId="7213" xr:uid="{00000000-0005-0000-0000-0000B81C0000}"/>
    <cellStyle name="Normal 7 2 2 5" xfId="2726" xr:uid="{00000000-0005-0000-0000-0000B91C0000}"/>
    <cellStyle name="Normal 7 2 2 5 2" xfId="3640" xr:uid="{00000000-0005-0000-0000-0000BA1C0000}"/>
    <cellStyle name="Normal 7 2 2 5 3" xfId="5312" xr:uid="{00000000-0005-0000-0000-0000BB1C0000}"/>
    <cellStyle name="Normal 7 2 2 5 4" xfId="7916" xr:uid="{00000000-0005-0000-0000-0000BC1C0000}"/>
    <cellStyle name="Normal 7 2 2 6" xfId="4417" xr:uid="{00000000-0005-0000-0000-0000BD1C0000}"/>
    <cellStyle name="Normal 7 2 2 7" xfId="6527" xr:uid="{00000000-0005-0000-0000-0000BE1C0000}"/>
    <cellStyle name="Normal 7 2 2 8" xfId="1275" xr:uid="{00000000-0005-0000-0000-0000BF1C0000}"/>
    <cellStyle name="Normal 7 2 3" xfId="1322" xr:uid="{00000000-0005-0000-0000-0000C01C0000}"/>
    <cellStyle name="Normal 7 2 3 2" xfId="1590" xr:uid="{00000000-0005-0000-0000-0000C11C0000}"/>
    <cellStyle name="Normal 7 2 3 2 2" xfId="3691" xr:uid="{00000000-0005-0000-0000-0000C21C0000}"/>
    <cellStyle name="Normal 7 2 3 2 2 2" xfId="5616" xr:uid="{00000000-0005-0000-0000-0000C31C0000}"/>
    <cellStyle name="Normal 7 2 3 2 2 3" xfId="8617" xr:uid="{00000000-0005-0000-0000-0000C41C0000}"/>
    <cellStyle name="Normal 7 2 3 2 3" xfId="4605" xr:uid="{00000000-0005-0000-0000-0000C51C0000}"/>
    <cellStyle name="Normal 7 2 3 2 4" xfId="6841" xr:uid="{00000000-0005-0000-0000-0000C61C0000}"/>
    <cellStyle name="Normal 7 2 3 3" xfId="1794" xr:uid="{00000000-0005-0000-0000-0000C71C0000}"/>
    <cellStyle name="Normal 7 2 3 3 2" xfId="3704" xr:uid="{00000000-0005-0000-0000-0000C81C0000}"/>
    <cellStyle name="Normal 7 2 3 3 2 2" xfId="5815" xr:uid="{00000000-0005-0000-0000-0000C91C0000}"/>
    <cellStyle name="Normal 7 2 3 3 2 3" xfId="8623" xr:uid="{00000000-0005-0000-0000-0000CA1C0000}"/>
    <cellStyle name="Normal 7 2 3 3 3" xfId="4688" xr:uid="{00000000-0005-0000-0000-0000CB1C0000}"/>
    <cellStyle name="Normal 7 2 3 3 4" xfId="7041" xr:uid="{00000000-0005-0000-0000-0000CC1C0000}"/>
    <cellStyle name="Normal 7 2 3 4" xfId="1965" xr:uid="{00000000-0005-0000-0000-0000CD1C0000}"/>
    <cellStyle name="Normal 7 2 3 4 2" xfId="5985" xr:uid="{00000000-0005-0000-0000-0000CE1C0000}"/>
    <cellStyle name="Normal 7 2 3 4 3" xfId="7212" xr:uid="{00000000-0005-0000-0000-0000CF1C0000}"/>
    <cellStyle name="Normal 7 2 3 5" xfId="3663" xr:uid="{00000000-0005-0000-0000-0000D01C0000}"/>
    <cellStyle name="Normal 7 2 3 5 2" xfId="5358" xr:uid="{00000000-0005-0000-0000-0000D11C0000}"/>
    <cellStyle name="Normal 7 2 3 5 3" xfId="8606" xr:uid="{00000000-0005-0000-0000-0000D21C0000}"/>
    <cellStyle name="Normal 7 2 3 6" xfId="2846" xr:uid="{00000000-0005-0000-0000-0000D31C0000}"/>
    <cellStyle name="Normal 7 2 3 7" xfId="4419" xr:uid="{00000000-0005-0000-0000-0000D41C0000}"/>
    <cellStyle name="Normal 7 2 3 8" xfId="6574" xr:uid="{00000000-0005-0000-0000-0000D51C0000}"/>
    <cellStyle name="Normal 7 2 4" xfId="716" xr:uid="{00000000-0005-0000-0000-0000D61C0000}"/>
    <cellStyle name="Normal 7 2 4 2" xfId="5502" xr:uid="{00000000-0005-0000-0000-0000D71C0000}"/>
    <cellStyle name="Normal 7 2 4 3" xfId="6726" xr:uid="{00000000-0005-0000-0000-0000D81C0000}"/>
    <cellStyle name="Normal 7 2 4 4" xfId="1474" xr:uid="{00000000-0005-0000-0000-0000D91C0000}"/>
    <cellStyle name="Normal 7 2 5" xfId="1681" xr:uid="{00000000-0005-0000-0000-0000DA1C0000}"/>
    <cellStyle name="Normal 7 2 5 2" xfId="5703" xr:uid="{00000000-0005-0000-0000-0000DB1C0000}"/>
    <cellStyle name="Normal 7 2 5 3" xfId="6928" xr:uid="{00000000-0005-0000-0000-0000DC1C0000}"/>
    <cellStyle name="Normal 7 2 6" xfId="1765" xr:uid="{00000000-0005-0000-0000-0000DD1C0000}"/>
    <cellStyle name="Normal 7 2 6 2" xfId="5787" xr:uid="{00000000-0005-0000-0000-0000DE1C0000}"/>
    <cellStyle name="Normal 7 2 6 3" xfId="7012" xr:uid="{00000000-0005-0000-0000-0000DF1C0000}"/>
    <cellStyle name="Normal 7 2 7" xfId="1204" xr:uid="{00000000-0005-0000-0000-0000E01C0000}"/>
    <cellStyle name="Normal 7 2 7 2" xfId="5245" xr:uid="{00000000-0005-0000-0000-0000E11C0000}"/>
    <cellStyle name="Normal 7 2 7 3" xfId="6456" xr:uid="{00000000-0005-0000-0000-0000E21C0000}"/>
    <cellStyle name="Normal 7 2 8" xfId="2501" xr:uid="{00000000-0005-0000-0000-0000E31C0000}"/>
    <cellStyle name="Normal 7 2 8 2" xfId="3412" xr:uid="{00000000-0005-0000-0000-0000E41C0000}"/>
    <cellStyle name="Normal 7 2 8 3" xfId="5049" xr:uid="{00000000-0005-0000-0000-0000E51C0000}"/>
    <cellStyle name="Normal 7 2 8 4" xfId="7726" xr:uid="{00000000-0005-0000-0000-0000E61C0000}"/>
    <cellStyle name="Normal 7 2 9" xfId="4416" xr:uid="{00000000-0005-0000-0000-0000E71C0000}"/>
    <cellStyle name="Normal 7 3" xfId="717" xr:uid="{00000000-0005-0000-0000-0000E81C0000}"/>
    <cellStyle name="Normal 7 3 2" xfId="718" xr:uid="{00000000-0005-0000-0000-0000E91C0000}"/>
    <cellStyle name="Normal 7 3 2 2" xfId="2727" xr:uid="{00000000-0005-0000-0000-0000EA1C0000}"/>
    <cellStyle name="Normal 7 3 2 2 2" xfId="3684" xr:uid="{00000000-0005-0000-0000-0000EB1C0000}"/>
    <cellStyle name="Normal 7 3 2 2 3" xfId="5551" xr:uid="{00000000-0005-0000-0000-0000EC1C0000}"/>
    <cellStyle name="Normal 7 3 2 2 4" xfId="7917" xr:uid="{00000000-0005-0000-0000-0000ED1C0000}"/>
    <cellStyle name="Normal 7 3 2 3" xfId="4421" xr:uid="{00000000-0005-0000-0000-0000EE1C0000}"/>
    <cellStyle name="Normal 7 3 2 4" xfId="6776" xr:uid="{00000000-0005-0000-0000-0000EF1C0000}"/>
    <cellStyle name="Normal 7 3 2 5" xfId="1524" xr:uid="{00000000-0005-0000-0000-0000F01C0000}"/>
    <cellStyle name="Normal 7 3 3" xfId="1729" xr:uid="{00000000-0005-0000-0000-0000F11C0000}"/>
    <cellStyle name="Normal 7 3 3 2" xfId="2945" xr:uid="{00000000-0005-0000-0000-0000F21C0000}"/>
    <cellStyle name="Normal 7 3 3 2 2" xfId="3846" xr:uid="{00000000-0005-0000-0000-0000F31C0000}"/>
    <cellStyle name="Normal 7 3 3 2 2 2" xfId="6224" xr:uid="{00000000-0005-0000-0000-0000F41C0000}"/>
    <cellStyle name="Normal 7 3 3 2 2 3" xfId="8757" xr:uid="{00000000-0005-0000-0000-0000F51C0000}"/>
    <cellStyle name="Normal 7 3 3 2 3" xfId="4603" xr:uid="{00000000-0005-0000-0000-0000F61C0000}"/>
    <cellStyle name="Normal 7 3 3 2 4" xfId="8001" xr:uid="{00000000-0005-0000-0000-0000F71C0000}"/>
    <cellStyle name="Normal 7 3 3 3" xfId="3040" xr:uid="{00000000-0005-0000-0000-0000F81C0000}"/>
    <cellStyle name="Normal 7 3 3 3 2" xfId="4686" xr:uid="{00000000-0005-0000-0000-0000F91C0000}"/>
    <cellStyle name="Normal 7 3 3 3 3" xfId="8096" xr:uid="{00000000-0005-0000-0000-0000FA1C0000}"/>
    <cellStyle name="Normal 7 3 3 4" xfId="3699" xr:uid="{00000000-0005-0000-0000-0000FB1C0000}"/>
    <cellStyle name="Normal 7 3 3 4 2" xfId="5751" xr:uid="{00000000-0005-0000-0000-0000FC1C0000}"/>
    <cellStyle name="Normal 7 3 3 4 3" xfId="8619" xr:uid="{00000000-0005-0000-0000-0000FD1C0000}"/>
    <cellStyle name="Normal 7 3 3 5" xfId="2844" xr:uid="{00000000-0005-0000-0000-0000FE1C0000}"/>
    <cellStyle name="Normal 7 3 3 6" xfId="4422" xr:uid="{00000000-0005-0000-0000-0000FF1C0000}"/>
    <cellStyle name="Normal 7 3 3 7" xfId="6976" xr:uid="{00000000-0005-0000-0000-0000001D0000}"/>
    <cellStyle name="Normal 7 3 4" xfId="1628" xr:uid="{00000000-0005-0000-0000-0000011D0000}"/>
    <cellStyle name="Normal 7 3 4 2" xfId="5654" xr:uid="{00000000-0005-0000-0000-0000021D0000}"/>
    <cellStyle name="Normal 7 3 4 3" xfId="6879" xr:uid="{00000000-0005-0000-0000-0000031D0000}"/>
    <cellStyle name="Normal 7 3 5" xfId="1254" xr:uid="{00000000-0005-0000-0000-0000041D0000}"/>
    <cellStyle name="Normal 7 3 5 2" xfId="5290" xr:uid="{00000000-0005-0000-0000-0000051D0000}"/>
    <cellStyle name="Normal 7 3 5 3" xfId="6506" xr:uid="{00000000-0005-0000-0000-0000061D0000}"/>
    <cellStyle name="Normal 7 3 6" xfId="2502" xr:uid="{00000000-0005-0000-0000-0000071D0000}"/>
    <cellStyle name="Normal 7 3 7" xfId="4420" xr:uid="{00000000-0005-0000-0000-0000081D0000}"/>
    <cellStyle name="Normal 7 3 8" xfId="6398" xr:uid="{00000000-0005-0000-0000-0000091D0000}"/>
    <cellStyle name="Normal 7 3 9" xfId="1128" xr:uid="{00000000-0005-0000-0000-00000A1D0000}"/>
    <cellStyle name="Normal 7 4" xfId="719" xr:uid="{00000000-0005-0000-0000-00000B1D0000}"/>
    <cellStyle name="Normal 7 4 2" xfId="1569" xr:uid="{00000000-0005-0000-0000-00000C1D0000}"/>
    <cellStyle name="Normal 7 4 2 2" xfId="2728" xr:uid="{00000000-0005-0000-0000-00000D1D0000}"/>
    <cellStyle name="Normal 7 4 2 2 2" xfId="3689" xr:uid="{00000000-0005-0000-0000-00000E1D0000}"/>
    <cellStyle name="Normal 7 4 2 2 3" xfId="5595" xr:uid="{00000000-0005-0000-0000-00000F1D0000}"/>
    <cellStyle name="Normal 7 4 2 2 4" xfId="7918" xr:uid="{00000000-0005-0000-0000-0000101D0000}"/>
    <cellStyle name="Normal 7 4 2 3" xfId="4424" xr:uid="{00000000-0005-0000-0000-0000111D0000}"/>
    <cellStyle name="Normal 7 4 2 4" xfId="6820" xr:uid="{00000000-0005-0000-0000-0000121D0000}"/>
    <cellStyle name="Normal 7 4 3" xfId="1773" xr:uid="{00000000-0005-0000-0000-0000131D0000}"/>
    <cellStyle name="Normal 7 4 3 2" xfId="5794" xr:uid="{00000000-0005-0000-0000-0000141D0000}"/>
    <cellStyle name="Normal 7 4 3 3" xfId="7020" xr:uid="{00000000-0005-0000-0000-0000151D0000}"/>
    <cellStyle name="Normal 7 4 4" xfId="2009" xr:uid="{00000000-0005-0000-0000-0000161D0000}"/>
    <cellStyle name="Normal 7 4 4 2" xfId="6028" xr:uid="{00000000-0005-0000-0000-0000171D0000}"/>
    <cellStyle name="Normal 7 4 4 3" xfId="7256" xr:uid="{00000000-0005-0000-0000-0000181D0000}"/>
    <cellStyle name="Normal 7 4 5" xfId="2503" xr:uid="{00000000-0005-0000-0000-0000191D0000}"/>
    <cellStyle name="Normal 7 4 5 2" xfId="3658" xr:uid="{00000000-0005-0000-0000-00001A1D0000}"/>
    <cellStyle name="Normal 7 4 5 3" xfId="5336" xr:uid="{00000000-0005-0000-0000-00001B1D0000}"/>
    <cellStyle name="Normal 7 4 5 4" xfId="7727" xr:uid="{00000000-0005-0000-0000-00001C1D0000}"/>
    <cellStyle name="Normal 7 4 6" xfId="4423" xr:uid="{00000000-0005-0000-0000-00001D1D0000}"/>
    <cellStyle name="Normal 7 4 7" xfId="6552" xr:uid="{00000000-0005-0000-0000-00001E1D0000}"/>
    <cellStyle name="Normal 7 4 8" xfId="1300" xr:uid="{00000000-0005-0000-0000-00001F1D0000}"/>
    <cellStyle name="Normal 7 5" xfId="1449" xr:uid="{00000000-0005-0000-0000-0000201D0000}"/>
    <cellStyle name="Normal 7 5 2" xfId="2504" xr:uid="{00000000-0005-0000-0000-0000211D0000}"/>
    <cellStyle name="Normal 7 5 2 2" xfId="3677" xr:uid="{00000000-0005-0000-0000-0000221D0000}"/>
    <cellStyle name="Normal 7 5 2 3" xfId="5477" xr:uid="{00000000-0005-0000-0000-0000231D0000}"/>
    <cellStyle name="Normal 7 5 2 4" xfId="7728" xr:uid="{00000000-0005-0000-0000-0000241D0000}"/>
    <cellStyle name="Normal 7 5 3" xfId="4425" xr:uid="{00000000-0005-0000-0000-0000251D0000}"/>
    <cellStyle name="Normal 7 5 4" xfId="6701" xr:uid="{00000000-0005-0000-0000-0000261D0000}"/>
    <cellStyle name="Normal 7 6" xfId="1513" xr:uid="{00000000-0005-0000-0000-0000271D0000}"/>
    <cellStyle name="Normal 7 6 2" xfId="2729" xr:uid="{00000000-0005-0000-0000-0000281D0000}"/>
    <cellStyle name="Normal 7 6 2 2" xfId="3682" xr:uid="{00000000-0005-0000-0000-0000291D0000}"/>
    <cellStyle name="Normal 7 6 2 3" xfId="5541" xr:uid="{00000000-0005-0000-0000-00002A1D0000}"/>
    <cellStyle name="Normal 7 6 2 4" xfId="7919" xr:uid="{00000000-0005-0000-0000-00002B1D0000}"/>
    <cellStyle name="Normal 7 6 3" xfId="4426" xr:uid="{00000000-0005-0000-0000-00002C1D0000}"/>
    <cellStyle name="Normal 7 6 4" xfId="6765" xr:uid="{00000000-0005-0000-0000-00002D1D0000}"/>
    <cellStyle name="Normal 7 7" xfId="1982" xr:uid="{00000000-0005-0000-0000-00002E1D0000}"/>
    <cellStyle name="Normal 7 7 2" xfId="2924" xr:uid="{00000000-0005-0000-0000-00002F1D0000}"/>
    <cellStyle name="Normal 7 7 2 2" xfId="3852" xr:uid="{00000000-0005-0000-0000-0000301D0000}"/>
    <cellStyle name="Normal 7 7 2 2 2" xfId="6228" xr:uid="{00000000-0005-0000-0000-0000311D0000}"/>
    <cellStyle name="Normal 7 7 2 2 3" xfId="8763" xr:uid="{00000000-0005-0000-0000-0000321D0000}"/>
    <cellStyle name="Normal 7 7 2 3" xfId="4592" xr:uid="{00000000-0005-0000-0000-0000331D0000}"/>
    <cellStyle name="Normal 7 7 2 4" xfId="7981" xr:uid="{00000000-0005-0000-0000-0000341D0000}"/>
    <cellStyle name="Normal 7 7 3" xfId="3017" xr:uid="{00000000-0005-0000-0000-0000351D0000}"/>
    <cellStyle name="Normal 7 7 3 2" xfId="4676" xr:uid="{00000000-0005-0000-0000-0000361D0000}"/>
    <cellStyle name="Normal 7 7 3 3" xfId="8073" xr:uid="{00000000-0005-0000-0000-0000371D0000}"/>
    <cellStyle name="Normal 7 7 4" xfId="3707" xr:uid="{00000000-0005-0000-0000-0000381D0000}"/>
    <cellStyle name="Normal 7 7 4 2" xfId="6001" xr:uid="{00000000-0005-0000-0000-0000391D0000}"/>
    <cellStyle name="Normal 7 7 4 3" xfId="8624" xr:uid="{00000000-0005-0000-0000-00003A1D0000}"/>
    <cellStyle name="Normal 7 7 5" xfId="2817" xr:uid="{00000000-0005-0000-0000-00003B1D0000}"/>
    <cellStyle name="Normal 7 7 6" xfId="4427" xr:uid="{00000000-0005-0000-0000-00003C1D0000}"/>
    <cellStyle name="Normal 7 7 7" xfId="7229" xr:uid="{00000000-0005-0000-0000-00003D1D0000}"/>
    <cellStyle name="Normal 7 8" xfId="1181" xr:uid="{00000000-0005-0000-0000-00003E1D0000}"/>
    <cellStyle name="Normal 7 8 2" xfId="3822" xr:uid="{00000000-0005-0000-0000-00003F1D0000}"/>
    <cellStyle name="Normal 7 8 2 2" xfId="6207" xr:uid="{00000000-0005-0000-0000-0000401D0000}"/>
    <cellStyle name="Normal 7 8 2 3" xfId="8733" xr:uid="{00000000-0005-0000-0000-0000411D0000}"/>
    <cellStyle name="Normal 7 8 3" xfId="3807" xr:uid="{00000000-0005-0000-0000-0000421D0000}"/>
    <cellStyle name="Normal 7 8 3 2" xfId="6196" xr:uid="{00000000-0005-0000-0000-0000431D0000}"/>
    <cellStyle name="Normal 7 8 3 3" xfId="8718" xr:uid="{00000000-0005-0000-0000-0000441D0000}"/>
    <cellStyle name="Normal 7 8 4" xfId="5223" xr:uid="{00000000-0005-0000-0000-0000451D0000}"/>
    <cellStyle name="Normal 7 8 5" xfId="6433" xr:uid="{00000000-0005-0000-0000-0000461D0000}"/>
    <cellStyle name="Normal 7 9" xfId="1172" xr:uid="{00000000-0005-0000-0000-0000471D0000}"/>
    <cellStyle name="Normal 7 9 2" xfId="6164" xr:uid="{00000000-0005-0000-0000-0000481D0000}"/>
    <cellStyle name="Normal 7 9 3" xfId="6425" xr:uid="{00000000-0005-0000-0000-0000491D0000}"/>
    <cellStyle name="Normal 70" xfId="8971" xr:uid="{00000000-0005-0000-0000-00004A1D0000}"/>
    <cellStyle name="Normal 70 2" xfId="8973" xr:uid="{00000000-0005-0000-0000-00004B1D0000}"/>
    <cellStyle name="Normal 71" xfId="8972" xr:uid="{00000000-0005-0000-0000-00004C1D0000}"/>
    <cellStyle name="Normal 71 2" xfId="8975" xr:uid="{00000000-0005-0000-0000-00004D1D0000}"/>
    <cellStyle name="Normal 72" xfId="2505" xr:uid="{00000000-0005-0000-0000-00004E1D0000}"/>
    <cellStyle name="Normal 72 2" xfId="4428" xr:uid="{00000000-0005-0000-0000-00004F1D0000}"/>
    <cellStyle name="Normal 72 3" xfId="7729" xr:uid="{00000000-0005-0000-0000-0000501D0000}"/>
    <cellStyle name="Normal 73" xfId="2506" xr:uid="{00000000-0005-0000-0000-0000511D0000}"/>
    <cellStyle name="Normal 73 2" xfId="4429" xr:uid="{00000000-0005-0000-0000-0000521D0000}"/>
    <cellStyle name="Normal 73 3" xfId="7730" xr:uid="{00000000-0005-0000-0000-0000531D0000}"/>
    <cellStyle name="Normal 74" xfId="2507" xr:uid="{00000000-0005-0000-0000-0000541D0000}"/>
    <cellStyle name="Normal 74 2" xfId="4430" xr:uid="{00000000-0005-0000-0000-0000551D0000}"/>
    <cellStyle name="Normal 74 3" xfId="7731" xr:uid="{00000000-0005-0000-0000-0000561D0000}"/>
    <cellStyle name="Normal 75" xfId="2508" xr:uid="{00000000-0005-0000-0000-0000571D0000}"/>
    <cellStyle name="Normal 75 2" xfId="4431" xr:uid="{00000000-0005-0000-0000-0000581D0000}"/>
    <cellStyle name="Normal 75 3" xfId="7732" xr:uid="{00000000-0005-0000-0000-0000591D0000}"/>
    <cellStyle name="Normal 76" xfId="2509" xr:uid="{00000000-0005-0000-0000-00005A1D0000}"/>
    <cellStyle name="Normal 76 2" xfId="4432" xr:uid="{00000000-0005-0000-0000-00005B1D0000}"/>
    <cellStyle name="Normal 76 3" xfId="7733" xr:uid="{00000000-0005-0000-0000-00005C1D0000}"/>
    <cellStyle name="Normal 77" xfId="8974" xr:uid="{00000000-0005-0000-0000-00005D1D0000}"/>
    <cellStyle name="Normal 77 2" xfId="9130" xr:uid="{00000000-0005-0000-0000-00005E1D0000}"/>
    <cellStyle name="Normal 78" xfId="2510" xr:uid="{00000000-0005-0000-0000-00005F1D0000}"/>
    <cellStyle name="Normal 78 2" xfId="4433" xr:uid="{00000000-0005-0000-0000-0000601D0000}"/>
    <cellStyle name="Normal 78 3" xfId="7734" xr:uid="{00000000-0005-0000-0000-0000611D0000}"/>
    <cellStyle name="Normal 79" xfId="2511" xr:uid="{00000000-0005-0000-0000-0000621D0000}"/>
    <cellStyle name="Normal 79 2" xfId="4434" xr:uid="{00000000-0005-0000-0000-0000631D0000}"/>
    <cellStyle name="Normal 79 3" xfId="7735" xr:uid="{00000000-0005-0000-0000-0000641D0000}"/>
    <cellStyle name="Normal 8" xfId="720" xr:uid="{00000000-0005-0000-0000-0000651D0000}"/>
    <cellStyle name="Normal 8 10" xfId="3880" xr:uid="{00000000-0005-0000-0000-0000661D0000}"/>
    <cellStyle name="Normal 8 11" xfId="6399" xr:uid="{00000000-0005-0000-0000-0000671D0000}"/>
    <cellStyle name="Normal 8 12" xfId="1129" xr:uid="{00000000-0005-0000-0000-0000681D0000}"/>
    <cellStyle name="Normal 8 2" xfId="721" xr:uid="{00000000-0005-0000-0000-0000691D0000}"/>
    <cellStyle name="Normal 8 2 10" xfId="6400" xr:uid="{00000000-0005-0000-0000-00006A1D0000}"/>
    <cellStyle name="Normal 8 2 11" xfId="1130" xr:uid="{00000000-0005-0000-0000-00006B1D0000}"/>
    <cellStyle name="Normal 8 2 2" xfId="722" xr:uid="{00000000-0005-0000-0000-00006C1D0000}"/>
    <cellStyle name="Normal 8 2 2 2" xfId="1548" xr:uid="{00000000-0005-0000-0000-00006D1D0000}"/>
    <cellStyle name="Normal 8 2 2 2 2" xfId="5575" xr:uid="{00000000-0005-0000-0000-00006E1D0000}"/>
    <cellStyle name="Normal 8 2 2 2 3" xfId="6800" xr:uid="{00000000-0005-0000-0000-00006F1D0000}"/>
    <cellStyle name="Normal 8 2 2 3" xfId="1753" xr:uid="{00000000-0005-0000-0000-0000701D0000}"/>
    <cellStyle name="Normal 8 2 2 3 2" xfId="5775" xr:uid="{00000000-0005-0000-0000-0000711D0000}"/>
    <cellStyle name="Normal 8 2 2 3 3" xfId="7000" xr:uid="{00000000-0005-0000-0000-0000721D0000}"/>
    <cellStyle name="Normal 8 2 2 4" xfId="1948" xr:uid="{00000000-0005-0000-0000-0000731D0000}"/>
    <cellStyle name="Normal 8 2 2 4 2" xfId="5968" xr:uid="{00000000-0005-0000-0000-0000741D0000}"/>
    <cellStyle name="Normal 8 2 2 4 3" xfId="7195" xr:uid="{00000000-0005-0000-0000-0000751D0000}"/>
    <cellStyle name="Normal 8 2 2 5" xfId="2730" xr:uid="{00000000-0005-0000-0000-0000761D0000}"/>
    <cellStyle name="Normal 8 2 2 5 2" xfId="3641" xr:uid="{00000000-0005-0000-0000-0000771D0000}"/>
    <cellStyle name="Normal 8 2 2 5 3" xfId="5313" xr:uid="{00000000-0005-0000-0000-0000781D0000}"/>
    <cellStyle name="Normal 8 2 2 5 4" xfId="7920" xr:uid="{00000000-0005-0000-0000-0000791D0000}"/>
    <cellStyle name="Normal 8 2 2 6" xfId="4436" xr:uid="{00000000-0005-0000-0000-00007A1D0000}"/>
    <cellStyle name="Normal 8 2 2 7" xfId="6528" xr:uid="{00000000-0005-0000-0000-00007B1D0000}"/>
    <cellStyle name="Normal 8 2 2 8" xfId="1276" xr:uid="{00000000-0005-0000-0000-00007C1D0000}"/>
    <cellStyle name="Normal 8 2 3" xfId="1323" xr:uid="{00000000-0005-0000-0000-00007D1D0000}"/>
    <cellStyle name="Normal 8 2 3 2" xfId="1591" xr:uid="{00000000-0005-0000-0000-00007E1D0000}"/>
    <cellStyle name="Normal 8 2 3 2 2" xfId="5617" xr:uid="{00000000-0005-0000-0000-00007F1D0000}"/>
    <cellStyle name="Normal 8 2 3 2 3" xfId="6842" xr:uid="{00000000-0005-0000-0000-0000801D0000}"/>
    <cellStyle name="Normal 8 2 3 3" xfId="1795" xr:uid="{00000000-0005-0000-0000-0000811D0000}"/>
    <cellStyle name="Normal 8 2 3 3 2" xfId="5816" xr:uid="{00000000-0005-0000-0000-0000821D0000}"/>
    <cellStyle name="Normal 8 2 3 3 3" xfId="7042" xr:uid="{00000000-0005-0000-0000-0000831D0000}"/>
    <cellStyle name="Normal 8 2 3 4" xfId="1947" xr:uid="{00000000-0005-0000-0000-0000841D0000}"/>
    <cellStyle name="Normal 8 2 3 4 2" xfId="5967" xr:uid="{00000000-0005-0000-0000-0000851D0000}"/>
    <cellStyle name="Normal 8 2 3 4 3" xfId="7194" xr:uid="{00000000-0005-0000-0000-0000861D0000}"/>
    <cellStyle name="Normal 8 2 3 5" xfId="5359" xr:uid="{00000000-0005-0000-0000-0000871D0000}"/>
    <cellStyle name="Normal 8 2 3 6" xfId="6575" xr:uid="{00000000-0005-0000-0000-0000881D0000}"/>
    <cellStyle name="Normal 8 2 4" xfId="1475" xr:uid="{00000000-0005-0000-0000-0000891D0000}"/>
    <cellStyle name="Normal 8 2 4 2" xfId="5503" xr:uid="{00000000-0005-0000-0000-00008A1D0000}"/>
    <cellStyle name="Normal 8 2 4 3" xfId="6727" xr:uid="{00000000-0005-0000-0000-00008B1D0000}"/>
    <cellStyle name="Normal 8 2 5" xfId="1682" xr:uid="{00000000-0005-0000-0000-00008C1D0000}"/>
    <cellStyle name="Normal 8 2 5 2" xfId="5704" xr:uid="{00000000-0005-0000-0000-00008D1D0000}"/>
    <cellStyle name="Normal 8 2 5 3" xfId="6929" xr:uid="{00000000-0005-0000-0000-00008E1D0000}"/>
    <cellStyle name="Normal 8 2 6" xfId="1764" xr:uid="{00000000-0005-0000-0000-00008F1D0000}"/>
    <cellStyle name="Normal 8 2 6 2" xfId="5786" xr:uid="{00000000-0005-0000-0000-0000901D0000}"/>
    <cellStyle name="Normal 8 2 6 3" xfId="7011" xr:uid="{00000000-0005-0000-0000-0000911D0000}"/>
    <cellStyle name="Normal 8 2 7" xfId="1205" xr:uid="{00000000-0005-0000-0000-0000921D0000}"/>
    <cellStyle name="Normal 8 2 7 2" xfId="5246" xr:uid="{00000000-0005-0000-0000-0000931D0000}"/>
    <cellStyle name="Normal 8 2 7 3" xfId="6457" xr:uid="{00000000-0005-0000-0000-0000941D0000}"/>
    <cellStyle name="Normal 8 2 8" xfId="3414" xr:uid="{00000000-0005-0000-0000-0000951D0000}"/>
    <cellStyle name="Normal 8 2 8 2" xfId="5051" xr:uid="{00000000-0005-0000-0000-0000961D0000}"/>
    <cellStyle name="Normal 8 2 8 3" xfId="8425" xr:uid="{00000000-0005-0000-0000-0000971D0000}"/>
    <cellStyle name="Normal 8 2 9" xfId="4435" xr:uid="{00000000-0005-0000-0000-0000981D0000}"/>
    <cellStyle name="Normal 8 3" xfId="723" xr:uid="{00000000-0005-0000-0000-0000991D0000}"/>
    <cellStyle name="Normal 8 3 2" xfId="1525" xr:uid="{00000000-0005-0000-0000-00009A1D0000}"/>
    <cellStyle name="Normal 8 3 2 2" xfId="5552" xr:uid="{00000000-0005-0000-0000-00009B1D0000}"/>
    <cellStyle name="Normal 8 3 2 3" xfId="6777" xr:uid="{00000000-0005-0000-0000-00009C1D0000}"/>
    <cellStyle name="Normal 8 3 3" xfId="1730" xr:uid="{00000000-0005-0000-0000-00009D1D0000}"/>
    <cellStyle name="Normal 8 3 3 2" xfId="5752" xr:uid="{00000000-0005-0000-0000-00009E1D0000}"/>
    <cellStyle name="Normal 8 3 3 3" xfId="6977" xr:uid="{00000000-0005-0000-0000-00009F1D0000}"/>
    <cellStyle name="Normal 8 3 4" xfId="1520" xr:uid="{00000000-0005-0000-0000-0000A01D0000}"/>
    <cellStyle name="Normal 8 3 4 2" xfId="5548" xr:uid="{00000000-0005-0000-0000-0000A11D0000}"/>
    <cellStyle name="Normal 8 3 4 3" xfId="6772" xr:uid="{00000000-0005-0000-0000-0000A21D0000}"/>
    <cellStyle name="Normal 8 3 5" xfId="5291" xr:uid="{00000000-0005-0000-0000-0000A31D0000}"/>
    <cellStyle name="Normal 8 3 6" xfId="6408" xr:uid="{00000000-0005-0000-0000-0000A41D0000}"/>
    <cellStyle name="Normal 8 3 7" xfId="1153" xr:uid="{00000000-0005-0000-0000-0000A51D0000}"/>
    <cellStyle name="Normal 8 4" xfId="724" xr:uid="{00000000-0005-0000-0000-0000A61D0000}"/>
    <cellStyle name="Normal 8 4 2" xfId="1570" xr:uid="{00000000-0005-0000-0000-0000A71D0000}"/>
    <cellStyle name="Normal 8 4 2 2" xfId="5596" xr:uid="{00000000-0005-0000-0000-0000A81D0000}"/>
    <cellStyle name="Normal 8 4 2 3" xfId="6821" xr:uid="{00000000-0005-0000-0000-0000A91D0000}"/>
    <cellStyle name="Normal 8 4 3" xfId="1774" xr:uid="{00000000-0005-0000-0000-0000AA1D0000}"/>
    <cellStyle name="Normal 8 4 3 2" xfId="5795" xr:uid="{00000000-0005-0000-0000-0000AB1D0000}"/>
    <cellStyle name="Normal 8 4 3 3" xfId="7021" xr:uid="{00000000-0005-0000-0000-0000AC1D0000}"/>
    <cellStyle name="Normal 8 4 4" xfId="1998" xr:uid="{00000000-0005-0000-0000-0000AD1D0000}"/>
    <cellStyle name="Normal 8 4 4 2" xfId="6017" xr:uid="{00000000-0005-0000-0000-0000AE1D0000}"/>
    <cellStyle name="Normal 8 4 4 3" xfId="7245" xr:uid="{00000000-0005-0000-0000-0000AF1D0000}"/>
    <cellStyle name="Normal 8 4 5" xfId="5337" xr:uid="{00000000-0005-0000-0000-0000B01D0000}"/>
    <cellStyle name="Normal 8 4 6" xfId="6553" xr:uid="{00000000-0005-0000-0000-0000B11D0000}"/>
    <cellStyle name="Normal 8 4 7" xfId="1301" xr:uid="{00000000-0005-0000-0000-0000B21D0000}"/>
    <cellStyle name="Normal 8 5" xfId="1450" xr:uid="{00000000-0005-0000-0000-0000B31D0000}"/>
    <cellStyle name="Normal 8 5 2" xfId="5478" xr:uid="{00000000-0005-0000-0000-0000B41D0000}"/>
    <cellStyle name="Normal 8 5 3" xfId="6702" xr:uid="{00000000-0005-0000-0000-0000B51D0000}"/>
    <cellStyle name="Normal 8 6" xfId="1469" xr:uid="{00000000-0005-0000-0000-0000B61D0000}"/>
    <cellStyle name="Normal 8 6 2" xfId="5497" xr:uid="{00000000-0005-0000-0000-0000B71D0000}"/>
    <cellStyle name="Normal 8 6 3" xfId="6721" xr:uid="{00000000-0005-0000-0000-0000B81D0000}"/>
    <cellStyle name="Normal 8 7" xfId="1823" xr:uid="{00000000-0005-0000-0000-0000B91D0000}"/>
    <cellStyle name="Normal 8 7 2" xfId="5844" xr:uid="{00000000-0005-0000-0000-0000BA1D0000}"/>
    <cellStyle name="Normal 8 7 3" xfId="7070" xr:uid="{00000000-0005-0000-0000-0000BB1D0000}"/>
    <cellStyle name="Normal 8 8" xfId="2672" xr:uid="{00000000-0005-0000-0000-0000BC1D0000}"/>
    <cellStyle name="Normal 8 8 2" xfId="3611" xr:uid="{00000000-0005-0000-0000-0000BD1D0000}"/>
    <cellStyle name="Normal 8 8 3" xfId="5224" xr:uid="{00000000-0005-0000-0000-0000BE1D0000}"/>
    <cellStyle name="Normal 8 8 4" xfId="7871" xr:uid="{00000000-0005-0000-0000-0000BF1D0000}"/>
    <cellStyle name="Normal 8 9" xfId="3413" xr:uid="{00000000-0005-0000-0000-0000C01D0000}"/>
    <cellStyle name="Normal 8 9 2" xfId="5050" xr:uid="{00000000-0005-0000-0000-0000C11D0000}"/>
    <cellStyle name="Normal 8 9 3" xfId="8424" xr:uid="{00000000-0005-0000-0000-0000C21D0000}"/>
    <cellStyle name="Normal 80" xfId="2512" xr:uid="{00000000-0005-0000-0000-0000C31D0000}"/>
    <cellStyle name="Normal 80 2" xfId="4437" xr:uid="{00000000-0005-0000-0000-0000C41D0000}"/>
    <cellStyle name="Normal 80 3" xfId="7736" xr:uid="{00000000-0005-0000-0000-0000C51D0000}"/>
    <cellStyle name="Normal 81" xfId="2513" xr:uid="{00000000-0005-0000-0000-0000C61D0000}"/>
    <cellStyle name="Normal 81 2" xfId="4438" xr:uid="{00000000-0005-0000-0000-0000C71D0000}"/>
    <cellStyle name="Normal 81 3" xfId="7737" xr:uid="{00000000-0005-0000-0000-0000C81D0000}"/>
    <cellStyle name="Normal 82" xfId="2514" xr:uid="{00000000-0005-0000-0000-0000C91D0000}"/>
    <cellStyle name="Normal 82 2" xfId="4439" xr:uid="{00000000-0005-0000-0000-0000CA1D0000}"/>
    <cellStyle name="Normal 82 3" xfId="7738" xr:uid="{00000000-0005-0000-0000-0000CB1D0000}"/>
    <cellStyle name="Normal 83" xfId="2515" xr:uid="{00000000-0005-0000-0000-0000CC1D0000}"/>
    <cellStyle name="Normal 83 2" xfId="4440" xr:uid="{00000000-0005-0000-0000-0000CD1D0000}"/>
    <cellStyle name="Normal 83 3" xfId="7739" xr:uid="{00000000-0005-0000-0000-0000CE1D0000}"/>
    <cellStyle name="Normal 84" xfId="2516" xr:uid="{00000000-0005-0000-0000-0000CF1D0000}"/>
    <cellStyle name="Normal 84 2" xfId="4441" xr:uid="{00000000-0005-0000-0000-0000D01D0000}"/>
    <cellStyle name="Normal 84 3" xfId="7740" xr:uid="{00000000-0005-0000-0000-0000D11D0000}"/>
    <cellStyle name="Normal 85" xfId="2517" xr:uid="{00000000-0005-0000-0000-0000D21D0000}"/>
    <cellStyle name="Normal 85 2" xfId="4442" xr:uid="{00000000-0005-0000-0000-0000D31D0000}"/>
    <cellStyle name="Normal 85 3" xfId="7741" xr:uid="{00000000-0005-0000-0000-0000D41D0000}"/>
    <cellStyle name="Normal 86" xfId="2518" xr:uid="{00000000-0005-0000-0000-0000D51D0000}"/>
    <cellStyle name="Normal 86 2" xfId="4443" xr:uid="{00000000-0005-0000-0000-0000D61D0000}"/>
    <cellStyle name="Normal 86 3" xfId="7742" xr:uid="{00000000-0005-0000-0000-0000D71D0000}"/>
    <cellStyle name="Normal 87" xfId="2519" xr:uid="{00000000-0005-0000-0000-0000D81D0000}"/>
    <cellStyle name="Normal 87 2" xfId="4444" xr:uid="{00000000-0005-0000-0000-0000D91D0000}"/>
    <cellStyle name="Normal 87 3" xfId="7743" xr:uid="{00000000-0005-0000-0000-0000DA1D0000}"/>
    <cellStyle name="Normal 88" xfId="2520" xr:uid="{00000000-0005-0000-0000-0000DB1D0000}"/>
    <cellStyle name="Normal 88 2" xfId="4445" xr:uid="{00000000-0005-0000-0000-0000DC1D0000}"/>
    <cellStyle name="Normal 88 3" xfId="7744" xr:uid="{00000000-0005-0000-0000-0000DD1D0000}"/>
    <cellStyle name="Normal 89" xfId="2521" xr:uid="{00000000-0005-0000-0000-0000DE1D0000}"/>
    <cellStyle name="Normal 89 2" xfId="4446" xr:uid="{00000000-0005-0000-0000-0000DF1D0000}"/>
    <cellStyle name="Normal 89 3" xfId="7745" xr:uid="{00000000-0005-0000-0000-0000E01D0000}"/>
    <cellStyle name="Normal 9" xfId="725" xr:uid="{00000000-0005-0000-0000-0000E11D0000}"/>
    <cellStyle name="Normal 9 10" xfId="6401" xr:uid="{00000000-0005-0000-0000-0000E21D0000}"/>
    <cellStyle name="Normal 9 11" xfId="1131" xr:uid="{00000000-0005-0000-0000-0000E31D0000}"/>
    <cellStyle name="Normal 9 2" xfId="726" xr:uid="{00000000-0005-0000-0000-0000E41D0000}"/>
    <cellStyle name="Normal 9 2 10" xfId="1132" xr:uid="{00000000-0005-0000-0000-0000E51D0000}"/>
    <cellStyle name="Normal 9 2 2" xfId="1277" xr:uid="{00000000-0005-0000-0000-0000E61D0000}"/>
    <cellStyle name="Normal 9 2 2 2" xfId="1549" xr:uid="{00000000-0005-0000-0000-0000E71D0000}"/>
    <cellStyle name="Normal 9 2 2 2 2" xfId="5576" xr:uid="{00000000-0005-0000-0000-0000E81D0000}"/>
    <cellStyle name="Normal 9 2 2 2 3" xfId="6801" xr:uid="{00000000-0005-0000-0000-0000E91D0000}"/>
    <cellStyle name="Normal 9 2 2 3" xfId="1754" xr:uid="{00000000-0005-0000-0000-0000EA1D0000}"/>
    <cellStyle name="Normal 9 2 2 3 2" xfId="5776" xr:uid="{00000000-0005-0000-0000-0000EB1D0000}"/>
    <cellStyle name="Normal 9 2 2 3 3" xfId="7001" xr:uid="{00000000-0005-0000-0000-0000EC1D0000}"/>
    <cellStyle name="Normal 9 2 2 4" xfId="2013" xr:uid="{00000000-0005-0000-0000-0000ED1D0000}"/>
    <cellStyle name="Normal 9 2 2 4 2" xfId="6032" xr:uid="{00000000-0005-0000-0000-0000EE1D0000}"/>
    <cellStyle name="Normal 9 2 2 4 3" xfId="7260" xr:uid="{00000000-0005-0000-0000-0000EF1D0000}"/>
    <cellStyle name="Normal 9 2 2 5" xfId="2731" xr:uid="{00000000-0005-0000-0000-0000F01D0000}"/>
    <cellStyle name="Normal 9 2 2 5 2" xfId="3642" xr:uid="{00000000-0005-0000-0000-0000F11D0000}"/>
    <cellStyle name="Normal 9 2 2 5 3" xfId="5314" xr:uid="{00000000-0005-0000-0000-0000F21D0000}"/>
    <cellStyle name="Normal 9 2 2 5 4" xfId="7921" xr:uid="{00000000-0005-0000-0000-0000F31D0000}"/>
    <cellStyle name="Normal 9 2 2 6" xfId="4448" xr:uid="{00000000-0005-0000-0000-0000F41D0000}"/>
    <cellStyle name="Normal 9 2 2 7" xfId="6529" xr:uid="{00000000-0005-0000-0000-0000F51D0000}"/>
    <cellStyle name="Normal 9 2 3" xfId="1324" xr:uid="{00000000-0005-0000-0000-0000F61D0000}"/>
    <cellStyle name="Normal 9 2 3 2" xfId="1592" xr:uid="{00000000-0005-0000-0000-0000F71D0000}"/>
    <cellStyle name="Normal 9 2 3 2 2" xfId="5618" xr:uid="{00000000-0005-0000-0000-0000F81D0000}"/>
    <cellStyle name="Normal 9 2 3 2 3" xfId="6843" xr:uid="{00000000-0005-0000-0000-0000F91D0000}"/>
    <cellStyle name="Normal 9 2 3 3" xfId="1796" xr:uid="{00000000-0005-0000-0000-0000FA1D0000}"/>
    <cellStyle name="Normal 9 2 3 3 2" xfId="5817" xr:uid="{00000000-0005-0000-0000-0000FB1D0000}"/>
    <cellStyle name="Normal 9 2 3 3 3" xfId="7043" xr:uid="{00000000-0005-0000-0000-0000FC1D0000}"/>
    <cellStyle name="Normal 9 2 3 4" xfId="2012" xr:uid="{00000000-0005-0000-0000-0000FD1D0000}"/>
    <cellStyle name="Normal 9 2 3 4 2" xfId="6031" xr:uid="{00000000-0005-0000-0000-0000FE1D0000}"/>
    <cellStyle name="Normal 9 2 3 4 3" xfId="7259" xr:uid="{00000000-0005-0000-0000-0000FF1D0000}"/>
    <cellStyle name="Normal 9 2 3 5" xfId="5360" xr:uid="{00000000-0005-0000-0000-0000001E0000}"/>
    <cellStyle name="Normal 9 2 3 6" xfId="6576" xr:uid="{00000000-0005-0000-0000-0000011E0000}"/>
    <cellStyle name="Normal 9 2 4" xfId="1476" xr:uid="{00000000-0005-0000-0000-0000021E0000}"/>
    <cellStyle name="Normal 9 2 4 2" xfId="5504" xr:uid="{00000000-0005-0000-0000-0000031E0000}"/>
    <cellStyle name="Normal 9 2 4 3" xfId="6728" xr:uid="{00000000-0005-0000-0000-0000041E0000}"/>
    <cellStyle name="Normal 9 2 5" xfId="1683" xr:uid="{00000000-0005-0000-0000-0000051E0000}"/>
    <cellStyle name="Normal 9 2 5 2" xfId="5705" xr:uid="{00000000-0005-0000-0000-0000061E0000}"/>
    <cellStyle name="Normal 9 2 5 3" xfId="6930" xr:uid="{00000000-0005-0000-0000-0000071E0000}"/>
    <cellStyle name="Normal 9 2 6" xfId="1833" xr:uid="{00000000-0005-0000-0000-0000081E0000}"/>
    <cellStyle name="Normal 9 2 6 2" xfId="5854" xr:uid="{00000000-0005-0000-0000-0000091E0000}"/>
    <cellStyle name="Normal 9 2 6 3" xfId="7080" xr:uid="{00000000-0005-0000-0000-00000A1E0000}"/>
    <cellStyle name="Normal 9 2 7" xfId="1206" xr:uid="{00000000-0005-0000-0000-00000B1E0000}"/>
    <cellStyle name="Normal 9 2 7 2" xfId="5247" xr:uid="{00000000-0005-0000-0000-00000C1E0000}"/>
    <cellStyle name="Normal 9 2 7 3" xfId="6458" xr:uid="{00000000-0005-0000-0000-00000D1E0000}"/>
    <cellStyle name="Normal 9 2 8" xfId="4447" xr:uid="{00000000-0005-0000-0000-00000E1E0000}"/>
    <cellStyle name="Normal 9 2 9" xfId="6402" xr:uid="{00000000-0005-0000-0000-00000F1E0000}"/>
    <cellStyle name="Normal 9 3" xfId="727" xr:uid="{00000000-0005-0000-0000-0000101E0000}"/>
    <cellStyle name="Normal 9 3 2" xfId="1526" xr:uid="{00000000-0005-0000-0000-0000111E0000}"/>
    <cellStyle name="Normal 9 3 2 2" xfId="5553" xr:uid="{00000000-0005-0000-0000-0000121E0000}"/>
    <cellStyle name="Normal 9 3 2 3" xfId="6778" xr:uid="{00000000-0005-0000-0000-0000131E0000}"/>
    <cellStyle name="Normal 9 3 3" xfId="1731" xr:uid="{00000000-0005-0000-0000-0000141E0000}"/>
    <cellStyle name="Normal 9 3 3 2" xfId="5753" xr:uid="{00000000-0005-0000-0000-0000151E0000}"/>
    <cellStyle name="Normal 9 3 3 3" xfId="6978" xr:uid="{00000000-0005-0000-0000-0000161E0000}"/>
    <cellStyle name="Normal 9 3 4" xfId="1604" xr:uid="{00000000-0005-0000-0000-0000171E0000}"/>
    <cellStyle name="Normal 9 3 4 2" xfId="5630" xr:uid="{00000000-0005-0000-0000-0000181E0000}"/>
    <cellStyle name="Normal 9 3 4 3" xfId="6855" xr:uid="{00000000-0005-0000-0000-0000191E0000}"/>
    <cellStyle name="Normal 9 3 5" xfId="2732" xr:uid="{00000000-0005-0000-0000-00001A1E0000}"/>
    <cellStyle name="Normal 9 3 5 2" xfId="3634" xr:uid="{00000000-0005-0000-0000-00001B1E0000}"/>
    <cellStyle name="Normal 9 3 5 3" xfId="5292" xr:uid="{00000000-0005-0000-0000-00001C1E0000}"/>
    <cellStyle name="Normal 9 3 5 4" xfId="7922" xr:uid="{00000000-0005-0000-0000-00001D1E0000}"/>
    <cellStyle name="Normal 9 3 6" xfId="4449" xr:uid="{00000000-0005-0000-0000-00001E1E0000}"/>
    <cellStyle name="Normal 9 3 7" xfId="6507" xr:uid="{00000000-0005-0000-0000-00001F1E0000}"/>
    <cellStyle name="Normal 9 3 8" xfId="1255" xr:uid="{00000000-0005-0000-0000-0000201E0000}"/>
    <cellStyle name="Normal 9 4" xfId="1302" xr:uid="{00000000-0005-0000-0000-0000211E0000}"/>
    <cellStyle name="Normal 9 4 2" xfId="1571" xr:uid="{00000000-0005-0000-0000-0000221E0000}"/>
    <cellStyle name="Normal 9 4 2 2" xfId="5597" xr:uid="{00000000-0005-0000-0000-0000231E0000}"/>
    <cellStyle name="Normal 9 4 2 3" xfId="6822" xr:uid="{00000000-0005-0000-0000-0000241E0000}"/>
    <cellStyle name="Normal 9 4 3" xfId="1775" xr:uid="{00000000-0005-0000-0000-0000251E0000}"/>
    <cellStyle name="Normal 9 4 3 2" xfId="5796" xr:uid="{00000000-0005-0000-0000-0000261E0000}"/>
    <cellStyle name="Normal 9 4 3 3" xfId="7022" xr:uid="{00000000-0005-0000-0000-0000271E0000}"/>
    <cellStyle name="Normal 9 4 4" xfId="1927" xr:uid="{00000000-0005-0000-0000-0000281E0000}"/>
    <cellStyle name="Normal 9 4 4 2" xfId="5947" xr:uid="{00000000-0005-0000-0000-0000291E0000}"/>
    <cellStyle name="Normal 9 4 4 3" xfId="7174" xr:uid="{00000000-0005-0000-0000-00002A1E0000}"/>
    <cellStyle name="Normal 9 4 5" xfId="2733" xr:uid="{00000000-0005-0000-0000-00002B1E0000}"/>
    <cellStyle name="Normal 9 4 5 2" xfId="3659" xr:uid="{00000000-0005-0000-0000-00002C1E0000}"/>
    <cellStyle name="Normal 9 4 5 3" xfId="5338" xr:uid="{00000000-0005-0000-0000-00002D1E0000}"/>
    <cellStyle name="Normal 9 4 5 4" xfId="7923" xr:uid="{00000000-0005-0000-0000-00002E1E0000}"/>
    <cellStyle name="Normal 9 4 6" xfId="4450" xr:uid="{00000000-0005-0000-0000-00002F1E0000}"/>
    <cellStyle name="Normal 9 4 7" xfId="6554" xr:uid="{00000000-0005-0000-0000-0000301E0000}"/>
    <cellStyle name="Normal 9 5" xfId="1451" xr:uid="{00000000-0005-0000-0000-0000311E0000}"/>
    <cellStyle name="Normal 9 5 2" xfId="5479" xr:uid="{00000000-0005-0000-0000-0000321E0000}"/>
    <cellStyle name="Normal 9 5 3" xfId="6703" xr:uid="{00000000-0005-0000-0000-0000331E0000}"/>
    <cellStyle name="Normal 9 6" xfId="1411" xr:uid="{00000000-0005-0000-0000-0000341E0000}"/>
    <cellStyle name="Normal 9 6 2" xfId="5441" xr:uid="{00000000-0005-0000-0000-0000351E0000}"/>
    <cellStyle name="Normal 9 6 3" xfId="6663" xr:uid="{00000000-0005-0000-0000-0000361E0000}"/>
    <cellStyle name="Normal 9 7" xfId="1722" xr:uid="{00000000-0005-0000-0000-0000371E0000}"/>
    <cellStyle name="Normal 9 7 2" xfId="5744" xr:uid="{00000000-0005-0000-0000-0000381E0000}"/>
    <cellStyle name="Normal 9 7 3" xfId="6969" xr:uid="{00000000-0005-0000-0000-0000391E0000}"/>
    <cellStyle name="Normal 9 8" xfId="1182" xr:uid="{00000000-0005-0000-0000-00003A1E0000}"/>
    <cellStyle name="Normal 9 8 2" xfId="5225" xr:uid="{00000000-0005-0000-0000-00003B1E0000}"/>
    <cellStyle name="Normal 9 8 3" xfId="6434" xr:uid="{00000000-0005-0000-0000-00003C1E0000}"/>
    <cellStyle name="Normal 9 9" xfId="3881" xr:uid="{00000000-0005-0000-0000-00003D1E0000}"/>
    <cellStyle name="Normal 90" xfId="2522" xr:uid="{00000000-0005-0000-0000-00003E1E0000}"/>
    <cellStyle name="Normal 90 2" xfId="4451" xr:uid="{00000000-0005-0000-0000-00003F1E0000}"/>
    <cellStyle name="Normal 90 3" xfId="7746" xr:uid="{00000000-0005-0000-0000-0000401E0000}"/>
    <cellStyle name="Normal 91" xfId="2523" xr:uid="{00000000-0005-0000-0000-0000411E0000}"/>
    <cellStyle name="Normal 91 2" xfId="4452" xr:uid="{00000000-0005-0000-0000-0000421E0000}"/>
    <cellStyle name="Normal 91 3" xfId="7747" xr:uid="{00000000-0005-0000-0000-0000431E0000}"/>
    <cellStyle name="Normal 92" xfId="2524" xr:uid="{00000000-0005-0000-0000-0000441E0000}"/>
    <cellStyle name="Normal 92 2" xfId="4453" xr:uid="{00000000-0005-0000-0000-0000451E0000}"/>
    <cellStyle name="Normal 92 3" xfId="7748" xr:uid="{00000000-0005-0000-0000-0000461E0000}"/>
    <cellStyle name="Normal 93" xfId="2525" xr:uid="{00000000-0005-0000-0000-0000471E0000}"/>
    <cellStyle name="Normal 93 2" xfId="4454" xr:uid="{00000000-0005-0000-0000-0000481E0000}"/>
    <cellStyle name="Normal 93 3" xfId="7749" xr:uid="{00000000-0005-0000-0000-0000491E0000}"/>
    <cellStyle name="Normal 94" xfId="9132" xr:uid="{00000000-0005-0000-0000-00004A1E0000}"/>
    <cellStyle name="Normal 94 2" xfId="9133" xr:uid="{00000000-0005-0000-0000-00004B1E0000}"/>
    <cellStyle name="Normal 95" xfId="9134" xr:uid="{00000000-0005-0000-0000-00004C1E0000}"/>
    <cellStyle name="Normal 95 2" xfId="9136" xr:uid="{00000000-0005-0000-0000-00004D1E0000}"/>
    <cellStyle name="Normal 96" xfId="9135" xr:uid="{00000000-0005-0000-0000-00004E1E0000}"/>
    <cellStyle name="Normal 96 2" xfId="9137" xr:uid="{00000000-0005-0000-0000-00004F1E0000}"/>
    <cellStyle name="Normal 97" xfId="9138" xr:uid="{00000000-0005-0000-0000-0000501E0000}"/>
    <cellStyle name="Normal 97 2" xfId="9141" xr:uid="{00000000-0005-0000-0000-0000511E0000}"/>
    <cellStyle name="Normal 97 2 2" xfId="9143" xr:uid="{00000000-0005-0000-0000-0000521E0000}"/>
    <cellStyle name="Normal 98" xfId="728" xr:uid="{00000000-0005-0000-0000-0000531E0000}"/>
    <cellStyle name="Normal 98 2" xfId="9144" xr:uid="{00000000-0005-0000-0000-0000541E0000}"/>
    <cellStyle name="Normal 99" xfId="9142" xr:uid="{00000000-0005-0000-0000-0000551E0000}"/>
    <cellStyle name="Normal Bold" xfId="729" xr:uid="{00000000-0005-0000-0000-0000561E0000}"/>
    <cellStyle name="Normale_Ro05" xfId="8786" xr:uid="{00000000-0005-0000-0000-0000571E0000}"/>
    <cellStyle name="Normalny_koszt" xfId="730" xr:uid="{00000000-0005-0000-0000-0000581E0000}"/>
    <cellStyle name="Nota 10" xfId="731" xr:uid="{00000000-0005-0000-0000-0000591E0000}"/>
    <cellStyle name="Nota 10 2" xfId="1012"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1" xr:uid="{00000000-0005-0000-0000-00005F1E0000}"/>
    <cellStyle name="Nota 2 11" xfId="736" xr:uid="{00000000-0005-0000-0000-0000601E0000}"/>
    <cellStyle name="Nota 2 12" xfId="1179" xr:uid="{00000000-0005-0000-0000-0000611E0000}"/>
    <cellStyle name="Nota 2 2" xfId="737" xr:uid="{00000000-0005-0000-0000-0000621E0000}"/>
    <cellStyle name="Nota 2 2 10" xfId="1202" xr:uid="{00000000-0005-0000-0000-0000631E0000}"/>
    <cellStyle name="Nota 2 2 2" xfId="1273" xr:uid="{00000000-0005-0000-0000-0000641E0000}"/>
    <cellStyle name="Nota 2 2 2 2" xfId="1545" xr:uid="{00000000-0005-0000-0000-0000651E0000}"/>
    <cellStyle name="Nota 2 2 2 2 2" xfId="5572" xr:uid="{00000000-0005-0000-0000-0000661E0000}"/>
    <cellStyle name="Nota 2 2 2 2 3" xfId="6797" xr:uid="{00000000-0005-0000-0000-0000671E0000}"/>
    <cellStyle name="Nota 2 2 2 3" xfId="1750" xr:uid="{00000000-0005-0000-0000-0000681E0000}"/>
    <cellStyle name="Nota 2 2 2 3 2" xfId="5772" xr:uid="{00000000-0005-0000-0000-0000691E0000}"/>
    <cellStyle name="Nota 2 2 2 3 3" xfId="6997" xr:uid="{00000000-0005-0000-0000-00006A1E0000}"/>
    <cellStyle name="Nota 2 2 2 4" xfId="1981" xr:uid="{00000000-0005-0000-0000-00006B1E0000}"/>
    <cellStyle name="Nota 2 2 2 4 2" xfId="6000" xr:uid="{00000000-0005-0000-0000-00006C1E0000}"/>
    <cellStyle name="Nota 2 2 2 4 3" xfId="7228" xr:uid="{00000000-0005-0000-0000-00006D1E0000}"/>
    <cellStyle name="Nota 2 2 2 5" xfId="5310" xr:uid="{00000000-0005-0000-0000-00006E1E0000}"/>
    <cellStyle name="Nota 2 2 2 6" xfId="6525" xr:uid="{00000000-0005-0000-0000-00006F1E0000}"/>
    <cellStyle name="Nota 2 2 3" xfId="1320" xr:uid="{00000000-0005-0000-0000-0000701E0000}"/>
    <cellStyle name="Nota 2 2 3 2" xfId="1588" xr:uid="{00000000-0005-0000-0000-0000711E0000}"/>
    <cellStyle name="Nota 2 2 3 2 2" xfId="5614" xr:uid="{00000000-0005-0000-0000-0000721E0000}"/>
    <cellStyle name="Nota 2 2 3 2 3" xfId="6839" xr:uid="{00000000-0005-0000-0000-0000731E0000}"/>
    <cellStyle name="Nota 2 2 3 3" xfId="1792" xr:uid="{00000000-0005-0000-0000-0000741E0000}"/>
    <cellStyle name="Nota 2 2 3 3 2" xfId="5813" xr:uid="{00000000-0005-0000-0000-0000751E0000}"/>
    <cellStyle name="Nota 2 2 3 3 3" xfId="7039" xr:uid="{00000000-0005-0000-0000-0000761E0000}"/>
    <cellStyle name="Nota 2 2 3 4" xfId="1980" xr:uid="{00000000-0005-0000-0000-0000771E0000}"/>
    <cellStyle name="Nota 2 2 3 4 2" xfId="5999" xr:uid="{00000000-0005-0000-0000-0000781E0000}"/>
    <cellStyle name="Nota 2 2 3 4 3" xfId="7227" xr:uid="{00000000-0005-0000-0000-0000791E0000}"/>
    <cellStyle name="Nota 2 2 3 5" xfId="5356" xr:uid="{00000000-0005-0000-0000-00007A1E0000}"/>
    <cellStyle name="Nota 2 2 3 6" xfId="6572" xr:uid="{00000000-0005-0000-0000-00007B1E0000}"/>
    <cellStyle name="Nota 2 2 4" xfId="1472" xr:uid="{00000000-0005-0000-0000-00007C1E0000}"/>
    <cellStyle name="Nota 2 2 4 2" xfId="5500" xr:uid="{00000000-0005-0000-0000-00007D1E0000}"/>
    <cellStyle name="Nota 2 2 4 3" xfId="6724" xr:uid="{00000000-0005-0000-0000-00007E1E0000}"/>
    <cellStyle name="Nota 2 2 5" xfId="1512" xr:uid="{00000000-0005-0000-0000-00007F1E0000}"/>
    <cellStyle name="Nota 2 2 5 2" xfId="5540" xr:uid="{00000000-0005-0000-0000-0000801E0000}"/>
    <cellStyle name="Nota 2 2 5 3" xfId="6764" xr:uid="{00000000-0005-0000-0000-0000811E0000}"/>
    <cellStyle name="Nota 2 2 6" xfId="1723" xr:uid="{00000000-0005-0000-0000-0000821E0000}"/>
    <cellStyle name="Nota 2 2 6 2" xfId="5745" xr:uid="{00000000-0005-0000-0000-0000831E0000}"/>
    <cellStyle name="Nota 2 2 6 3" xfId="6970" xr:uid="{00000000-0005-0000-0000-0000841E0000}"/>
    <cellStyle name="Nota 2 2 7" xfId="2527" xr:uid="{00000000-0005-0000-0000-0000851E0000}"/>
    <cellStyle name="Nota 2 2 7 2" xfId="3618" xr:uid="{00000000-0005-0000-0000-0000861E0000}"/>
    <cellStyle name="Nota 2 2 7 3" xfId="5244" xr:uid="{00000000-0005-0000-0000-0000871E0000}"/>
    <cellStyle name="Nota 2 2 7 4" xfId="7751" xr:uid="{00000000-0005-0000-0000-0000881E0000}"/>
    <cellStyle name="Nota 2 2 8" xfId="4456" xr:uid="{00000000-0005-0000-0000-0000891E0000}"/>
    <cellStyle name="Nota 2 2 9" xfId="6454" xr:uid="{00000000-0005-0000-0000-00008A1E0000}"/>
    <cellStyle name="Nota 2 3" xfId="738" xr:uid="{00000000-0005-0000-0000-00008B1E0000}"/>
    <cellStyle name="Nota 2 3 2" xfId="1522" xr:uid="{00000000-0005-0000-0000-00008C1E0000}"/>
    <cellStyle name="Nota 2 3 2 2" xfId="5549" xr:uid="{00000000-0005-0000-0000-00008D1E0000}"/>
    <cellStyle name="Nota 2 3 2 3" xfId="6774" xr:uid="{00000000-0005-0000-0000-00008E1E0000}"/>
    <cellStyle name="Nota 2 3 3" xfId="1727" xr:uid="{00000000-0005-0000-0000-00008F1E0000}"/>
    <cellStyle name="Nota 2 3 3 2" xfId="5749" xr:uid="{00000000-0005-0000-0000-0000901E0000}"/>
    <cellStyle name="Nota 2 3 3 3" xfId="6974" xr:uid="{00000000-0005-0000-0000-0000911E0000}"/>
    <cellStyle name="Nota 2 3 4" xfId="1412" xr:uid="{00000000-0005-0000-0000-0000921E0000}"/>
    <cellStyle name="Nota 2 3 4 2" xfId="5442" xr:uid="{00000000-0005-0000-0000-0000931E0000}"/>
    <cellStyle name="Nota 2 3 4 3" xfId="6664" xr:uid="{00000000-0005-0000-0000-0000941E0000}"/>
    <cellStyle name="Nota 2 3 5" xfId="5289" xr:uid="{00000000-0005-0000-0000-0000951E0000}"/>
    <cellStyle name="Nota 2 3 6" xfId="6504" xr:uid="{00000000-0005-0000-0000-0000961E0000}"/>
    <cellStyle name="Nota 2 3 7" xfId="1252" xr:uid="{00000000-0005-0000-0000-0000971E0000}"/>
    <cellStyle name="Nota 2 4" xfId="739" xr:uid="{00000000-0005-0000-0000-0000981E0000}"/>
    <cellStyle name="Nota 2 4 2" xfId="1567" xr:uid="{00000000-0005-0000-0000-0000991E0000}"/>
    <cellStyle name="Nota 2 4 2 2" xfId="5593" xr:uid="{00000000-0005-0000-0000-00009A1E0000}"/>
    <cellStyle name="Nota 2 4 2 3" xfId="6818" xr:uid="{00000000-0005-0000-0000-00009B1E0000}"/>
    <cellStyle name="Nota 2 4 3" xfId="1771" xr:uid="{00000000-0005-0000-0000-00009C1E0000}"/>
    <cellStyle name="Nota 2 4 3 2" xfId="5792" xr:uid="{00000000-0005-0000-0000-00009D1E0000}"/>
    <cellStyle name="Nota 2 4 3 3" xfId="7018" xr:uid="{00000000-0005-0000-0000-00009E1E0000}"/>
    <cellStyle name="Nota 2 4 4" xfId="1963" xr:uid="{00000000-0005-0000-0000-00009F1E0000}"/>
    <cellStyle name="Nota 2 4 4 2" xfId="5983" xr:uid="{00000000-0005-0000-0000-0000A01E0000}"/>
    <cellStyle name="Nota 2 4 4 3" xfId="7210" xr:uid="{00000000-0005-0000-0000-0000A11E0000}"/>
    <cellStyle name="Nota 2 4 5" xfId="5335" xr:uid="{00000000-0005-0000-0000-0000A21E0000}"/>
    <cellStyle name="Nota 2 4 6" xfId="6551" xr:uid="{00000000-0005-0000-0000-0000A31E0000}"/>
    <cellStyle name="Nota 2 4 7" xfId="1299" xr:uid="{00000000-0005-0000-0000-0000A41E0000}"/>
    <cellStyle name="Nota 2 5" xfId="740" xr:uid="{00000000-0005-0000-0000-0000A51E0000}"/>
    <cellStyle name="Nota 2 5 2" xfId="5476" xr:uid="{00000000-0005-0000-0000-0000A61E0000}"/>
    <cellStyle name="Nota 2 5 3" xfId="6699" xr:uid="{00000000-0005-0000-0000-0000A71E0000}"/>
    <cellStyle name="Nota 2 5 4" xfId="1447" xr:uid="{00000000-0005-0000-0000-0000A81E0000}"/>
    <cellStyle name="Nota 2 6" xfId="741" xr:uid="{00000000-0005-0000-0000-0000A91E0000}"/>
    <cellStyle name="Nota 2 6 2" xfId="5440" xr:uid="{00000000-0005-0000-0000-0000AA1E0000}"/>
    <cellStyle name="Nota 2 6 3" xfId="6662" xr:uid="{00000000-0005-0000-0000-0000AB1E0000}"/>
    <cellStyle name="Nota 2 6 4" xfId="1410" xr:uid="{00000000-0005-0000-0000-0000AC1E0000}"/>
    <cellStyle name="Nota 2 7" xfId="742" xr:uid="{00000000-0005-0000-0000-0000AD1E0000}"/>
    <cellStyle name="Nota 2 7 2" xfId="6007" xr:uid="{00000000-0005-0000-0000-0000AE1E0000}"/>
    <cellStyle name="Nota 2 7 3" xfId="7235" xr:uid="{00000000-0005-0000-0000-0000AF1E0000}"/>
    <cellStyle name="Nota 2 7 4" xfId="1988" xr:uid="{00000000-0005-0000-0000-0000B01E0000}"/>
    <cellStyle name="Nota 2 8" xfId="743" xr:uid="{00000000-0005-0000-0000-0000B11E0000}"/>
    <cellStyle name="Nota 2 8 2" xfId="3608" xr:uid="{00000000-0005-0000-0000-0000B21E0000}"/>
    <cellStyle name="Nota 2 8 3" xfId="5220" xr:uid="{00000000-0005-0000-0000-0000B31E0000}"/>
    <cellStyle name="Nota 2 8 4" xfId="7750" xr:uid="{00000000-0005-0000-0000-0000B41E0000}"/>
    <cellStyle name="Nota 2 8 5" xfId="2526" xr:uid="{00000000-0005-0000-0000-0000B51E0000}"/>
    <cellStyle name="Nota 2 9" xfId="744" xr:uid="{00000000-0005-0000-0000-0000B61E0000}"/>
    <cellStyle name="Nota 2 9 2" xfId="4455" xr:uid="{00000000-0005-0000-0000-0000B71E0000}"/>
    <cellStyle name="Nota 3" xfId="745" xr:uid="{00000000-0005-0000-0000-0000B81E0000}"/>
    <cellStyle name="Nota 3 10" xfId="1185" xr:uid="{00000000-0005-0000-0000-0000B91E0000}"/>
    <cellStyle name="Nota 3 2" xfId="1258" xr:uid="{00000000-0005-0000-0000-0000BA1E0000}"/>
    <cellStyle name="Nota 3 2 2" xfId="1529" xr:uid="{00000000-0005-0000-0000-0000BB1E0000}"/>
    <cellStyle name="Nota 3 2 2 2" xfId="5556" xr:uid="{00000000-0005-0000-0000-0000BC1E0000}"/>
    <cellStyle name="Nota 3 2 2 3" xfId="6781" xr:uid="{00000000-0005-0000-0000-0000BD1E0000}"/>
    <cellStyle name="Nota 3 2 3" xfId="1734" xr:uid="{00000000-0005-0000-0000-0000BE1E0000}"/>
    <cellStyle name="Nota 3 2 3 2" xfId="5756" xr:uid="{00000000-0005-0000-0000-0000BF1E0000}"/>
    <cellStyle name="Nota 3 2 3 3" xfId="6981" xr:uid="{00000000-0005-0000-0000-0000C01E0000}"/>
    <cellStyle name="Nota 3 2 4" xfId="1471" xr:uid="{00000000-0005-0000-0000-0000C11E0000}"/>
    <cellStyle name="Nota 3 2 4 2" xfId="5499" xr:uid="{00000000-0005-0000-0000-0000C21E0000}"/>
    <cellStyle name="Nota 3 2 4 3" xfId="6723" xr:uid="{00000000-0005-0000-0000-0000C31E0000}"/>
    <cellStyle name="Nota 3 2 5" xfId="2529" xr:uid="{00000000-0005-0000-0000-0000C41E0000}"/>
    <cellStyle name="Nota 3 2 5 2" xfId="3637" xr:uid="{00000000-0005-0000-0000-0000C51E0000}"/>
    <cellStyle name="Nota 3 2 5 3" xfId="5295" xr:uid="{00000000-0005-0000-0000-0000C61E0000}"/>
    <cellStyle name="Nota 3 2 5 4" xfId="7753" xr:uid="{00000000-0005-0000-0000-0000C71E0000}"/>
    <cellStyle name="Nota 3 2 6" xfId="4458" xr:uid="{00000000-0005-0000-0000-0000C81E0000}"/>
    <cellStyle name="Nota 3 2 7" xfId="6510" xr:uid="{00000000-0005-0000-0000-0000C91E0000}"/>
    <cellStyle name="Nota 3 3" xfId="1305" xr:uid="{00000000-0005-0000-0000-0000CA1E0000}"/>
    <cellStyle name="Nota 3 3 2" xfId="1574" xr:uid="{00000000-0005-0000-0000-0000CB1E0000}"/>
    <cellStyle name="Nota 3 3 2 2" xfId="5600" xr:uid="{00000000-0005-0000-0000-0000CC1E0000}"/>
    <cellStyle name="Nota 3 3 2 3" xfId="6825" xr:uid="{00000000-0005-0000-0000-0000CD1E0000}"/>
    <cellStyle name="Nota 3 3 3" xfId="1778" xr:uid="{00000000-0005-0000-0000-0000CE1E0000}"/>
    <cellStyle name="Nota 3 3 3 2" xfId="5799" xr:uid="{00000000-0005-0000-0000-0000CF1E0000}"/>
    <cellStyle name="Nota 3 3 3 3" xfId="7025" xr:uid="{00000000-0005-0000-0000-0000D01E0000}"/>
    <cellStyle name="Nota 3 3 4" xfId="1903" xr:uid="{00000000-0005-0000-0000-0000D11E0000}"/>
    <cellStyle name="Nota 3 3 4 2" xfId="5923" xr:uid="{00000000-0005-0000-0000-0000D21E0000}"/>
    <cellStyle name="Nota 3 3 4 3" xfId="7150" xr:uid="{00000000-0005-0000-0000-0000D31E0000}"/>
    <cellStyle name="Nota 3 3 5" xfId="5341" xr:uid="{00000000-0005-0000-0000-0000D41E0000}"/>
    <cellStyle name="Nota 3 3 6" xfId="6557" xr:uid="{00000000-0005-0000-0000-0000D51E0000}"/>
    <cellStyle name="Nota 3 4" xfId="1454" xr:uid="{00000000-0005-0000-0000-0000D61E0000}"/>
    <cellStyle name="Nota 3 4 2" xfId="5482" xr:uid="{00000000-0005-0000-0000-0000D71E0000}"/>
    <cellStyle name="Nota 3 4 3" xfId="6706" xr:uid="{00000000-0005-0000-0000-0000D81E0000}"/>
    <cellStyle name="Nota 3 5" xfId="1432" xr:uid="{00000000-0005-0000-0000-0000D91E0000}"/>
    <cellStyle name="Nota 3 5 2" xfId="5462" xr:uid="{00000000-0005-0000-0000-0000DA1E0000}"/>
    <cellStyle name="Nota 3 5 3" xfId="6684" xr:uid="{00000000-0005-0000-0000-0000DB1E0000}"/>
    <cellStyle name="Nota 3 6" xfId="1687" xr:uid="{00000000-0005-0000-0000-0000DC1E0000}"/>
    <cellStyle name="Nota 3 6 2" xfId="5709" xr:uid="{00000000-0005-0000-0000-0000DD1E0000}"/>
    <cellStyle name="Nota 3 6 3" xfId="6934" xr:uid="{00000000-0005-0000-0000-0000DE1E0000}"/>
    <cellStyle name="Nota 3 7" xfId="2528" xr:uid="{00000000-0005-0000-0000-0000DF1E0000}"/>
    <cellStyle name="Nota 3 7 2" xfId="3614" xr:uid="{00000000-0005-0000-0000-0000E01E0000}"/>
    <cellStyle name="Nota 3 7 3" xfId="5228" xr:uid="{00000000-0005-0000-0000-0000E11E0000}"/>
    <cellStyle name="Nota 3 7 4" xfId="7752" xr:uid="{00000000-0005-0000-0000-0000E21E0000}"/>
    <cellStyle name="Nota 3 8" xfId="4457" xr:uid="{00000000-0005-0000-0000-0000E31E0000}"/>
    <cellStyle name="Nota 3 9" xfId="6437" xr:uid="{00000000-0005-0000-0000-0000E41E0000}"/>
    <cellStyle name="Nota 4" xfId="746" xr:uid="{00000000-0005-0000-0000-0000E51E0000}"/>
    <cellStyle name="Nota 4 2" xfId="1646" xr:uid="{00000000-0005-0000-0000-0000E61E0000}"/>
    <cellStyle name="Nota 4 2 2" xfId="2531" xr:uid="{00000000-0005-0000-0000-0000E71E0000}"/>
    <cellStyle name="Nota 4 2 2 2" xfId="3696" xr:uid="{00000000-0005-0000-0000-0000E81E0000}"/>
    <cellStyle name="Nota 4 2 2 3" xfId="5670" xr:uid="{00000000-0005-0000-0000-0000E91E0000}"/>
    <cellStyle name="Nota 4 2 2 4" xfId="7755" xr:uid="{00000000-0005-0000-0000-0000EA1E0000}"/>
    <cellStyle name="Nota 4 2 3" xfId="4460" xr:uid="{00000000-0005-0000-0000-0000EB1E0000}"/>
    <cellStyle name="Nota 4 2 4" xfId="6895" xr:uid="{00000000-0005-0000-0000-0000EC1E0000}"/>
    <cellStyle name="Nota 4 3" xfId="1842" xr:uid="{00000000-0005-0000-0000-0000ED1E0000}"/>
    <cellStyle name="Nota 4 3 2" xfId="5863" xr:uid="{00000000-0005-0000-0000-0000EE1E0000}"/>
    <cellStyle name="Nota 4 3 3" xfId="7089" xr:uid="{00000000-0005-0000-0000-0000EF1E0000}"/>
    <cellStyle name="Nota 4 4" xfId="2027" xr:uid="{00000000-0005-0000-0000-0000F01E0000}"/>
    <cellStyle name="Nota 4 4 2" xfId="6046" xr:uid="{00000000-0005-0000-0000-0000F11E0000}"/>
    <cellStyle name="Nota 4 4 3" xfId="7274" xr:uid="{00000000-0005-0000-0000-0000F21E0000}"/>
    <cellStyle name="Nota 4 5" xfId="2530" xr:uid="{00000000-0005-0000-0000-0000F31E0000}"/>
    <cellStyle name="Nota 4 5 2" xfId="3669" xr:uid="{00000000-0005-0000-0000-0000F41E0000}"/>
    <cellStyle name="Nota 4 5 3" xfId="5407" xr:uid="{00000000-0005-0000-0000-0000F51E0000}"/>
    <cellStyle name="Nota 4 5 4" xfId="7754" xr:uid="{00000000-0005-0000-0000-0000F61E0000}"/>
    <cellStyle name="Nota 4 6" xfId="4459" xr:uid="{00000000-0005-0000-0000-0000F71E0000}"/>
    <cellStyle name="Nota 4 7" xfId="6628" xr:uid="{00000000-0005-0000-0000-0000F81E0000}"/>
    <cellStyle name="Nota 4 8" xfId="1376" xr:uid="{00000000-0005-0000-0000-0000F91E0000}"/>
    <cellStyle name="Nota 5" xfId="747" xr:uid="{00000000-0005-0000-0000-0000FA1E0000}"/>
    <cellStyle name="Nota 5 2" xfId="1660" xr:uid="{00000000-0005-0000-0000-0000FB1E0000}"/>
    <cellStyle name="Nota 5 2 2" xfId="2534" xr:uid="{00000000-0005-0000-0000-0000FC1E0000}"/>
    <cellStyle name="Nota 5 2 2 2" xfId="4463" xr:uid="{00000000-0005-0000-0000-0000FD1E0000}"/>
    <cellStyle name="Nota 5 2 2 3" xfId="7758" xr:uid="{00000000-0005-0000-0000-0000FE1E0000}"/>
    <cellStyle name="Nota 5 2 3" xfId="2533" xr:uid="{00000000-0005-0000-0000-0000FF1E0000}"/>
    <cellStyle name="Nota 5 2 3 2" xfId="3697" xr:uid="{00000000-0005-0000-0000-0000001F0000}"/>
    <cellStyle name="Nota 5 2 3 3" xfId="5684" xr:uid="{00000000-0005-0000-0000-0000011F0000}"/>
    <cellStyle name="Nota 5 2 3 4" xfId="7757" xr:uid="{00000000-0005-0000-0000-0000021F0000}"/>
    <cellStyle name="Nota 5 2 4" xfId="4462" xr:uid="{00000000-0005-0000-0000-0000031F0000}"/>
    <cellStyle name="Nota 5 2 5" xfId="6909" xr:uid="{00000000-0005-0000-0000-0000041F0000}"/>
    <cellStyle name="Nota 5 3" xfId="1856" xr:uid="{00000000-0005-0000-0000-0000051F0000}"/>
    <cellStyle name="Nota 5 3 2" xfId="2536" xr:uid="{00000000-0005-0000-0000-0000061F0000}"/>
    <cellStyle name="Nota 5 3 2 2" xfId="4465" xr:uid="{00000000-0005-0000-0000-0000071F0000}"/>
    <cellStyle name="Nota 5 3 2 3" xfId="7760" xr:uid="{00000000-0005-0000-0000-0000081F0000}"/>
    <cellStyle name="Nota 5 3 3" xfId="2535" xr:uid="{00000000-0005-0000-0000-0000091F0000}"/>
    <cellStyle name="Nota 5 3 3 2" xfId="3705" xr:uid="{00000000-0005-0000-0000-00000A1F0000}"/>
    <cellStyle name="Nota 5 3 3 3" xfId="5877" xr:uid="{00000000-0005-0000-0000-00000B1F0000}"/>
    <cellStyle name="Nota 5 3 3 4" xfId="7759" xr:uid="{00000000-0005-0000-0000-00000C1F0000}"/>
    <cellStyle name="Nota 5 3 4" xfId="4464" xr:uid="{00000000-0005-0000-0000-00000D1F0000}"/>
    <cellStyle name="Nota 5 3 5" xfId="7103" xr:uid="{00000000-0005-0000-0000-00000E1F0000}"/>
    <cellStyle name="Nota 5 4" xfId="2041" xr:uid="{00000000-0005-0000-0000-00000F1F0000}"/>
    <cellStyle name="Nota 5 4 2" xfId="2538" xr:uid="{00000000-0005-0000-0000-0000101F0000}"/>
    <cellStyle name="Nota 5 4 2 2" xfId="4467" xr:uid="{00000000-0005-0000-0000-0000111F0000}"/>
    <cellStyle name="Nota 5 4 2 3" xfId="7762" xr:uid="{00000000-0005-0000-0000-0000121F0000}"/>
    <cellStyle name="Nota 5 4 3" xfId="2537" xr:uid="{00000000-0005-0000-0000-0000131F0000}"/>
    <cellStyle name="Nota 5 4 3 2" xfId="3710" xr:uid="{00000000-0005-0000-0000-0000141F0000}"/>
    <cellStyle name="Nota 5 4 3 3" xfId="6060" xr:uid="{00000000-0005-0000-0000-0000151F0000}"/>
    <cellStyle name="Nota 5 4 3 4" xfId="7761" xr:uid="{00000000-0005-0000-0000-0000161F0000}"/>
    <cellStyle name="Nota 5 4 4" xfId="4466" xr:uid="{00000000-0005-0000-0000-0000171F0000}"/>
    <cellStyle name="Nota 5 4 5" xfId="7288" xr:uid="{00000000-0005-0000-0000-0000181F0000}"/>
    <cellStyle name="Nota 5 5" xfId="2539" xr:uid="{00000000-0005-0000-0000-0000191F0000}"/>
    <cellStyle name="Nota 5 5 2" xfId="4468" xr:uid="{00000000-0005-0000-0000-00001A1F0000}"/>
    <cellStyle name="Nota 5 5 3" xfId="7763" xr:uid="{00000000-0005-0000-0000-00001B1F0000}"/>
    <cellStyle name="Nota 5 6" xfId="2532" xr:uid="{00000000-0005-0000-0000-00001C1F0000}"/>
    <cellStyle name="Nota 5 6 2" xfId="3671" xr:uid="{00000000-0005-0000-0000-00001D1F0000}"/>
    <cellStyle name="Nota 5 6 3" xfId="5421" xr:uid="{00000000-0005-0000-0000-00001E1F0000}"/>
    <cellStyle name="Nota 5 6 4" xfId="7756" xr:uid="{00000000-0005-0000-0000-00001F1F0000}"/>
    <cellStyle name="Nota 5 7" xfId="4461" xr:uid="{00000000-0005-0000-0000-0000201F0000}"/>
    <cellStyle name="Nota 5 8" xfId="6642" xr:uid="{00000000-0005-0000-0000-0000211F0000}"/>
    <cellStyle name="Nota 5 9" xfId="1390" xr:uid="{00000000-0005-0000-0000-0000221F0000}"/>
    <cellStyle name="Nota 6" xfId="748" xr:uid="{00000000-0005-0000-0000-0000231F0000}"/>
    <cellStyle name="Nota 6 2" xfId="2541" xr:uid="{00000000-0005-0000-0000-0000241F0000}"/>
    <cellStyle name="Nota 6 2 2" xfId="2542" xr:uid="{00000000-0005-0000-0000-0000251F0000}"/>
    <cellStyle name="Nota 6 2 2 2" xfId="4471" xr:uid="{00000000-0005-0000-0000-0000261F0000}"/>
    <cellStyle name="Nota 6 2 2 3" xfId="7766" xr:uid="{00000000-0005-0000-0000-0000271F0000}"/>
    <cellStyle name="Nota 6 2 3" xfId="4470" xr:uid="{00000000-0005-0000-0000-0000281F0000}"/>
    <cellStyle name="Nota 6 2 4" xfId="7765" xr:uid="{00000000-0005-0000-0000-0000291F0000}"/>
    <cellStyle name="Nota 6 3" xfId="2543" xr:uid="{00000000-0005-0000-0000-00002A1F0000}"/>
    <cellStyle name="Nota 6 3 2" xfId="2544" xr:uid="{00000000-0005-0000-0000-00002B1F0000}"/>
    <cellStyle name="Nota 6 3 2 2" xfId="4473" xr:uid="{00000000-0005-0000-0000-00002C1F0000}"/>
    <cellStyle name="Nota 6 3 2 3" xfId="7768" xr:uid="{00000000-0005-0000-0000-00002D1F0000}"/>
    <cellStyle name="Nota 6 3 3" xfId="4472" xr:uid="{00000000-0005-0000-0000-00002E1F0000}"/>
    <cellStyle name="Nota 6 3 4" xfId="7767" xr:uid="{00000000-0005-0000-0000-00002F1F0000}"/>
    <cellStyle name="Nota 6 4" xfId="2545" xr:uid="{00000000-0005-0000-0000-0000301F0000}"/>
    <cellStyle name="Nota 6 4 2" xfId="2546" xr:uid="{00000000-0005-0000-0000-0000311F0000}"/>
    <cellStyle name="Nota 6 4 2 2" xfId="4475" xr:uid="{00000000-0005-0000-0000-0000321F0000}"/>
    <cellStyle name="Nota 6 4 2 3" xfId="7770" xr:uid="{00000000-0005-0000-0000-0000331F0000}"/>
    <cellStyle name="Nota 6 4 3" xfId="4474" xr:uid="{00000000-0005-0000-0000-0000341F0000}"/>
    <cellStyle name="Nota 6 4 4" xfId="7769" xr:uid="{00000000-0005-0000-0000-0000351F0000}"/>
    <cellStyle name="Nota 6 5" xfId="2547" xr:uid="{00000000-0005-0000-0000-0000361F0000}"/>
    <cellStyle name="Nota 6 5 2" xfId="4476" xr:uid="{00000000-0005-0000-0000-0000371F0000}"/>
    <cellStyle name="Nota 6 5 3" xfId="7771" xr:uid="{00000000-0005-0000-0000-0000381F0000}"/>
    <cellStyle name="Nota 6 6" xfId="4469" xr:uid="{00000000-0005-0000-0000-0000391F0000}"/>
    <cellStyle name="Nota 6 7" xfId="7764" xr:uid="{00000000-0005-0000-0000-00003A1F0000}"/>
    <cellStyle name="Nota 6 8" xfId="2540" xr:uid="{00000000-0005-0000-0000-00003B1F0000}"/>
    <cellStyle name="Nota 7" xfId="749" xr:uid="{00000000-0005-0000-0000-00003C1F0000}"/>
    <cellStyle name="Nota 7 2" xfId="2549" xr:uid="{00000000-0005-0000-0000-00003D1F0000}"/>
    <cellStyle name="Nota 7 2 2" xfId="2550" xr:uid="{00000000-0005-0000-0000-00003E1F0000}"/>
    <cellStyle name="Nota 7 2 2 2" xfId="4479" xr:uid="{00000000-0005-0000-0000-00003F1F0000}"/>
    <cellStyle name="Nota 7 2 2 3" xfId="7774" xr:uid="{00000000-0005-0000-0000-0000401F0000}"/>
    <cellStyle name="Nota 7 2 3" xfId="4478" xr:uid="{00000000-0005-0000-0000-0000411F0000}"/>
    <cellStyle name="Nota 7 2 4" xfId="7773" xr:uid="{00000000-0005-0000-0000-0000421F0000}"/>
    <cellStyle name="Nota 7 3" xfId="2551" xr:uid="{00000000-0005-0000-0000-0000431F0000}"/>
    <cellStyle name="Nota 7 3 2" xfId="2552" xr:uid="{00000000-0005-0000-0000-0000441F0000}"/>
    <cellStyle name="Nota 7 3 2 2" xfId="4481" xr:uid="{00000000-0005-0000-0000-0000451F0000}"/>
    <cellStyle name="Nota 7 3 2 3" xfId="7776" xr:uid="{00000000-0005-0000-0000-0000461F0000}"/>
    <cellStyle name="Nota 7 3 3" xfId="4480" xr:uid="{00000000-0005-0000-0000-0000471F0000}"/>
    <cellStyle name="Nota 7 3 4" xfId="7775" xr:uid="{00000000-0005-0000-0000-0000481F0000}"/>
    <cellStyle name="Nota 7 4" xfId="2553" xr:uid="{00000000-0005-0000-0000-0000491F0000}"/>
    <cellStyle name="Nota 7 4 2" xfId="2554" xr:uid="{00000000-0005-0000-0000-00004A1F0000}"/>
    <cellStyle name="Nota 7 4 2 2" xfId="4483" xr:uid="{00000000-0005-0000-0000-00004B1F0000}"/>
    <cellStyle name="Nota 7 4 2 3" xfId="7778" xr:uid="{00000000-0005-0000-0000-00004C1F0000}"/>
    <cellStyle name="Nota 7 4 3" xfId="4482" xr:uid="{00000000-0005-0000-0000-00004D1F0000}"/>
    <cellStyle name="Nota 7 4 4" xfId="7777" xr:uid="{00000000-0005-0000-0000-00004E1F0000}"/>
    <cellStyle name="Nota 7 5" xfId="2555" xr:uid="{00000000-0005-0000-0000-00004F1F0000}"/>
    <cellStyle name="Nota 7 5 2" xfId="4484" xr:uid="{00000000-0005-0000-0000-0000501F0000}"/>
    <cellStyle name="Nota 7 5 3" xfId="7779" xr:uid="{00000000-0005-0000-0000-0000511F0000}"/>
    <cellStyle name="Nota 7 6" xfId="4477" xr:uid="{00000000-0005-0000-0000-0000521F0000}"/>
    <cellStyle name="Nota 7 7" xfId="7772" xr:uid="{00000000-0005-0000-0000-0000531F0000}"/>
    <cellStyle name="Nota 7 8" xfId="2548" xr:uid="{00000000-0005-0000-0000-0000541F0000}"/>
    <cellStyle name="Nota 8" xfId="750" xr:uid="{00000000-0005-0000-0000-0000551F0000}"/>
    <cellStyle name="Nota 8 2" xfId="6171" xr:uid="{00000000-0005-0000-0000-0000561F0000}"/>
    <cellStyle name="Nota 8 3" xfId="8688" xr:uid="{00000000-0005-0000-0000-0000571F0000}"/>
    <cellStyle name="Nota 8 4" xfId="3777" xr:uid="{00000000-0005-0000-0000-0000581F0000}"/>
    <cellStyle name="Nota 9" xfId="751" xr:uid="{00000000-0005-0000-0000-0000591F0000}"/>
    <cellStyle name="Nota 9 2" xfId="6294" xr:uid="{00000000-0005-0000-0000-00005A1F0000}"/>
    <cellStyle name="Note" xfId="752" xr:uid="{00000000-0005-0000-0000-00005B1F0000}"/>
    <cellStyle name="Note 10" xfId="3416" xr:uid="{00000000-0005-0000-0000-00005C1F0000}"/>
    <cellStyle name="Note 10 2" xfId="5053" xr:uid="{00000000-0005-0000-0000-00005D1F0000}"/>
    <cellStyle name="Note 10 3" xfId="8427" xr:uid="{00000000-0005-0000-0000-00005E1F0000}"/>
    <cellStyle name="Note 11" xfId="3417" xr:uid="{00000000-0005-0000-0000-00005F1F0000}"/>
    <cellStyle name="Note 11 2" xfId="5054" xr:uid="{00000000-0005-0000-0000-0000601F0000}"/>
    <cellStyle name="Note 11 3" xfId="8428" xr:uid="{00000000-0005-0000-0000-0000611F0000}"/>
    <cellStyle name="Note 12" xfId="3415" xr:uid="{00000000-0005-0000-0000-0000621F0000}"/>
    <cellStyle name="Note 12 2" xfId="5052" xr:uid="{00000000-0005-0000-0000-0000631F0000}"/>
    <cellStyle name="Note 12 3" xfId="8426" xr:uid="{00000000-0005-0000-0000-0000641F0000}"/>
    <cellStyle name="Note 13" xfId="3834" xr:uid="{00000000-0005-0000-0000-0000651F0000}"/>
    <cellStyle name="Note 13 2" xfId="6215" xr:uid="{00000000-0005-0000-0000-0000661F0000}"/>
    <cellStyle name="Note 13 3" xfId="8745" xr:uid="{00000000-0005-0000-0000-0000671F0000}"/>
    <cellStyle name="Note 14" xfId="2796" xr:uid="{00000000-0005-0000-0000-0000681F0000}"/>
    <cellStyle name="Note 15" xfId="4485" xr:uid="{00000000-0005-0000-0000-0000691F0000}"/>
    <cellStyle name="Note 16" xfId="7368" xr:uid="{00000000-0005-0000-0000-00006A1F0000}"/>
    <cellStyle name="Note 17" xfId="2127" xr:uid="{00000000-0005-0000-0000-00006B1F0000}"/>
    <cellStyle name="Note 2" xfId="753" xr:uid="{00000000-0005-0000-0000-00006C1F0000}"/>
    <cellStyle name="Note 2 10" xfId="6403" xr:uid="{00000000-0005-0000-0000-00006D1F0000}"/>
    <cellStyle name="Note 2 11" xfId="1133" xr:uid="{00000000-0005-0000-0000-00006E1F0000}"/>
    <cellStyle name="Note 2 2" xfId="2911" xr:uid="{00000000-0005-0000-0000-00006F1F0000}"/>
    <cellStyle name="Note 2 2 2" xfId="3420" xr:uid="{00000000-0005-0000-0000-0000701F0000}"/>
    <cellStyle name="Note 2 2 2 2" xfId="5057" xr:uid="{00000000-0005-0000-0000-0000711F0000}"/>
    <cellStyle name="Note 2 2 2 3" xfId="8431" xr:uid="{00000000-0005-0000-0000-0000721F0000}"/>
    <cellStyle name="Note 2 2 3" xfId="3421" xr:uid="{00000000-0005-0000-0000-0000731F0000}"/>
    <cellStyle name="Note 2 2 3 2" xfId="5058" xr:uid="{00000000-0005-0000-0000-0000741F0000}"/>
    <cellStyle name="Note 2 2 3 3" xfId="8432" xr:uid="{00000000-0005-0000-0000-0000751F0000}"/>
    <cellStyle name="Note 2 2 4" xfId="3422" xr:uid="{00000000-0005-0000-0000-0000761F0000}"/>
    <cellStyle name="Note 2 2 4 2" xfId="5059" xr:uid="{00000000-0005-0000-0000-0000771F0000}"/>
    <cellStyle name="Note 2 2 4 3" xfId="8433" xr:uid="{00000000-0005-0000-0000-0000781F0000}"/>
    <cellStyle name="Note 2 2 5" xfId="3419" xr:uid="{00000000-0005-0000-0000-0000791F0000}"/>
    <cellStyle name="Note 2 2 5 2" xfId="5056" xr:uid="{00000000-0005-0000-0000-00007A1F0000}"/>
    <cellStyle name="Note 2 2 5 3" xfId="8430" xr:uid="{00000000-0005-0000-0000-00007B1F0000}"/>
    <cellStyle name="Note 2 2 6" xfId="3782" xr:uid="{00000000-0005-0000-0000-00007C1F0000}"/>
    <cellStyle name="Note 2 2 6 2" xfId="6175" xr:uid="{00000000-0005-0000-0000-00007D1F0000}"/>
    <cellStyle name="Note 2 2 6 3" xfId="8693" xr:uid="{00000000-0005-0000-0000-00007E1F0000}"/>
    <cellStyle name="Note 2 2 7" xfId="4578" xr:uid="{00000000-0005-0000-0000-00007F1F0000}"/>
    <cellStyle name="Note 2 2 8" xfId="7969" xr:uid="{00000000-0005-0000-0000-0000801F0000}"/>
    <cellStyle name="Note 2 3" xfId="3001" xr:uid="{00000000-0005-0000-0000-0000811F0000}"/>
    <cellStyle name="Note 2 3 2" xfId="3423" xr:uid="{00000000-0005-0000-0000-0000821F0000}"/>
    <cellStyle name="Note 2 3 2 2" xfId="5060" xr:uid="{00000000-0005-0000-0000-0000831F0000}"/>
    <cellStyle name="Note 2 3 2 3" xfId="8434" xr:uid="{00000000-0005-0000-0000-0000841F0000}"/>
    <cellStyle name="Note 2 3 3" xfId="4663" xr:uid="{00000000-0005-0000-0000-0000851F0000}"/>
    <cellStyle name="Note 2 3 4" xfId="8057" xr:uid="{00000000-0005-0000-0000-0000861F0000}"/>
    <cellStyle name="Note 2 4" xfId="3424" xr:uid="{00000000-0005-0000-0000-0000871F0000}"/>
    <cellStyle name="Note 2 4 2" xfId="5061" xr:uid="{00000000-0005-0000-0000-0000881F0000}"/>
    <cellStyle name="Note 2 4 3" xfId="8435" xr:uid="{00000000-0005-0000-0000-0000891F0000}"/>
    <cellStyle name="Note 2 5" xfId="3425" xr:uid="{00000000-0005-0000-0000-00008A1F0000}"/>
    <cellStyle name="Note 2 5 2" xfId="5062" xr:uid="{00000000-0005-0000-0000-00008B1F0000}"/>
    <cellStyle name="Note 2 5 3" xfId="8436" xr:uid="{00000000-0005-0000-0000-00008C1F0000}"/>
    <cellStyle name="Note 2 6" xfId="3418" xr:uid="{00000000-0005-0000-0000-00008D1F0000}"/>
    <cellStyle name="Note 2 6 2" xfId="5055" xr:uid="{00000000-0005-0000-0000-00008E1F0000}"/>
    <cellStyle name="Note 2 6 3" xfId="8429" xr:uid="{00000000-0005-0000-0000-00008F1F0000}"/>
    <cellStyle name="Note 2 7" xfId="3750" xr:uid="{00000000-0005-0000-0000-0000901F0000}"/>
    <cellStyle name="Note 2 7 2" xfId="6147" xr:uid="{00000000-0005-0000-0000-0000911F0000}"/>
    <cellStyle name="Note 2 7 3" xfId="8663" xr:uid="{00000000-0005-0000-0000-0000921F0000}"/>
    <cellStyle name="Note 2 8" xfId="2797" xr:uid="{00000000-0005-0000-0000-0000931F0000}"/>
    <cellStyle name="Note 2 9" xfId="4486" xr:uid="{00000000-0005-0000-0000-0000941F0000}"/>
    <cellStyle name="Note 3" xfId="2910" xr:uid="{00000000-0005-0000-0000-0000951F0000}"/>
    <cellStyle name="Note 3 2" xfId="3427" xr:uid="{00000000-0005-0000-0000-0000961F0000}"/>
    <cellStyle name="Note 3 2 2" xfId="3428" xr:uid="{00000000-0005-0000-0000-0000971F0000}"/>
    <cellStyle name="Note 3 2 2 2" xfId="5065" xr:uid="{00000000-0005-0000-0000-0000981F0000}"/>
    <cellStyle name="Note 3 2 2 3" xfId="8439" xr:uid="{00000000-0005-0000-0000-0000991F0000}"/>
    <cellStyle name="Note 3 2 3" xfId="3429" xr:uid="{00000000-0005-0000-0000-00009A1F0000}"/>
    <cellStyle name="Note 3 2 3 2" xfId="5066" xr:uid="{00000000-0005-0000-0000-00009B1F0000}"/>
    <cellStyle name="Note 3 2 3 3" xfId="8440" xr:uid="{00000000-0005-0000-0000-00009C1F0000}"/>
    <cellStyle name="Note 3 2 4" xfId="3430" xr:uid="{00000000-0005-0000-0000-00009D1F0000}"/>
    <cellStyle name="Note 3 2 4 2" xfId="5067" xr:uid="{00000000-0005-0000-0000-00009E1F0000}"/>
    <cellStyle name="Note 3 2 4 3" xfId="8441" xr:uid="{00000000-0005-0000-0000-00009F1F0000}"/>
    <cellStyle name="Note 3 2 5" xfId="5064" xr:uid="{00000000-0005-0000-0000-0000A01F0000}"/>
    <cellStyle name="Note 3 2 6" xfId="8438" xr:uid="{00000000-0005-0000-0000-0000A11F0000}"/>
    <cellStyle name="Note 3 3" xfId="3431" xr:uid="{00000000-0005-0000-0000-0000A21F0000}"/>
    <cellStyle name="Note 3 3 2" xfId="5068" xr:uid="{00000000-0005-0000-0000-0000A31F0000}"/>
    <cellStyle name="Note 3 3 3" xfId="8442" xr:uid="{00000000-0005-0000-0000-0000A41F0000}"/>
    <cellStyle name="Note 3 4" xfId="3432" xr:uid="{00000000-0005-0000-0000-0000A51F0000}"/>
    <cellStyle name="Note 3 4 2" xfId="5069" xr:uid="{00000000-0005-0000-0000-0000A61F0000}"/>
    <cellStyle name="Note 3 4 3" xfId="8443" xr:uid="{00000000-0005-0000-0000-0000A71F0000}"/>
    <cellStyle name="Note 3 5" xfId="3433" xr:uid="{00000000-0005-0000-0000-0000A81F0000}"/>
    <cellStyle name="Note 3 5 2" xfId="5070" xr:uid="{00000000-0005-0000-0000-0000A91F0000}"/>
    <cellStyle name="Note 3 5 3" xfId="8444" xr:uid="{00000000-0005-0000-0000-0000AA1F0000}"/>
    <cellStyle name="Note 3 6" xfId="3426" xr:uid="{00000000-0005-0000-0000-0000AB1F0000}"/>
    <cellStyle name="Note 3 6 2" xfId="5063" xr:uid="{00000000-0005-0000-0000-0000AC1F0000}"/>
    <cellStyle name="Note 3 6 3" xfId="8437" xr:uid="{00000000-0005-0000-0000-0000AD1F0000}"/>
    <cellStyle name="Note 3 7" xfId="3813" xr:uid="{00000000-0005-0000-0000-0000AE1F0000}"/>
    <cellStyle name="Note 3 7 2" xfId="6200" xr:uid="{00000000-0005-0000-0000-0000AF1F0000}"/>
    <cellStyle name="Note 3 7 3" xfId="8724" xr:uid="{00000000-0005-0000-0000-0000B01F0000}"/>
    <cellStyle name="Note 3 8" xfId="4577" xr:uid="{00000000-0005-0000-0000-0000B11F0000}"/>
    <cellStyle name="Note 3 9" xfId="7968" xr:uid="{00000000-0005-0000-0000-0000B21F0000}"/>
    <cellStyle name="Note 4" xfId="3000" xr:uid="{00000000-0005-0000-0000-0000B31F0000}"/>
    <cellStyle name="Note 4 2" xfId="3435" xr:uid="{00000000-0005-0000-0000-0000B41F0000}"/>
    <cellStyle name="Note 4 2 2" xfId="3436" xr:uid="{00000000-0005-0000-0000-0000B51F0000}"/>
    <cellStyle name="Note 4 2 2 2" xfId="5073" xr:uid="{00000000-0005-0000-0000-0000B61F0000}"/>
    <cellStyle name="Note 4 2 2 3" xfId="8447" xr:uid="{00000000-0005-0000-0000-0000B71F0000}"/>
    <cellStyle name="Note 4 2 3" xfId="3437" xr:uid="{00000000-0005-0000-0000-0000B81F0000}"/>
    <cellStyle name="Note 4 2 3 2" xfId="5074" xr:uid="{00000000-0005-0000-0000-0000B91F0000}"/>
    <cellStyle name="Note 4 2 3 3" xfId="8448" xr:uid="{00000000-0005-0000-0000-0000BA1F0000}"/>
    <cellStyle name="Note 4 2 4" xfId="3438" xr:uid="{00000000-0005-0000-0000-0000BB1F0000}"/>
    <cellStyle name="Note 4 2 4 2" xfId="5075" xr:uid="{00000000-0005-0000-0000-0000BC1F0000}"/>
    <cellStyle name="Note 4 2 4 3" xfId="8449" xr:uid="{00000000-0005-0000-0000-0000BD1F0000}"/>
    <cellStyle name="Note 4 2 5" xfId="5072" xr:uid="{00000000-0005-0000-0000-0000BE1F0000}"/>
    <cellStyle name="Note 4 2 6" xfId="8446" xr:uid="{00000000-0005-0000-0000-0000BF1F0000}"/>
    <cellStyle name="Note 4 3" xfId="3439" xr:uid="{00000000-0005-0000-0000-0000C01F0000}"/>
    <cellStyle name="Note 4 3 2" xfId="5076" xr:uid="{00000000-0005-0000-0000-0000C11F0000}"/>
    <cellStyle name="Note 4 3 3" xfId="8450" xr:uid="{00000000-0005-0000-0000-0000C21F0000}"/>
    <cellStyle name="Note 4 4" xfId="3440" xr:uid="{00000000-0005-0000-0000-0000C31F0000}"/>
    <cellStyle name="Note 4 4 2" xfId="5077" xr:uid="{00000000-0005-0000-0000-0000C41F0000}"/>
    <cellStyle name="Note 4 4 3" xfId="8451" xr:uid="{00000000-0005-0000-0000-0000C51F0000}"/>
    <cellStyle name="Note 4 5" xfId="3441" xr:uid="{00000000-0005-0000-0000-0000C61F0000}"/>
    <cellStyle name="Note 4 5 2" xfId="5078" xr:uid="{00000000-0005-0000-0000-0000C71F0000}"/>
    <cellStyle name="Note 4 5 3" xfId="8452" xr:uid="{00000000-0005-0000-0000-0000C81F0000}"/>
    <cellStyle name="Note 4 6" xfId="3434" xr:uid="{00000000-0005-0000-0000-0000C91F0000}"/>
    <cellStyle name="Note 4 6 2" xfId="5071" xr:uid="{00000000-0005-0000-0000-0000CA1F0000}"/>
    <cellStyle name="Note 4 6 3" xfId="8445" xr:uid="{00000000-0005-0000-0000-0000CB1F0000}"/>
    <cellStyle name="Note 4 7" xfId="4662" xr:uid="{00000000-0005-0000-0000-0000CC1F0000}"/>
    <cellStyle name="Note 4 8" xfId="8056" xr:uid="{00000000-0005-0000-0000-0000CD1F0000}"/>
    <cellStyle name="Note 5" xfId="3442" xr:uid="{00000000-0005-0000-0000-0000CE1F0000}"/>
    <cellStyle name="Note 5 2" xfId="3443" xr:uid="{00000000-0005-0000-0000-0000CF1F0000}"/>
    <cellStyle name="Note 5 2 2" xfId="3444" xr:uid="{00000000-0005-0000-0000-0000D01F0000}"/>
    <cellStyle name="Note 5 2 2 2" xfId="5081" xr:uid="{00000000-0005-0000-0000-0000D11F0000}"/>
    <cellStyle name="Note 5 2 2 3" xfId="8455" xr:uid="{00000000-0005-0000-0000-0000D21F0000}"/>
    <cellStyle name="Note 5 2 3" xfId="3445" xr:uid="{00000000-0005-0000-0000-0000D31F0000}"/>
    <cellStyle name="Note 5 2 3 2" xfId="5082" xr:uid="{00000000-0005-0000-0000-0000D41F0000}"/>
    <cellStyle name="Note 5 2 3 3" xfId="8456" xr:uid="{00000000-0005-0000-0000-0000D51F0000}"/>
    <cellStyle name="Note 5 2 4" xfId="3446" xr:uid="{00000000-0005-0000-0000-0000D61F0000}"/>
    <cellStyle name="Note 5 2 4 2" xfId="5083" xr:uid="{00000000-0005-0000-0000-0000D71F0000}"/>
    <cellStyle name="Note 5 2 4 3" xfId="8457" xr:uid="{00000000-0005-0000-0000-0000D81F0000}"/>
    <cellStyle name="Note 5 2 5" xfId="5080" xr:uid="{00000000-0005-0000-0000-0000D91F0000}"/>
    <cellStyle name="Note 5 2 6" xfId="8454" xr:uid="{00000000-0005-0000-0000-0000DA1F0000}"/>
    <cellStyle name="Note 5 3" xfId="3447" xr:uid="{00000000-0005-0000-0000-0000DB1F0000}"/>
    <cellStyle name="Note 5 3 2" xfId="5084" xr:uid="{00000000-0005-0000-0000-0000DC1F0000}"/>
    <cellStyle name="Note 5 3 3" xfId="8458" xr:uid="{00000000-0005-0000-0000-0000DD1F0000}"/>
    <cellStyle name="Note 5 4" xfId="3448" xr:uid="{00000000-0005-0000-0000-0000DE1F0000}"/>
    <cellStyle name="Note 5 4 2" xfId="5085" xr:uid="{00000000-0005-0000-0000-0000DF1F0000}"/>
    <cellStyle name="Note 5 4 3" xfId="8459" xr:uid="{00000000-0005-0000-0000-0000E01F0000}"/>
    <cellStyle name="Note 5 5" xfId="3449" xr:uid="{00000000-0005-0000-0000-0000E11F0000}"/>
    <cellStyle name="Note 5 5 2" xfId="5086" xr:uid="{00000000-0005-0000-0000-0000E21F0000}"/>
    <cellStyle name="Note 5 5 3" xfId="8460" xr:uid="{00000000-0005-0000-0000-0000E31F0000}"/>
    <cellStyle name="Note 5 6" xfId="5079" xr:uid="{00000000-0005-0000-0000-0000E41F0000}"/>
    <cellStyle name="Note 5 7" xfId="8453" xr:uid="{00000000-0005-0000-0000-0000E51F0000}"/>
    <cellStyle name="Note 6" xfId="3450" xr:uid="{00000000-0005-0000-0000-0000E61F0000}"/>
    <cellStyle name="Note 6 2" xfId="3451" xr:uid="{00000000-0005-0000-0000-0000E71F0000}"/>
    <cellStyle name="Note 6 2 2" xfId="5088" xr:uid="{00000000-0005-0000-0000-0000E81F0000}"/>
    <cellStyle name="Note 6 2 3" xfId="8462" xr:uid="{00000000-0005-0000-0000-0000E91F0000}"/>
    <cellStyle name="Note 6 3" xfId="3452" xr:uid="{00000000-0005-0000-0000-0000EA1F0000}"/>
    <cellStyle name="Note 6 3 2" xfId="5089" xr:uid="{00000000-0005-0000-0000-0000EB1F0000}"/>
    <cellStyle name="Note 6 3 3" xfId="8463" xr:uid="{00000000-0005-0000-0000-0000EC1F0000}"/>
    <cellStyle name="Note 6 4" xfId="3453" xr:uid="{00000000-0005-0000-0000-0000ED1F0000}"/>
    <cellStyle name="Note 6 4 2" xfId="5090" xr:uid="{00000000-0005-0000-0000-0000EE1F0000}"/>
    <cellStyle name="Note 6 4 3" xfId="8464" xr:uid="{00000000-0005-0000-0000-0000EF1F0000}"/>
    <cellStyle name="Note 6 5" xfId="5087" xr:uid="{00000000-0005-0000-0000-0000F01F0000}"/>
    <cellStyle name="Note 6 6" xfId="8461" xr:uid="{00000000-0005-0000-0000-0000F11F0000}"/>
    <cellStyle name="Note 7" xfId="3454" xr:uid="{00000000-0005-0000-0000-0000F21F0000}"/>
    <cellStyle name="Note 7 2" xfId="3455" xr:uid="{00000000-0005-0000-0000-0000F31F0000}"/>
    <cellStyle name="Note 7 2 2" xfId="5092" xr:uid="{00000000-0005-0000-0000-0000F41F0000}"/>
    <cellStyle name="Note 7 2 3" xfId="8466" xr:uid="{00000000-0005-0000-0000-0000F51F0000}"/>
    <cellStyle name="Note 7 3" xfId="3456" xr:uid="{00000000-0005-0000-0000-0000F61F0000}"/>
    <cellStyle name="Note 7 3 2" xfId="5093" xr:uid="{00000000-0005-0000-0000-0000F71F0000}"/>
    <cellStyle name="Note 7 3 3" xfId="8467" xr:uid="{00000000-0005-0000-0000-0000F81F0000}"/>
    <cellStyle name="Note 7 4" xfId="3457" xr:uid="{00000000-0005-0000-0000-0000F91F0000}"/>
    <cellStyle name="Note 7 4 2" xfId="5094" xr:uid="{00000000-0005-0000-0000-0000FA1F0000}"/>
    <cellStyle name="Note 7 4 3" xfId="8468" xr:uid="{00000000-0005-0000-0000-0000FB1F0000}"/>
    <cellStyle name="Note 7 5" xfId="5091" xr:uid="{00000000-0005-0000-0000-0000FC1F0000}"/>
    <cellStyle name="Note 7 6" xfId="8465" xr:uid="{00000000-0005-0000-0000-0000FD1F0000}"/>
    <cellStyle name="Note 8" xfId="3458" xr:uid="{00000000-0005-0000-0000-0000FE1F0000}"/>
    <cellStyle name="Note 8 2" xfId="3459" xr:uid="{00000000-0005-0000-0000-0000FF1F0000}"/>
    <cellStyle name="Note 8 2 2" xfId="5096" xr:uid="{00000000-0005-0000-0000-000000200000}"/>
    <cellStyle name="Note 8 2 3" xfId="8470" xr:uid="{00000000-0005-0000-0000-000001200000}"/>
    <cellStyle name="Note 8 3" xfId="3460" xr:uid="{00000000-0005-0000-0000-000002200000}"/>
    <cellStyle name="Note 8 3 2" xfId="5097" xr:uid="{00000000-0005-0000-0000-000003200000}"/>
    <cellStyle name="Note 8 3 3" xfId="8471" xr:uid="{00000000-0005-0000-0000-000004200000}"/>
    <cellStyle name="Note 8 4" xfId="3461" xr:uid="{00000000-0005-0000-0000-000005200000}"/>
    <cellStyle name="Note 8 4 2" xfId="5098" xr:uid="{00000000-0005-0000-0000-000006200000}"/>
    <cellStyle name="Note 8 4 3" xfId="8472" xr:uid="{00000000-0005-0000-0000-000007200000}"/>
    <cellStyle name="Note 8 5" xfId="5095" xr:uid="{00000000-0005-0000-0000-000008200000}"/>
    <cellStyle name="Note 8 6" xfId="8469" xr:uid="{00000000-0005-0000-0000-000009200000}"/>
    <cellStyle name="Note 9" xfId="3462" xr:uid="{00000000-0005-0000-0000-00000A200000}"/>
    <cellStyle name="Note 9 2" xfId="5099" xr:uid="{00000000-0005-0000-0000-00000B200000}"/>
    <cellStyle name="Note 9 3" xfId="8473"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11" xfId="760" xr:uid="{00000000-0005-0000-0000-000013200000}"/>
    <cellStyle name="OE_ConteudoNumero" xfId="761" xr:uid="{00000000-0005-0000-0000-000014200000}"/>
    <cellStyle name="OE_Fonte_limite" xfId="762" xr:uid="{00000000-0005-0000-0000-000015200000}"/>
    <cellStyle name="OE_LegQuadro" xfId="763" xr:uid="{00000000-0005-0000-0000-000016200000}"/>
    <cellStyle name="OE_TituloIndice" xfId="764" xr:uid="{00000000-0005-0000-0000-000017200000}"/>
    <cellStyle name="OE_unidades" xfId="765" xr:uid="{00000000-0005-0000-0000-000018200000}"/>
    <cellStyle name="Opis" xfId="766" xr:uid="{00000000-0005-0000-0000-000019200000}"/>
    <cellStyle name="Output" xfId="767" xr:uid="{00000000-0005-0000-0000-00001A200000}"/>
    <cellStyle name="Output 10" xfId="3464" xr:uid="{00000000-0005-0000-0000-00001B200000}"/>
    <cellStyle name="Output 10 2" xfId="5101" xr:uid="{00000000-0005-0000-0000-00001C200000}"/>
    <cellStyle name="Output 10 3" xfId="8475" xr:uid="{00000000-0005-0000-0000-00001D200000}"/>
    <cellStyle name="Output 11" xfId="3465" xr:uid="{00000000-0005-0000-0000-00001E200000}"/>
    <cellStyle name="Output 11 2" xfId="5102" xr:uid="{00000000-0005-0000-0000-00001F200000}"/>
    <cellStyle name="Output 11 3" xfId="8476" xr:uid="{00000000-0005-0000-0000-000020200000}"/>
    <cellStyle name="Output 12" xfId="3466" xr:uid="{00000000-0005-0000-0000-000021200000}"/>
    <cellStyle name="Output 12 2" xfId="5103" xr:uid="{00000000-0005-0000-0000-000022200000}"/>
    <cellStyle name="Output 12 3" xfId="8477" xr:uid="{00000000-0005-0000-0000-000023200000}"/>
    <cellStyle name="Output 13" xfId="3463" xr:uid="{00000000-0005-0000-0000-000024200000}"/>
    <cellStyle name="Output 13 2" xfId="5100" xr:uid="{00000000-0005-0000-0000-000025200000}"/>
    <cellStyle name="Output 13 3" xfId="8474" xr:uid="{00000000-0005-0000-0000-000026200000}"/>
    <cellStyle name="Output 14" xfId="4487" xr:uid="{00000000-0005-0000-0000-000027200000}"/>
    <cellStyle name="Output 15" xfId="7375" xr:uid="{00000000-0005-0000-0000-000028200000}"/>
    <cellStyle name="Output 16" xfId="2135" xr:uid="{00000000-0005-0000-0000-000029200000}"/>
    <cellStyle name="Output 2" xfId="768" xr:uid="{00000000-0005-0000-0000-00002A200000}"/>
    <cellStyle name="Output 2 10" xfId="1134" xr:uid="{00000000-0005-0000-0000-00002B200000}"/>
    <cellStyle name="Output 2 2" xfId="3468" xr:uid="{00000000-0005-0000-0000-00002C200000}"/>
    <cellStyle name="Output 2 2 2" xfId="3469" xr:uid="{00000000-0005-0000-0000-00002D200000}"/>
    <cellStyle name="Output 2 2 2 2" xfId="5106" xr:uid="{00000000-0005-0000-0000-00002E200000}"/>
    <cellStyle name="Output 2 2 2 3" xfId="8480" xr:uid="{00000000-0005-0000-0000-00002F200000}"/>
    <cellStyle name="Output 2 2 3" xfId="3470" xr:uid="{00000000-0005-0000-0000-000030200000}"/>
    <cellStyle name="Output 2 2 3 2" xfId="5107" xr:uid="{00000000-0005-0000-0000-000031200000}"/>
    <cellStyle name="Output 2 2 3 3" xfId="8481" xr:uid="{00000000-0005-0000-0000-000032200000}"/>
    <cellStyle name="Output 2 2 4" xfId="3471" xr:uid="{00000000-0005-0000-0000-000033200000}"/>
    <cellStyle name="Output 2 2 4 2" xfId="5108" xr:uid="{00000000-0005-0000-0000-000034200000}"/>
    <cellStyle name="Output 2 2 4 3" xfId="8482" xr:uid="{00000000-0005-0000-0000-000035200000}"/>
    <cellStyle name="Output 2 2 5" xfId="5105" xr:uid="{00000000-0005-0000-0000-000036200000}"/>
    <cellStyle name="Output 2 2 6" xfId="8479" xr:uid="{00000000-0005-0000-0000-000037200000}"/>
    <cellStyle name="Output 2 3" xfId="3472" xr:uid="{00000000-0005-0000-0000-000038200000}"/>
    <cellStyle name="Output 2 3 2" xfId="5109" xr:uid="{00000000-0005-0000-0000-000039200000}"/>
    <cellStyle name="Output 2 3 3" xfId="8483" xr:uid="{00000000-0005-0000-0000-00003A200000}"/>
    <cellStyle name="Output 2 4" xfId="3473" xr:uid="{00000000-0005-0000-0000-00003B200000}"/>
    <cellStyle name="Output 2 4 2" xfId="5110" xr:uid="{00000000-0005-0000-0000-00003C200000}"/>
    <cellStyle name="Output 2 4 3" xfId="8484" xr:uid="{00000000-0005-0000-0000-00003D200000}"/>
    <cellStyle name="Output 2 5" xfId="3474" xr:uid="{00000000-0005-0000-0000-00003E200000}"/>
    <cellStyle name="Output 2 5 2" xfId="5111" xr:uid="{00000000-0005-0000-0000-00003F200000}"/>
    <cellStyle name="Output 2 5 3" xfId="8485" xr:uid="{00000000-0005-0000-0000-000040200000}"/>
    <cellStyle name="Output 2 6" xfId="3579" xr:uid="{00000000-0005-0000-0000-000041200000}"/>
    <cellStyle name="Output 2 6 2" xfId="5191" xr:uid="{00000000-0005-0000-0000-000042200000}"/>
    <cellStyle name="Output 2 6 3" xfId="8563" xr:uid="{00000000-0005-0000-0000-000043200000}"/>
    <cellStyle name="Output 2 7" xfId="3467" xr:uid="{00000000-0005-0000-0000-000044200000}"/>
    <cellStyle name="Output 2 7 2" xfId="5104" xr:uid="{00000000-0005-0000-0000-000045200000}"/>
    <cellStyle name="Output 2 7 3" xfId="8478" xr:uid="{00000000-0005-0000-0000-000046200000}"/>
    <cellStyle name="Output 2 8" xfId="4488" xr:uid="{00000000-0005-0000-0000-000047200000}"/>
    <cellStyle name="Output 2 9" xfId="6404" xr:uid="{00000000-0005-0000-0000-000048200000}"/>
    <cellStyle name="Output 3" xfId="3475" xr:uid="{00000000-0005-0000-0000-000049200000}"/>
    <cellStyle name="Output 3 2" xfId="3476" xr:uid="{00000000-0005-0000-0000-00004A200000}"/>
    <cellStyle name="Output 3 2 2" xfId="3477" xr:uid="{00000000-0005-0000-0000-00004B200000}"/>
    <cellStyle name="Output 3 2 2 2" xfId="5114" xr:uid="{00000000-0005-0000-0000-00004C200000}"/>
    <cellStyle name="Output 3 2 2 3" xfId="8488" xr:uid="{00000000-0005-0000-0000-00004D200000}"/>
    <cellStyle name="Output 3 2 3" xfId="3478" xr:uid="{00000000-0005-0000-0000-00004E200000}"/>
    <cellStyle name="Output 3 2 3 2" xfId="5115" xr:uid="{00000000-0005-0000-0000-00004F200000}"/>
    <cellStyle name="Output 3 2 3 3" xfId="8489" xr:uid="{00000000-0005-0000-0000-000050200000}"/>
    <cellStyle name="Output 3 2 4" xfId="3479" xr:uid="{00000000-0005-0000-0000-000051200000}"/>
    <cellStyle name="Output 3 2 4 2" xfId="5116" xr:uid="{00000000-0005-0000-0000-000052200000}"/>
    <cellStyle name="Output 3 2 4 3" xfId="8490" xr:uid="{00000000-0005-0000-0000-000053200000}"/>
    <cellStyle name="Output 3 2 5" xfId="5113" xr:uid="{00000000-0005-0000-0000-000054200000}"/>
    <cellStyle name="Output 3 2 6" xfId="8487" xr:uid="{00000000-0005-0000-0000-000055200000}"/>
    <cellStyle name="Output 3 3" xfId="3480" xr:uid="{00000000-0005-0000-0000-000056200000}"/>
    <cellStyle name="Output 3 3 2" xfId="5117" xr:uid="{00000000-0005-0000-0000-000057200000}"/>
    <cellStyle name="Output 3 3 3" xfId="8491" xr:uid="{00000000-0005-0000-0000-000058200000}"/>
    <cellStyle name="Output 3 4" xfId="3481" xr:uid="{00000000-0005-0000-0000-000059200000}"/>
    <cellStyle name="Output 3 4 2" xfId="5118" xr:uid="{00000000-0005-0000-0000-00005A200000}"/>
    <cellStyle name="Output 3 4 3" xfId="8492" xr:uid="{00000000-0005-0000-0000-00005B200000}"/>
    <cellStyle name="Output 3 5" xfId="3482" xr:uid="{00000000-0005-0000-0000-00005C200000}"/>
    <cellStyle name="Output 3 5 2" xfId="5119" xr:uid="{00000000-0005-0000-0000-00005D200000}"/>
    <cellStyle name="Output 3 5 3" xfId="8493" xr:uid="{00000000-0005-0000-0000-00005E200000}"/>
    <cellStyle name="Output 3 6" xfId="5112" xr:uid="{00000000-0005-0000-0000-00005F200000}"/>
    <cellStyle name="Output 3 7" xfId="8486" xr:uid="{00000000-0005-0000-0000-000060200000}"/>
    <cellStyle name="Output 4" xfId="3483" xr:uid="{00000000-0005-0000-0000-000061200000}"/>
    <cellStyle name="Output 4 2" xfId="3484" xr:uid="{00000000-0005-0000-0000-000062200000}"/>
    <cellStyle name="Output 4 2 2" xfId="3485" xr:uid="{00000000-0005-0000-0000-000063200000}"/>
    <cellStyle name="Output 4 2 2 2" xfId="5122" xr:uid="{00000000-0005-0000-0000-000064200000}"/>
    <cellStyle name="Output 4 2 2 3" xfId="8496" xr:uid="{00000000-0005-0000-0000-000065200000}"/>
    <cellStyle name="Output 4 2 3" xfId="3486" xr:uid="{00000000-0005-0000-0000-000066200000}"/>
    <cellStyle name="Output 4 2 3 2" xfId="5123" xr:uid="{00000000-0005-0000-0000-000067200000}"/>
    <cellStyle name="Output 4 2 3 3" xfId="8497" xr:uid="{00000000-0005-0000-0000-000068200000}"/>
    <cellStyle name="Output 4 2 4" xfId="3487" xr:uid="{00000000-0005-0000-0000-000069200000}"/>
    <cellStyle name="Output 4 2 4 2" xfId="5124" xr:uid="{00000000-0005-0000-0000-00006A200000}"/>
    <cellStyle name="Output 4 2 4 3" xfId="8498" xr:uid="{00000000-0005-0000-0000-00006B200000}"/>
    <cellStyle name="Output 4 2 5" xfId="5121" xr:uid="{00000000-0005-0000-0000-00006C200000}"/>
    <cellStyle name="Output 4 2 6" xfId="8495" xr:uid="{00000000-0005-0000-0000-00006D200000}"/>
    <cellStyle name="Output 4 3" xfId="3488" xr:uid="{00000000-0005-0000-0000-00006E200000}"/>
    <cellStyle name="Output 4 3 2" xfId="5125" xr:uid="{00000000-0005-0000-0000-00006F200000}"/>
    <cellStyle name="Output 4 3 3" xfId="8499" xr:uid="{00000000-0005-0000-0000-000070200000}"/>
    <cellStyle name="Output 4 4" xfId="3489" xr:uid="{00000000-0005-0000-0000-000071200000}"/>
    <cellStyle name="Output 4 4 2" xfId="5126" xr:uid="{00000000-0005-0000-0000-000072200000}"/>
    <cellStyle name="Output 4 4 3" xfId="8500" xr:uid="{00000000-0005-0000-0000-000073200000}"/>
    <cellStyle name="Output 4 5" xfId="3490" xr:uid="{00000000-0005-0000-0000-000074200000}"/>
    <cellStyle name="Output 4 5 2" xfId="5127" xr:uid="{00000000-0005-0000-0000-000075200000}"/>
    <cellStyle name="Output 4 5 3" xfId="8501" xr:uid="{00000000-0005-0000-0000-000076200000}"/>
    <cellStyle name="Output 4 6" xfId="5120" xr:uid="{00000000-0005-0000-0000-000077200000}"/>
    <cellStyle name="Output 4 7" xfId="8494" xr:uid="{00000000-0005-0000-0000-000078200000}"/>
    <cellStyle name="Output 5" xfId="3491" xr:uid="{00000000-0005-0000-0000-000079200000}"/>
    <cellStyle name="Output 5 2" xfId="3492" xr:uid="{00000000-0005-0000-0000-00007A200000}"/>
    <cellStyle name="Output 5 2 2" xfId="5129" xr:uid="{00000000-0005-0000-0000-00007B200000}"/>
    <cellStyle name="Output 5 2 3" xfId="8503" xr:uid="{00000000-0005-0000-0000-00007C200000}"/>
    <cellStyle name="Output 5 3" xfId="3493" xr:uid="{00000000-0005-0000-0000-00007D200000}"/>
    <cellStyle name="Output 5 3 2" xfId="5130" xr:uid="{00000000-0005-0000-0000-00007E200000}"/>
    <cellStyle name="Output 5 3 3" xfId="8504" xr:uid="{00000000-0005-0000-0000-00007F200000}"/>
    <cellStyle name="Output 5 4" xfId="3494" xr:uid="{00000000-0005-0000-0000-000080200000}"/>
    <cellStyle name="Output 5 4 2" xfId="5131" xr:uid="{00000000-0005-0000-0000-000081200000}"/>
    <cellStyle name="Output 5 4 3" xfId="8505" xr:uid="{00000000-0005-0000-0000-000082200000}"/>
    <cellStyle name="Output 5 5" xfId="5128" xr:uid="{00000000-0005-0000-0000-000083200000}"/>
    <cellStyle name="Output 5 6" xfId="8502" xr:uid="{00000000-0005-0000-0000-000084200000}"/>
    <cellStyle name="Output 6" xfId="3495" xr:uid="{00000000-0005-0000-0000-000085200000}"/>
    <cellStyle name="Output 6 2" xfId="3496" xr:uid="{00000000-0005-0000-0000-000086200000}"/>
    <cellStyle name="Output 6 2 2" xfId="5133" xr:uid="{00000000-0005-0000-0000-000087200000}"/>
    <cellStyle name="Output 6 2 3" xfId="8507" xr:uid="{00000000-0005-0000-0000-000088200000}"/>
    <cellStyle name="Output 6 3" xfId="3497" xr:uid="{00000000-0005-0000-0000-000089200000}"/>
    <cellStyle name="Output 6 3 2" xfId="5134" xr:uid="{00000000-0005-0000-0000-00008A200000}"/>
    <cellStyle name="Output 6 3 3" xfId="8508" xr:uid="{00000000-0005-0000-0000-00008B200000}"/>
    <cellStyle name="Output 6 4" xfId="3498" xr:uid="{00000000-0005-0000-0000-00008C200000}"/>
    <cellStyle name="Output 6 4 2" xfId="5135" xr:uid="{00000000-0005-0000-0000-00008D200000}"/>
    <cellStyle name="Output 6 4 3" xfId="8509" xr:uid="{00000000-0005-0000-0000-00008E200000}"/>
    <cellStyle name="Output 6 5" xfId="5132" xr:uid="{00000000-0005-0000-0000-00008F200000}"/>
    <cellStyle name="Output 6 6" xfId="8506" xr:uid="{00000000-0005-0000-0000-000090200000}"/>
    <cellStyle name="Output 7" xfId="3499" xr:uid="{00000000-0005-0000-0000-000091200000}"/>
    <cellStyle name="Output 7 2" xfId="3500" xr:uid="{00000000-0005-0000-0000-000092200000}"/>
    <cellStyle name="Output 7 2 2" xfId="5137" xr:uid="{00000000-0005-0000-0000-000093200000}"/>
    <cellStyle name="Output 7 2 3" xfId="8511" xr:uid="{00000000-0005-0000-0000-000094200000}"/>
    <cellStyle name="Output 7 3" xfId="3501" xr:uid="{00000000-0005-0000-0000-000095200000}"/>
    <cellStyle name="Output 7 3 2" xfId="5138" xr:uid="{00000000-0005-0000-0000-000096200000}"/>
    <cellStyle name="Output 7 3 3" xfId="8512" xr:uid="{00000000-0005-0000-0000-000097200000}"/>
    <cellStyle name="Output 7 4" xfId="3502" xr:uid="{00000000-0005-0000-0000-000098200000}"/>
    <cellStyle name="Output 7 4 2" xfId="5139" xr:uid="{00000000-0005-0000-0000-000099200000}"/>
    <cellStyle name="Output 7 4 3" xfId="8513" xr:uid="{00000000-0005-0000-0000-00009A200000}"/>
    <cellStyle name="Output 7 5" xfId="5136" xr:uid="{00000000-0005-0000-0000-00009B200000}"/>
    <cellStyle name="Output 7 6" xfId="8510" xr:uid="{00000000-0005-0000-0000-00009C200000}"/>
    <cellStyle name="Output 8" xfId="3503" xr:uid="{00000000-0005-0000-0000-00009D200000}"/>
    <cellStyle name="Output 8 2" xfId="3504" xr:uid="{00000000-0005-0000-0000-00009E200000}"/>
    <cellStyle name="Output 8 2 2" xfId="5141" xr:uid="{00000000-0005-0000-0000-00009F200000}"/>
    <cellStyle name="Output 8 2 3" xfId="8515" xr:uid="{00000000-0005-0000-0000-0000A0200000}"/>
    <cellStyle name="Output 8 3" xfId="3505" xr:uid="{00000000-0005-0000-0000-0000A1200000}"/>
    <cellStyle name="Output 8 3 2" xfId="5142" xr:uid="{00000000-0005-0000-0000-0000A2200000}"/>
    <cellStyle name="Output 8 3 3" xfId="8516" xr:uid="{00000000-0005-0000-0000-0000A3200000}"/>
    <cellStyle name="Output 8 4" xfId="3506" xr:uid="{00000000-0005-0000-0000-0000A4200000}"/>
    <cellStyle name="Output 8 4 2" xfId="5143" xr:uid="{00000000-0005-0000-0000-0000A5200000}"/>
    <cellStyle name="Output 8 4 3" xfId="8517" xr:uid="{00000000-0005-0000-0000-0000A6200000}"/>
    <cellStyle name="Output 8 5" xfId="5140" xr:uid="{00000000-0005-0000-0000-0000A7200000}"/>
    <cellStyle name="Output 8 6" xfId="8514" xr:uid="{00000000-0005-0000-0000-0000A8200000}"/>
    <cellStyle name="Output 9" xfId="3507" xr:uid="{00000000-0005-0000-0000-0000A9200000}"/>
    <cellStyle name="Output 9 2" xfId="3508" xr:uid="{00000000-0005-0000-0000-0000AA200000}"/>
    <cellStyle name="Output 9 2 2" xfId="5145" xr:uid="{00000000-0005-0000-0000-0000AB200000}"/>
    <cellStyle name="Output 9 2 3" xfId="8519" xr:uid="{00000000-0005-0000-0000-0000AC200000}"/>
    <cellStyle name="Output 9 3" xfId="3509" xr:uid="{00000000-0005-0000-0000-0000AD200000}"/>
    <cellStyle name="Output 9 3 2" xfId="5146" xr:uid="{00000000-0005-0000-0000-0000AE200000}"/>
    <cellStyle name="Output 9 3 3" xfId="8520" xr:uid="{00000000-0005-0000-0000-0000AF200000}"/>
    <cellStyle name="Output 9 4" xfId="3510" xr:uid="{00000000-0005-0000-0000-0000B0200000}"/>
    <cellStyle name="Output 9 4 2" xfId="5147" xr:uid="{00000000-0005-0000-0000-0000B1200000}"/>
    <cellStyle name="Output 9 4 3" xfId="8521" xr:uid="{00000000-0005-0000-0000-0000B2200000}"/>
    <cellStyle name="Output 9 5" xfId="5144" xr:uid="{00000000-0005-0000-0000-0000B3200000}"/>
    <cellStyle name="Output 9 6" xfId="8518" xr:uid="{00000000-0005-0000-0000-0000B4200000}"/>
    <cellStyle name="pequeno" xfId="769" xr:uid="{00000000-0005-0000-0000-0000B5200000}"/>
    <cellStyle name="PERCENT" xfId="770" xr:uid="{00000000-0005-0000-0000-0000B6200000}"/>
    <cellStyle name="Percent [2]" xfId="771" xr:uid="{00000000-0005-0000-0000-0000B7200000}"/>
    <cellStyle name="Percent 2" xfId="772" xr:uid="{00000000-0005-0000-0000-0000B8200000}"/>
    <cellStyle name="Percent 2 10" xfId="773" xr:uid="{00000000-0005-0000-0000-0000B9200000}"/>
    <cellStyle name="Percent 2 10 2" xfId="8787" xr:uid="{00000000-0005-0000-0000-0000BA200000}"/>
    <cellStyle name="Percent 2 11" xfId="774" xr:uid="{00000000-0005-0000-0000-0000BB200000}"/>
    <cellStyle name="Percent 2 11 2" xfId="3511" xr:uid="{00000000-0005-0000-0000-0000BC200000}"/>
    <cellStyle name="Percent 2 12" xfId="775" xr:uid="{00000000-0005-0000-0000-0000BD200000}"/>
    <cellStyle name="Percent 2 13" xfId="776" xr:uid="{00000000-0005-0000-0000-0000BE200000}"/>
    <cellStyle name="Percent 2 14" xfId="777" xr:uid="{00000000-0005-0000-0000-0000BF200000}"/>
    <cellStyle name="Percent 2 15" xfId="778" xr:uid="{00000000-0005-0000-0000-0000C0200000}"/>
    <cellStyle name="Percent 2 16" xfId="779" xr:uid="{00000000-0005-0000-0000-0000C1200000}"/>
    <cellStyle name="Percent 2 17" xfId="780" xr:uid="{00000000-0005-0000-0000-0000C2200000}"/>
    <cellStyle name="Percent 2 18" xfId="781" xr:uid="{00000000-0005-0000-0000-0000C3200000}"/>
    <cellStyle name="Percent 2 2" xfId="782" xr:uid="{00000000-0005-0000-0000-0000C4200000}"/>
    <cellStyle name="Percent 2 2 2" xfId="783" xr:uid="{00000000-0005-0000-0000-0000C5200000}"/>
    <cellStyle name="Percent 2 2 2 2" xfId="8788" xr:uid="{00000000-0005-0000-0000-0000C6200000}"/>
    <cellStyle name="Percent 2 2 2 3" xfId="3513" xr:uid="{00000000-0005-0000-0000-0000C7200000}"/>
    <cellStyle name="Percent 2 2 3" xfId="8789" xr:uid="{00000000-0005-0000-0000-0000C8200000}"/>
    <cellStyle name="Percent 2 2 4" xfId="3512" xr:uid="{00000000-0005-0000-0000-0000C9200000}"/>
    <cellStyle name="Percent 2 3" xfId="784" xr:uid="{00000000-0005-0000-0000-0000CA200000}"/>
    <cellStyle name="Percent 2 3 2" xfId="785" xr:uid="{00000000-0005-0000-0000-0000CB200000}"/>
    <cellStyle name="Percent 2 3 2 2" xfId="8790" xr:uid="{00000000-0005-0000-0000-0000CC200000}"/>
    <cellStyle name="Percent 2 3 2 3" xfId="3515" xr:uid="{00000000-0005-0000-0000-0000CD200000}"/>
    <cellStyle name="Percent 2 3 3" xfId="3514" xr:uid="{00000000-0005-0000-0000-0000CE200000}"/>
    <cellStyle name="Percent 2 4" xfId="786" xr:uid="{00000000-0005-0000-0000-0000CF200000}"/>
    <cellStyle name="Percent 2 4 2" xfId="3517" xr:uid="{00000000-0005-0000-0000-0000D0200000}"/>
    <cellStyle name="Percent 2 4 2 2" xfId="8791" xr:uid="{00000000-0005-0000-0000-0000D1200000}"/>
    <cellStyle name="Percent 2 4 3" xfId="8792" xr:uid="{00000000-0005-0000-0000-0000D2200000}"/>
    <cellStyle name="Percent 2 4 4" xfId="3516" xr:uid="{00000000-0005-0000-0000-0000D3200000}"/>
    <cellStyle name="Percent 2 5" xfId="787" xr:uid="{00000000-0005-0000-0000-0000D4200000}"/>
    <cellStyle name="Percent 2 5 2" xfId="8793" xr:uid="{00000000-0005-0000-0000-0000D5200000}"/>
    <cellStyle name="Percent 2 5 3" xfId="3518" xr:uid="{00000000-0005-0000-0000-0000D6200000}"/>
    <cellStyle name="Percent 2 6" xfId="788" xr:uid="{00000000-0005-0000-0000-0000D7200000}"/>
    <cellStyle name="Percent 2 6 2" xfId="8794" xr:uid="{00000000-0005-0000-0000-0000D8200000}"/>
    <cellStyle name="Percent 2 6 3" xfId="3519" xr:uid="{00000000-0005-0000-0000-0000D9200000}"/>
    <cellStyle name="Percent 2 7" xfId="789" xr:uid="{00000000-0005-0000-0000-0000DA200000}"/>
    <cellStyle name="Percent 2 7 2" xfId="790" xr:uid="{00000000-0005-0000-0000-0000DB200000}"/>
    <cellStyle name="Percent 2 7 2 2" xfId="791" xr:uid="{00000000-0005-0000-0000-0000DC200000}"/>
    <cellStyle name="Percent 2 7 2 3" xfId="792" xr:uid="{00000000-0005-0000-0000-0000DD200000}"/>
    <cellStyle name="Percent 2 7 2 4" xfId="793" xr:uid="{00000000-0005-0000-0000-0000DE200000}"/>
    <cellStyle name="Percent 2 7 3" xfId="794" xr:uid="{00000000-0005-0000-0000-0000DF200000}"/>
    <cellStyle name="Percent 2 7 4" xfId="795" xr:uid="{00000000-0005-0000-0000-0000E0200000}"/>
    <cellStyle name="Percent 2 8" xfId="796" xr:uid="{00000000-0005-0000-0000-0000E1200000}"/>
    <cellStyle name="Percent 2 8 2" xfId="8795" xr:uid="{00000000-0005-0000-0000-0000E2200000}"/>
    <cellStyle name="Percent 2 8 3" xfId="3520" xr:uid="{00000000-0005-0000-0000-0000E3200000}"/>
    <cellStyle name="Percent 2 9" xfId="797" xr:uid="{00000000-0005-0000-0000-0000E4200000}"/>
    <cellStyle name="Percent 2 9 2" xfId="8796" xr:uid="{00000000-0005-0000-0000-0000E5200000}"/>
    <cellStyle name="Percent 3" xfId="798" xr:uid="{00000000-0005-0000-0000-0000E6200000}"/>
    <cellStyle name="Percent 3 2" xfId="799" xr:uid="{00000000-0005-0000-0000-0000E7200000}"/>
    <cellStyle name="Percent 3 3" xfId="3521" xr:uid="{00000000-0005-0000-0000-0000E8200000}"/>
    <cellStyle name="Percent 4" xfId="800" xr:uid="{00000000-0005-0000-0000-0000E9200000}"/>
    <cellStyle name="Percent 4 2" xfId="3522" xr:uid="{00000000-0005-0000-0000-0000EA200000}"/>
    <cellStyle name="Percent 5" xfId="801" xr:uid="{00000000-0005-0000-0000-0000EB200000}"/>
    <cellStyle name="Percent 5 2" xfId="8553" xr:uid="{00000000-0005-0000-0000-0000EC200000}"/>
    <cellStyle name="Percent 5 3" xfId="3565" xr:uid="{00000000-0005-0000-0000-0000ED200000}"/>
    <cellStyle name="Percent 56" xfId="2556" xr:uid="{00000000-0005-0000-0000-0000EE200000}"/>
    <cellStyle name="Percent 6" xfId="802" xr:uid="{00000000-0005-0000-0000-0000EF200000}"/>
    <cellStyle name="Percent 6 2" xfId="8131" xr:uid="{00000000-0005-0000-0000-0000F0200000}"/>
    <cellStyle name="Percent 7" xfId="803" xr:uid="{00000000-0005-0000-0000-0000F1200000}"/>
    <cellStyle name="Percent 8" xfId="804" xr:uid="{00000000-0005-0000-0000-0000F2200000}"/>
    <cellStyle name="Percent 9" xfId="3075" xr:uid="{00000000-0005-0000-0000-0000F3200000}"/>
    <cellStyle name="Percentagem" xfId="805" builtinId="5"/>
    <cellStyle name="Percentagem 10" xfId="806" xr:uid="{00000000-0005-0000-0000-0000F5200000}"/>
    <cellStyle name="Percentagem 11" xfId="807" xr:uid="{00000000-0005-0000-0000-0000F6200000}"/>
    <cellStyle name="Percentagem 11 2" xfId="808" xr:uid="{00000000-0005-0000-0000-0000F7200000}"/>
    <cellStyle name="Percentagem 13" xfId="809" xr:uid="{00000000-0005-0000-0000-0000F8200000}"/>
    <cellStyle name="Percentagem 2" xfId="810" xr:uid="{00000000-0005-0000-0000-0000F9200000}"/>
    <cellStyle name="Percentagem 2 10" xfId="811" xr:uid="{00000000-0005-0000-0000-0000FA200000}"/>
    <cellStyle name="Percentagem 2 11" xfId="812" xr:uid="{00000000-0005-0000-0000-0000FB200000}"/>
    <cellStyle name="Percentagem 2 12" xfId="1135" xr:uid="{00000000-0005-0000-0000-0000FC200000}"/>
    <cellStyle name="Percentagem 2 2" xfId="813" xr:uid="{00000000-0005-0000-0000-0000FD200000}"/>
    <cellStyle name="Percentagem 2 2 2" xfId="1638" xr:uid="{00000000-0005-0000-0000-0000FE200000}"/>
    <cellStyle name="Percentagem 2 2 3" xfId="3523" xr:uid="{00000000-0005-0000-0000-0000FF200000}"/>
    <cellStyle name="Percentagem 2 2 4" xfId="1136" xr:uid="{00000000-0005-0000-0000-000000210000}"/>
    <cellStyle name="Percentagem 2 3" xfId="814" xr:uid="{00000000-0005-0000-0000-000001210000}"/>
    <cellStyle name="Percentagem 2 3 2" xfId="1138" xr:uid="{00000000-0005-0000-0000-000002210000}"/>
    <cellStyle name="Percentagem 2 3 2 2" xfId="1139" xr:uid="{00000000-0005-0000-0000-000003210000}"/>
    <cellStyle name="Percentagem 2 3 2 3" xfId="1140" xr:uid="{00000000-0005-0000-0000-000004210000}"/>
    <cellStyle name="Percentagem 2 3 2 4" xfId="1141" xr:uid="{00000000-0005-0000-0000-000005210000}"/>
    <cellStyle name="Percentagem 2 3 2 4 2" xfId="1142" xr:uid="{00000000-0005-0000-0000-000006210000}"/>
    <cellStyle name="Percentagem 2 3 2 4 2 2" xfId="2734" xr:uid="{00000000-0005-0000-0000-000007210000}"/>
    <cellStyle name="Percentagem 2 3 2 4 3" xfId="1143" xr:uid="{00000000-0005-0000-0000-000008210000}"/>
    <cellStyle name="Percentagem 2 3 3" xfId="1144" xr:uid="{00000000-0005-0000-0000-000009210000}"/>
    <cellStyle name="Percentagem 2 3 3 2" xfId="1145" xr:uid="{00000000-0005-0000-0000-00000A210000}"/>
    <cellStyle name="Percentagem 2 3 3 3" xfId="1146" xr:uid="{00000000-0005-0000-0000-00000B210000}"/>
    <cellStyle name="Percentagem 2 3 3 3 2" xfId="2735" xr:uid="{00000000-0005-0000-0000-00000C210000}"/>
    <cellStyle name="Percentagem 2 3 4" xfId="1147" xr:uid="{00000000-0005-0000-0000-00000D210000}"/>
    <cellStyle name="Percentagem 2 3 4 2" xfId="2736" xr:uid="{00000000-0005-0000-0000-00000E210000}"/>
    <cellStyle name="Percentagem 2 3 5" xfId="1679" xr:uid="{00000000-0005-0000-0000-00000F210000}"/>
    <cellStyle name="Percentagem 2 3 6" xfId="1137" xr:uid="{00000000-0005-0000-0000-000010210000}"/>
    <cellStyle name="Percentagem 2 4" xfId="815" xr:uid="{00000000-0005-0000-0000-000011210000}"/>
    <cellStyle name="Percentagem 2 4 2" xfId="1875" xr:uid="{00000000-0005-0000-0000-000012210000}"/>
    <cellStyle name="Percentagem 2 4 2 2" xfId="2738" xr:uid="{00000000-0005-0000-0000-000013210000}"/>
    <cellStyle name="Percentagem 2 4 2 3" xfId="7122" xr:uid="{00000000-0005-0000-0000-000014210000}"/>
    <cellStyle name="Percentagem 2 4 3" xfId="2737" xr:uid="{00000000-0005-0000-0000-000015210000}"/>
    <cellStyle name="Percentagem 2 4 3 2" xfId="3765" xr:uid="{00000000-0005-0000-0000-000016210000}"/>
    <cellStyle name="Percentagem 2 4 3 3" xfId="7924" xr:uid="{00000000-0005-0000-0000-000017210000}"/>
    <cellStyle name="Percentagem 2 4 4" xfId="3015" xr:uid="{00000000-0005-0000-0000-000018210000}"/>
    <cellStyle name="Percentagem 2 4 4 2" xfId="8071" xr:uid="{00000000-0005-0000-0000-000019210000}"/>
    <cellStyle name="Percentagem 2 4 5" xfId="3706" xr:uid="{00000000-0005-0000-0000-00001A210000}"/>
    <cellStyle name="Percentagem 2 4 6" xfId="3785" xr:uid="{00000000-0005-0000-0000-00001B210000}"/>
    <cellStyle name="Percentagem 2 4 6 2" xfId="8696" xr:uid="{00000000-0005-0000-0000-00001C210000}"/>
    <cellStyle name="Percentagem 2 4 7" xfId="2814" xr:uid="{00000000-0005-0000-0000-00001D210000}"/>
    <cellStyle name="Percentagem 2 4 8" xfId="6411" xr:uid="{00000000-0005-0000-0000-00001E210000}"/>
    <cellStyle name="Percentagem 2 4 9" xfId="1156" xr:uid="{00000000-0005-0000-0000-00001F210000}"/>
    <cellStyle name="Percentagem 2 5" xfId="816" xr:uid="{00000000-0005-0000-0000-000020210000}"/>
    <cellStyle name="Percentagem 2 5 2" xfId="2740" xr:uid="{00000000-0005-0000-0000-000021210000}"/>
    <cellStyle name="Percentagem 2 5 3" xfId="2739" xr:uid="{00000000-0005-0000-0000-000022210000}"/>
    <cellStyle name="Percentagem 2 5 3 2" xfId="7925" xr:uid="{00000000-0005-0000-0000-000023210000}"/>
    <cellStyle name="Percentagem 2 5 4" xfId="3072" xr:uid="{00000000-0005-0000-0000-000024210000}"/>
    <cellStyle name="Percentagem 2 5 4 2" xfId="8128" xr:uid="{00000000-0005-0000-0000-000025210000}"/>
    <cellStyle name="Percentagem 2 5 5" xfId="3805" xr:uid="{00000000-0005-0000-0000-000026210000}"/>
    <cellStyle name="Percentagem 2 5 5 2" xfId="8716" xr:uid="{00000000-0005-0000-0000-000027210000}"/>
    <cellStyle name="Percentagem 2 5 6" xfId="2879" xr:uid="{00000000-0005-0000-0000-000028210000}"/>
    <cellStyle name="Percentagem 2 5 7" xfId="2091" xr:uid="{00000000-0005-0000-0000-000029210000}"/>
    <cellStyle name="Percentagem 2 6" xfId="817" xr:uid="{00000000-0005-0000-0000-00002A210000}"/>
    <cellStyle name="Percentagem 2 6 2" xfId="2741" xr:uid="{00000000-0005-0000-0000-00002B210000}"/>
    <cellStyle name="Percentagem 2 6 2 2" xfId="2943" xr:uid="{00000000-0005-0000-0000-00002C210000}"/>
    <cellStyle name="Percentagem 2 6 2 2 2" xfId="7999" xr:uid="{00000000-0005-0000-0000-00002D210000}"/>
    <cellStyle name="Percentagem 2 6 2 3" xfId="3038" xr:uid="{00000000-0005-0000-0000-00002E210000}"/>
    <cellStyle name="Percentagem 2 6 2 3 2" xfId="8094" xr:uid="{00000000-0005-0000-0000-00002F210000}"/>
    <cellStyle name="Percentagem 2 6 2 4" xfId="3851" xr:uid="{00000000-0005-0000-0000-000030210000}"/>
    <cellStyle name="Percentagem 2 6 2 4 2" xfId="8762" xr:uid="{00000000-0005-0000-0000-000031210000}"/>
    <cellStyle name="Percentagem 2 6 2 5" xfId="2841" xr:uid="{00000000-0005-0000-0000-000032210000}"/>
    <cellStyle name="Percentagem 2 6 2 6" xfId="7926" xr:uid="{00000000-0005-0000-0000-000033210000}"/>
    <cellStyle name="Percentagem 2 6 3" xfId="2944" xr:uid="{00000000-0005-0000-0000-000034210000}"/>
    <cellStyle name="Percentagem 2 6 3 2" xfId="8000" xr:uid="{00000000-0005-0000-0000-000035210000}"/>
    <cellStyle name="Percentagem 2 6 4" xfId="3039" xr:uid="{00000000-0005-0000-0000-000036210000}"/>
    <cellStyle name="Percentagem 2 6 4 2" xfId="8095" xr:uid="{00000000-0005-0000-0000-000037210000}"/>
    <cellStyle name="Percentagem 2 6 5" xfId="3844" xr:uid="{00000000-0005-0000-0000-000038210000}"/>
    <cellStyle name="Percentagem 2 6 5 2" xfId="8755" xr:uid="{00000000-0005-0000-0000-000039210000}"/>
    <cellStyle name="Percentagem 2 6 6" xfId="2842" xr:uid="{00000000-0005-0000-0000-00003A210000}"/>
    <cellStyle name="Percentagem 2 6 7" xfId="7780" xr:uid="{00000000-0005-0000-0000-00003B210000}"/>
    <cellStyle name="Percentagem 2 6 8" xfId="2557" xr:uid="{00000000-0005-0000-0000-00003C210000}"/>
    <cellStyle name="Percentagem 2 7" xfId="818" xr:uid="{00000000-0005-0000-0000-00003D210000}"/>
    <cellStyle name="Percentagem 2 7 2" xfId="2764" xr:uid="{00000000-0005-0000-0000-00003E210000}"/>
    <cellStyle name="Percentagem 2 7 3" xfId="7362" xr:uid="{00000000-0005-0000-0000-00003F210000}"/>
    <cellStyle name="Percentagem 2 7 4" xfId="2119" xr:uid="{00000000-0005-0000-0000-000040210000}"/>
    <cellStyle name="Percentagem 2 8" xfId="819" xr:uid="{00000000-0005-0000-0000-000041210000}"/>
    <cellStyle name="Percentagem 2 9" xfId="820" xr:uid="{00000000-0005-0000-0000-000042210000}"/>
    <cellStyle name="Percentagem 3" xfId="821" xr:uid="{00000000-0005-0000-0000-000043210000}"/>
    <cellStyle name="Percentagem 3 2" xfId="822" xr:uid="{00000000-0005-0000-0000-000044210000}"/>
    <cellStyle name="Percentagem 3 2 2" xfId="2742" xr:uid="{00000000-0005-0000-0000-000045210000}"/>
    <cellStyle name="Percentagem 3 2 3" xfId="8797" xr:uid="{00000000-0005-0000-0000-000046210000}"/>
    <cellStyle name="Percentagem 3 2 4" xfId="1149" xr:uid="{00000000-0005-0000-0000-000047210000}"/>
    <cellStyle name="Percentagem 3 3" xfId="2402" xr:uid="{00000000-0005-0000-0000-000048210000}"/>
    <cellStyle name="Percentagem 3 3 2" xfId="2743" xr:uid="{00000000-0005-0000-0000-000049210000}"/>
    <cellStyle name="Percentagem 3 3 3" xfId="7632" xr:uid="{00000000-0005-0000-0000-00004A210000}"/>
    <cellStyle name="Percentagem 3 4" xfId="2765" xr:uid="{00000000-0005-0000-0000-00004B210000}"/>
    <cellStyle name="Percentagem 3 4 2" xfId="7941" xr:uid="{00000000-0005-0000-0000-00004C210000}"/>
    <cellStyle name="Percentagem 3 5" xfId="2760" xr:uid="{00000000-0005-0000-0000-00004D210000}"/>
    <cellStyle name="Percentagem 3 6" xfId="2756" xr:uid="{00000000-0005-0000-0000-00004E210000}"/>
    <cellStyle name="Percentagem 3 7" xfId="1148" xr:uid="{00000000-0005-0000-0000-00004F210000}"/>
    <cellStyle name="Percentagem 4" xfId="823" xr:uid="{00000000-0005-0000-0000-000050210000}"/>
    <cellStyle name="Percentagem 4 10" xfId="824" xr:uid="{00000000-0005-0000-0000-000051210000}"/>
    <cellStyle name="Percentagem 4 2" xfId="825" xr:uid="{00000000-0005-0000-0000-000052210000}"/>
    <cellStyle name="Percentagem 4 2 2" xfId="2745" xr:uid="{00000000-0005-0000-0000-000053210000}"/>
    <cellStyle name="Percentagem 4 2 2 2" xfId="2942" xr:uid="{00000000-0005-0000-0000-000054210000}"/>
    <cellStyle name="Percentagem 4 2 2 2 2" xfId="7998" xr:uid="{00000000-0005-0000-0000-000055210000}"/>
    <cellStyle name="Percentagem 4 2 2 3" xfId="3035" xr:uid="{00000000-0005-0000-0000-000056210000}"/>
    <cellStyle name="Percentagem 4 2 2 3 2" xfId="8091" xr:uid="{00000000-0005-0000-0000-000057210000}"/>
    <cellStyle name="Percentagem 4 2 2 4" xfId="3775" xr:uid="{00000000-0005-0000-0000-000058210000}"/>
    <cellStyle name="Percentagem 4 2 2 4 2" xfId="8686" xr:uid="{00000000-0005-0000-0000-000059210000}"/>
    <cellStyle name="Percentagem 4 2 2 5" xfId="2837" xr:uid="{00000000-0005-0000-0000-00005A210000}"/>
    <cellStyle name="Percentagem 4 2 2 6" xfId="7928" xr:uid="{00000000-0005-0000-0000-00005B210000}"/>
    <cellStyle name="Percentagem 4 2 3" xfId="2744" xr:uid="{00000000-0005-0000-0000-00005C210000}"/>
    <cellStyle name="Percentagem 4 2 3 2" xfId="7927" xr:uid="{00000000-0005-0000-0000-00005D210000}"/>
    <cellStyle name="Percentagem 4 2 4" xfId="3036" xr:uid="{00000000-0005-0000-0000-00005E210000}"/>
    <cellStyle name="Percentagem 4 2 4 2" xfId="8092" xr:uid="{00000000-0005-0000-0000-00005F210000}"/>
    <cellStyle name="Percentagem 4 2 5" xfId="3743" xr:uid="{00000000-0005-0000-0000-000060210000}"/>
    <cellStyle name="Percentagem 4 2 5 2" xfId="8657" xr:uid="{00000000-0005-0000-0000-000061210000}"/>
    <cellStyle name="Percentagem 4 2 6" xfId="2838" xr:uid="{00000000-0005-0000-0000-000062210000}"/>
    <cellStyle name="Percentagem 4 2 7" xfId="7520" xr:uid="{00000000-0005-0000-0000-000063210000}"/>
    <cellStyle name="Percentagem 4 2 8" xfId="2287" xr:uid="{00000000-0005-0000-0000-000064210000}"/>
    <cellStyle name="Percentagem 4 3" xfId="826" xr:uid="{00000000-0005-0000-0000-000065210000}"/>
    <cellStyle name="Percentagem 4 3 2" xfId="2941" xr:uid="{00000000-0005-0000-0000-000066210000}"/>
    <cellStyle name="Percentagem 4 3 2 2" xfId="7997" xr:uid="{00000000-0005-0000-0000-000067210000}"/>
    <cellStyle name="Percentagem 4 3 3" xfId="3034" xr:uid="{00000000-0005-0000-0000-000068210000}"/>
    <cellStyle name="Percentagem 4 3 3 2" xfId="8090" xr:uid="{00000000-0005-0000-0000-000069210000}"/>
    <cellStyle name="Percentagem 4 3 4" xfId="3831" xr:uid="{00000000-0005-0000-0000-00006A210000}"/>
    <cellStyle name="Percentagem 4 3 4 2" xfId="8742" xr:uid="{00000000-0005-0000-0000-00006B210000}"/>
    <cellStyle name="Percentagem 4 3 5" xfId="2836" xr:uid="{00000000-0005-0000-0000-00006C210000}"/>
    <cellStyle name="Percentagem 4 3 6" xfId="7929" xr:uid="{00000000-0005-0000-0000-00006D210000}"/>
    <cellStyle name="Percentagem 4 3 7" xfId="2746" xr:uid="{00000000-0005-0000-0000-00006E210000}"/>
    <cellStyle name="Percentagem 4 4" xfId="827" xr:uid="{00000000-0005-0000-0000-00006F210000}"/>
    <cellStyle name="Percentagem 4 5" xfId="828" xr:uid="{00000000-0005-0000-0000-000070210000}"/>
    <cellStyle name="Percentagem 4 5 2" xfId="7831" xr:uid="{00000000-0005-0000-0000-000071210000}"/>
    <cellStyle name="Percentagem 4 5 3" xfId="2614" xr:uid="{00000000-0005-0000-0000-000072210000}"/>
    <cellStyle name="Percentagem 4 6" xfId="829" xr:uid="{00000000-0005-0000-0000-000073210000}"/>
    <cellStyle name="Percentagem 4 6 2" xfId="8093" xr:uid="{00000000-0005-0000-0000-000074210000}"/>
    <cellStyle name="Percentagem 4 6 3" xfId="3037" xr:uid="{00000000-0005-0000-0000-000075210000}"/>
    <cellStyle name="Percentagem 4 7" xfId="830" xr:uid="{00000000-0005-0000-0000-000076210000}"/>
    <cellStyle name="Percentagem 4 7 2" xfId="8679" xr:uid="{00000000-0005-0000-0000-000077210000}"/>
    <cellStyle name="Percentagem 4 7 3" xfId="3767" xr:uid="{00000000-0005-0000-0000-000078210000}"/>
    <cellStyle name="Percentagem 4 8" xfId="831" xr:uid="{00000000-0005-0000-0000-000079210000}"/>
    <cellStyle name="Percentagem 4 8 2" xfId="2839" xr:uid="{00000000-0005-0000-0000-00007A210000}"/>
    <cellStyle name="Percentagem 4 9" xfId="832" xr:uid="{00000000-0005-0000-0000-00007B210000}"/>
    <cellStyle name="Percentagem 5" xfId="833" xr:uid="{00000000-0005-0000-0000-00007C210000}"/>
    <cellStyle name="Percentagem 5 10" xfId="834" xr:uid="{00000000-0005-0000-0000-00007D210000}"/>
    <cellStyle name="Percentagem 5 11" xfId="835" xr:uid="{00000000-0005-0000-0000-00007E210000}"/>
    <cellStyle name="Percentagem 5 12" xfId="836" xr:uid="{00000000-0005-0000-0000-00007F210000}"/>
    <cellStyle name="Percentagem 5 13" xfId="2660" xr:uid="{00000000-0005-0000-0000-000080210000}"/>
    <cellStyle name="Percentagem 5 2" xfId="837" xr:uid="{00000000-0005-0000-0000-000081210000}"/>
    <cellStyle name="Percentagem 5 2 2" xfId="2940" xr:uid="{00000000-0005-0000-0000-000082210000}"/>
    <cellStyle name="Percentagem 5 2 2 2" xfId="7996" xr:uid="{00000000-0005-0000-0000-000083210000}"/>
    <cellStyle name="Percentagem 5 2 3" xfId="3033" xr:uid="{00000000-0005-0000-0000-000084210000}"/>
    <cellStyle name="Percentagem 5 2 3 2" xfId="8089" xr:uid="{00000000-0005-0000-0000-000085210000}"/>
    <cellStyle name="Percentagem 5 2 4" xfId="3724" xr:uid="{00000000-0005-0000-0000-000086210000}"/>
    <cellStyle name="Percentagem 5 2 4 2" xfId="8638" xr:uid="{00000000-0005-0000-0000-000087210000}"/>
    <cellStyle name="Percentagem 5 2 5" xfId="2835" xr:uid="{00000000-0005-0000-0000-000088210000}"/>
    <cellStyle name="Percentagem 5 2 6" xfId="7930" xr:uid="{00000000-0005-0000-0000-000089210000}"/>
    <cellStyle name="Percentagem 5 3" xfId="838" xr:uid="{00000000-0005-0000-0000-00008A210000}"/>
    <cellStyle name="Percentagem 5 3 2" xfId="3524" xr:uid="{00000000-0005-0000-0000-00008B210000}"/>
    <cellStyle name="Percentagem 5 3 3" xfId="7830" xr:uid="{00000000-0005-0000-0000-00008C210000}"/>
    <cellStyle name="Percentagem 5 3 4" xfId="2613" xr:uid="{00000000-0005-0000-0000-00008D210000}"/>
    <cellStyle name="Percentagem 5 4" xfId="839" xr:uid="{00000000-0005-0000-0000-00008E210000}"/>
    <cellStyle name="Percentagem 5 4 2" xfId="2757" xr:uid="{00000000-0005-0000-0000-00008F210000}"/>
    <cellStyle name="Percentagem 5 5" xfId="840" xr:uid="{00000000-0005-0000-0000-000090210000}"/>
    <cellStyle name="Percentagem 5 5 2" xfId="7870" xr:uid="{00000000-0005-0000-0000-000091210000}"/>
    <cellStyle name="Percentagem 5 6" xfId="841" xr:uid="{00000000-0005-0000-0000-000092210000}"/>
    <cellStyle name="Percentagem 5 7" xfId="842" xr:uid="{00000000-0005-0000-0000-000093210000}"/>
    <cellStyle name="Percentagem 5 8" xfId="843" xr:uid="{00000000-0005-0000-0000-000094210000}"/>
    <cellStyle name="Percentagem 5 9" xfId="844" xr:uid="{00000000-0005-0000-0000-000095210000}"/>
    <cellStyle name="Percentagem 6" xfId="845" xr:uid="{00000000-0005-0000-0000-000096210000}"/>
    <cellStyle name="Percentagem 6 10" xfId="7843" xr:uid="{00000000-0005-0000-0000-000097210000}"/>
    <cellStyle name="Percentagem 6 11" xfId="2626" xr:uid="{00000000-0005-0000-0000-000098210000}"/>
    <cellStyle name="Percentagem 6 2" xfId="846" xr:uid="{00000000-0005-0000-0000-000099210000}"/>
    <cellStyle name="Percentagem 6 2 2" xfId="2748" xr:uid="{00000000-0005-0000-0000-00009A210000}"/>
    <cellStyle name="Percentagem 6 2 2 2" xfId="2937" xr:uid="{00000000-0005-0000-0000-00009B210000}"/>
    <cellStyle name="Percentagem 6 2 2 2 2" xfId="7993" xr:uid="{00000000-0005-0000-0000-00009C210000}"/>
    <cellStyle name="Percentagem 6 2 2 3" xfId="3030" xr:uid="{00000000-0005-0000-0000-00009D210000}"/>
    <cellStyle name="Percentagem 6 2 2 3 2" xfId="8086" xr:uid="{00000000-0005-0000-0000-00009E210000}"/>
    <cellStyle name="Percentagem 6 2 2 4" xfId="3832" xr:uid="{00000000-0005-0000-0000-00009F210000}"/>
    <cellStyle name="Percentagem 6 2 2 4 2" xfId="8743" xr:uid="{00000000-0005-0000-0000-0000A0210000}"/>
    <cellStyle name="Percentagem 6 2 2 5" xfId="2832" xr:uid="{00000000-0005-0000-0000-0000A1210000}"/>
    <cellStyle name="Percentagem 6 2 2 6" xfId="7932" xr:uid="{00000000-0005-0000-0000-0000A2210000}"/>
    <cellStyle name="Percentagem 6 2 3" xfId="2938" xr:uid="{00000000-0005-0000-0000-0000A3210000}"/>
    <cellStyle name="Percentagem 6 2 3 2" xfId="7994" xr:uid="{00000000-0005-0000-0000-0000A4210000}"/>
    <cellStyle name="Percentagem 6 2 4" xfId="3031" xr:uid="{00000000-0005-0000-0000-0000A5210000}"/>
    <cellStyle name="Percentagem 6 2 4 2" xfId="8087" xr:uid="{00000000-0005-0000-0000-0000A6210000}"/>
    <cellStyle name="Percentagem 6 2 5" xfId="3742" xr:uid="{00000000-0005-0000-0000-0000A7210000}"/>
    <cellStyle name="Percentagem 6 2 5 2" xfId="8656" xr:uid="{00000000-0005-0000-0000-0000A8210000}"/>
    <cellStyle name="Percentagem 6 2 6" xfId="2833" xr:uid="{00000000-0005-0000-0000-0000A9210000}"/>
    <cellStyle name="Percentagem 6 2 7" xfId="7931" xr:uid="{00000000-0005-0000-0000-0000AA210000}"/>
    <cellStyle name="Percentagem 6 2 8" xfId="2747" xr:uid="{00000000-0005-0000-0000-0000AB210000}"/>
    <cellStyle name="Percentagem 6 3" xfId="2749" xr:uid="{00000000-0005-0000-0000-0000AC210000}"/>
    <cellStyle name="Percentagem 6 3 2" xfId="2936" xr:uid="{00000000-0005-0000-0000-0000AD210000}"/>
    <cellStyle name="Percentagem 6 3 2 2" xfId="7992" xr:uid="{00000000-0005-0000-0000-0000AE210000}"/>
    <cellStyle name="Percentagem 6 3 3" xfId="3029" xr:uid="{00000000-0005-0000-0000-0000AF210000}"/>
    <cellStyle name="Percentagem 6 3 3 2" xfId="8085" xr:uid="{00000000-0005-0000-0000-0000B0210000}"/>
    <cellStyle name="Percentagem 6 3 4" xfId="3817" xr:uid="{00000000-0005-0000-0000-0000B1210000}"/>
    <cellStyle name="Percentagem 6 3 4 2" xfId="8728" xr:uid="{00000000-0005-0000-0000-0000B2210000}"/>
    <cellStyle name="Percentagem 6 3 5" xfId="2831" xr:uid="{00000000-0005-0000-0000-0000B3210000}"/>
    <cellStyle name="Percentagem 6 3 6" xfId="7933" xr:uid="{00000000-0005-0000-0000-0000B4210000}"/>
    <cellStyle name="Percentagem 6 4" xfId="2939" xr:uid="{00000000-0005-0000-0000-0000B5210000}"/>
    <cellStyle name="Percentagem 6 4 2" xfId="7995" xr:uid="{00000000-0005-0000-0000-0000B6210000}"/>
    <cellStyle name="Percentagem 6 5" xfId="3032" xr:uid="{00000000-0005-0000-0000-0000B7210000}"/>
    <cellStyle name="Percentagem 6 5 2" xfId="8088" xr:uid="{00000000-0005-0000-0000-0000B8210000}"/>
    <cellStyle name="Percentagem 6 6" xfId="3525" xr:uid="{00000000-0005-0000-0000-0000B9210000}"/>
    <cellStyle name="Percentagem 6 7" xfId="3841" xr:uid="{00000000-0005-0000-0000-0000BA210000}"/>
    <cellStyle name="Percentagem 6 7 2" xfId="8752" xr:uid="{00000000-0005-0000-0000-0000BB210000}"/>
    <cellStyle name="Percentagem 6 8" xfId="2834" xr:uid="{00000000-0005-0000-0000-0000BC210000}"/>
    <cellStyle name="Percentagem 6 9" xfId="2881" xr:uid="{00000000-0005-0000-0000-0000BD210000}"/>
    <cellStyle name="Percentagem 7" xfId="847" xr:uid="{00000000-0005-0000-0000-0000BE210000}"/>
    <cellStyle name="Percentagem 7 2" xfId="2750" xr:uid="{00000000-0005-0000-0000-0000BF210000}"/>
    <cellStyle name="Percentagem 7 2 2" xfId="2934" xr:uid="{00000000-0005-0000-0000-0000C0210000}"/>
    <cellStyle name="Percentagem 7 2 2 2" xfId="7990" xr:uid="{00000000-0005-0000-0000-0000C1210000}"/>
    <cellStyle name="Percentagem 7 2 3" xfId="3027" xr:uid="{00000000-0005-0000-0000-0000C2210000}"/>
    <cellStyle name="Percentagem 7 2 3 2" xfId="8083" xr:uid="{00000000-0005-0000-0000-0000C3210000}"/>
    <cellStyle name="Percentagem 7 2 4" xfId="3729" xr:uid="{00000000-0005-0000-0000-0000C4210000}"/>
    <cellStyle name="Percentagem 7 2 4 2" xfId="8643" xr:uid="{00000000-0005-0000-0000-0000C5210000}"/>
    <cellStyle name="Percentagem 7 2 5" xfId="2829" xr:uid="{00000000-0005-0000-0000-0000C6210000}"/>
    <cellStyle name="Percentagem 7 2 6" xfId="7935" xr:uid="{00000000-0005-0000-0000-0000C7210000}"/>
    <cellStyle name="Percentagem 7 3" xfId="2935" xr:uid="{00000000-0005-0000-0000-0000C8210000}"/>
    <cellStyle name="Percentagem 7 3 2" xfId="7991" xr:uid="{00000000-0005-0000-0000-0000C9210000}"/>
    <cellStyle name="Percentagem 7 4" xfId="3028" xr:uid="{00000000-0005-0000-0000-0000CA210000}"/>
    <cellStyle name="Percentagem 7 4 2" xfId="8084" xr:uid="{00000000-0005-0000-0000-0000CB210000}"/>
    <cellStyle name="Percentagem 7 5" xfId="3788" xr:uid="{00000000-0005-0000-0000-0000CC210000}"/>
    <cellStyle name="Percentagem 7 5 2" xfId="8699" xr:uid="{00000000-0005-0000-0000-0000CD210000}"/>
    <cellStyle name="Percentagem 7 6" xfId="2830" xr:uid="{00000000-0005-0000-0000-0000CE210000}"/>
    <cellStyle name="Percentagem 7 7" xfId="7934" xr:uid="{00000000-0005-0000-0000-0000CF210000}"/>
    <cellStyle name="Percentagem 8" xfId="848" xr:uid="{00000000-0005-0000-0000-0000D0210000}"/>
    <cellStyle name="Percentagem 8 2" xfId="2933" xr:uid="{00000000-0005-0000-0000-0000D1210000}"/>
    <cellStyle name="Percentagem 8 2 2" xfId="7989" xr:uid="{00000000-0005-0000-0000-0000D2210000}"/>
    <cellStyle name="Percentagem 8 3" xfId="3026" xr:uid="{00000000-0005-0000-0000-0000D3210000}"/>
    <cellStyle name="Percentagem 8 3 2" xfId="8082" xr:uid="{00000000-0005-0000-0000-0000D4210000}"/>
    <cellStyle name="Percentagem 8 4" xfId="3808" xr:uid="{00000000-0005-0000-0000-0000D5210000}"/>
    <cellStyle name="Percentagem 8 4 2" xfId="8719" xr:uid="{00000000-0005-0000-0000-0000D6210000}"/>
    <cellStyle name="Percentagem 8 5" xfId="2828" xr:uid="{00000000-0005-0000-0000-0000D7210000}"/>
    <cellStyle name="Percentagem 8 6" xfId="7936" xr:uid="{00000000-0005-0000-0000-0000D8210000}"/>
    <cellStyle name="Percentagem 9" xfId="849" xr:uid="{00000000-0005-0000-0000-0000D9210000}"/>
    <cellStyle name="Percentagem 9 2" xfId="850" xr:uid="{00000000-0005-0000-0000-0000DA210000}"/>
    <cellStyle name="PercentSales" xfId="851" xr:uid="{00000000-0005-0000-0000-0000DB210000}"/>
    <cellStyle name="Ratio" xfId="852" xr:uid="{00000000-0005-0000-0000-0000DC210000}"/>
    <cellStyle name="Red font" xfId="853" xr:uid="{00000000-0005-0000-0000-0000DD210000}"/>
    <cellStyle name="Result" xfId="2663" xr:uid="{00000000-0005-0000-0000-0000DE210000}"/>
    <cellStyle name="Result 2" xfId="8876" xr:uid="{00000000-0005-0000-0000-0000DF210000}"/>
    <cellStyle name="Result2" xfId="2496" xr:uid="{00000000-0005-0000-0000-0000E0210000}"/>
    <cellStyle name="Result2 2" xfId="8874" xr:uid="{00000000-0005-0000-0000-0000E1210000}"/>
    <cellStyle name="RInfo" xfId="854" xr:uid="{00000000-0005-0000-0000-0000E2210000}"/>
    <cellStyle name="Saída 2" xfId="855" xr:uid="{00000000-0005-0000-0000-0000E3210000}"/>
    <cellStyle name="Saída 2 2" xfId="6289" xr:uid="{00000000-0005-0000-0000-0000E4210000}"/>
    <cellStyle name="Saída 3" xfId="856" xr:uid="{00000000-0005-0000-0000-0000E5210000}"/>
    <cellStyle name="Saída 3 2" xfId="1007" xr:uid="{00000000-0005-0000-0000-0000E6210000}"/>
    <cellStyle name="Saída 4" xfId="857" xr:uid="{00000000-0005-0000-0000-0000E7210000}"/>
    <cellStyle name="SAPBEXaggData" xfId="6233" xr:uid="{00000000-0005-0000-0000-0000E8210000}"/>
    <cellStyle name="SAPBEXaggData 2" xfId="8798" xr:uid="{00000000-0005-0000-0000-0000E9210000}"/>
    <cellStyle name="SAPBEXaggData 2 2" xfId="8799" xr:uid="{00000000-0005-0000-0000-0000EA210000}"/>
    <cellStyle name="SAPBEXaggDataEmph" xfId="6234" xr:uid="{00000000-0005-0000-0000-0000EB210000}"/>
    <cellStyle name="SAPBEXaggDataEmph 2" xfId="8800" xr:uid="{00000000-0005-0000-0000-0000EC210000}"/>
    <cellStyle name="SAPBEXaggDataEmph 2 2" xfId="8801" xr:uid="{00000000-0005-0000-0000-0000ED210000}"/>
    <cellStyle name="SAPBEXaggItem" xfId="6235" xr:uid="{00000000-0005-0000-0000-0000EE210000}"/>
    <cellStyle name="SAPBEXaggItem 2" xfId="8802" xr:uid="{00000000-0005-0000-0000-0000EF210000}"/>
    <cellStyle name="SAPBEXaggItem 2 2" xfId="8803" xr:uid="{00000000-0005-0000-0000-0000F0210000}"/>
    <cellStyle name="SAPBEXaggItemX" xfId="6236" xr:uid="{00000000-0005-0000-0000-0000F1210000}"/>
    <cellStyle name="SAPBEXaggItemX 2" xfId="8804" xr:uid="{00000000-0005-0000-0000-0000F2210000}"/>
    <cellStyle name="SAPBEXaggItemX 2 2" xfId="8805" xr:uid="{00000000-0005-0000-0000-0000F3210000}"/>
    <cellStyle name="SAPBEXchaText" xfId="6237" xr:uid="{00000000-0005-0000-0000-0000F4210000}"/>
    <cellStyle name="SAPBEXchaText 2" xfId="8806" xr:uid="{00000000-0005-0000-0000-0000F5210000}"/>
    <cellStyle name="SAPBEXchaText 2 2" xfId="8807" xr:uid="{00000000-0005-0000-0000-0000F6210000}"/>
    <cellStyle name="SAPBEXexcBad7" xfId="6238" xr:uid="{00000000-0005-0000-0000-0000F7210000}"/>
    <cellStyle name="SAPBEXexcBad7 2" xfId="8808" xr:uid="{00000000-0005-0000-0000-0000F8210000}"/>
    <cellStyle name="SAPBEXexcBad7 2 2" xfId="8809" xr:uid="{00000000-0005-0000-0000-0000F9210000}"/>
    <cellStyle name="SAPBEXexcBad8" xfId="6239" xr:uid="{00000000-0005-0000-0000-0000FA210000}"/>
    <cellStyle name="SAPBEXexcBad8 2" xfId="8810" xr:uid="{00000000-0005-0000-0000-0000FB210000}"/>
    <cellStyle name="SAPBEXexcBad8 2 2" xfId="8811" xr:uid="{00000000-0005-0000-0000-0000FC210000}"/>
    <cellStyle name="SAPBEXexcBad9" xfId="6240" xr:uid="{00000000-0005-0000-0000-0000FD210000}"/>
    <cellStyle name="SAPBEXexcBad9 2" xfId="8812" xr:uid="{00000000-0005-0000-0000-0000FE210000}"/>
    <cellStyle name="SAPBEXexcBad9 2 2" xfId="8813" xr:uid="{00000000-0005-0000-0000-0000FF210000}"/>
    <cellStyle name="SAPBEXexcCritical4" xfId="6241" xr:uid="{00000000-0005-0000-0000-000000220000}"/>
    <cellStyle name="SAPBEXexcCritical4 2" xfId="8814" xr:uid="{00000000-0005-0000-0000-000001220000}"/>
    <cellStyle name="SAPBEXexcCritical4 2 2" xfId="8815" xr:uid="{00000000-0005-0000-0000-000002220000}"/>
    <cellStyle name="SAPBEXexcCritical5" xfId="6242" xr:uid="{00000000-0005-0000-0000-000003220000}"/>
    <cellStyle name="SAPBEXexcCritical5 2" xfId="8816" xr:uid="{00000000-0005-0000-0000-000004220000}"/>
    <cellStyle name="SAPBEXexcCritical5 2 2" xfId="8817" xr:uid="{00000000-0005-0000-0000-000005220000}"/>
    <cellStyle name="SAPBEXexcCritical6" xfId="6243" xr:uid="{00000000-0005-0000-0000-000006220000}"/>
    <cellStyle name="SAPBEXexcCritical6 2" xfId="8818" xr:uid="{00000000-0005-0000-0000-000007220000}"/>
    <cellStyle name="SAPBEXexcCritical6 2 2" xfId="8819" xr:uid="{00000000-0005-0000-0000-000008220000}"/>
    <cellStyle name="SAPBEXexcGood1" xfId="6244" xr:uid="{00000000-0005-0000-0000-000009220000}"/>
    <cellStyle name="SAPBEXexcGood1 2" xfId="8820" xr:uid="{00000000-0005-0000-0000-00000A220000}"/>
    <cellStyle name="SAPBEXexcGood1 2 2" xfId="8821" xr:uid="{00000000-0005-0000-0000-00000B220000}"/>
    <cellStyle name="SAPBEXexcGood2" xfId="6245" xr:uid="{00000000-0005-0000-0000-00000C220000}"/>
    <cellStyle name="SAPBEXexcGood2 2" xfId="8822" xr:uid="{00000000-0005-0000-0000-00000D220000}"/>
    <cellStyle name="SAPBEXexcGood2 2 2" xfId="8823" xr:uid="{00000000-0005-0000-0000-00000E220000}"/>
    <cellStyle name="SAPBEXexcGood3" xfId="6246" xr:uid="{00000000-0005-0000-0000-00000F220000}"/>
    <cellStyle name="SAPBEXexcGood3 2" xfId="8824" xr:uid="{00000000-0005-0000-0000-000010220000}"/>
    <cellStyle name="SAPBEXexcGood3 2 2" xfId="8825" xr:uid="{00000000-0005-0000-0000-000011220000}"/>
    <cellStyle name="SAPBEXfilterDrill" xfId="6247" xr:uid="{00000000-0005-0000-0000-000012220000}"/>
    <cellStyle name="SAPBEXfilterDrill 2" xfId="8826" xr:uid="{00000000-0005-0000-0000-000013220000}"/>
    <cellStyle name="SAPBEXfilterDrill 2 2" xfId="8827" xr:uid="{00000000-0005-0000-0000-000014220000}"/>
    <cellStyle name="SAPBEXfilterItem" xfId="6248" xr:uid="{00000000-0005-0000-0000-000015220000}"/>
    <cellStyle name="SAPBEXfilterItem 2" xfId="8828" xr:uid="{00000000-0005-0000-0000-000016220000}"/>
    <cellStyle name="SAPBEXfilterText" xfId="6249" xr:uid="{00000000-0005-0000-0000-000017220000}"/>
    <cellStyle name="SAPBEXfilterText 2" xfId="8829" xr:uid="{00000000-0005-0000-0000-000018220000}"/>
    <cellStyle name="SAPBEXformats" xfId="6250" xr:uid="{00000000-0005-0000-0000-000019220000}"/>
    <cellStyle name="SAPBEXformats 2" xfId="8830" xr:uid="{00000000-0005-0000-0000-00001A220000}"/>
    <cellStyle name="SAPBEXformats 2 2" xfId="8831" xr:uid="{00000000-0005-0000-0000-00001B220000}"/>
    <cellStyle name="SAPBEXheaderItem" xfId="6251" xr:uid="{00000000-0005-0000-0000-00001C220000}"/>
    <cellStyle name="SAPBEXheaderItem 2" xfId="8832" xr:uid="{00000000-0005-0000-0000-00001D220000}"/>
    <cellStyle name="SAPBEXheaderItem 2 2" xfId="8833" xr:uid="{00000000-0005-0000-0000-00001E220000}"/>
    <cellStyle name="SAPBEXheaderText" xfId="6252" xr:uid="{00000000-0005-0000-0000-00001F220000}"/>
    <cellStyle name="SAPBEXheaderText 2" xfId="8834" xr:uid="{00000000-0005-0000-0000-000020220000}"/>
    <cellStyle name="SAPBEXheaderText 2 2" xfId="8835" xr:uid="{00000000-0005-0000-0000-000021220000}"/>
    <cellStyle name="SAPBEXHLevel0" xfId="990" xr:uid="{00000000-0005-0000-0000-000022220000}"/>
    <cellStyle name="SAPBEXHLevel0 2" xfId="8836" xr:uid="{00000000-0005-0000-0000-000023220000}"/>
    <cellStyle name="SAPBEXHLevel0 2 2" xfId="8837" xr:uid="{00000000-0005-0000-0000-000024220000}"/>
    <cellStyle name="SAPBEXHLevel0 2 3" xfId="8838" xr:uid="{00000000-0005-0000-0000-000025220000}"/>
    <cellStyle name="SAPBEXHLevel0X" xfId="6253" xr:uid="{00000000-0005-0000-0000-000026220000}"/>
    <cellStyle name="SAPBEXHLevel0X 2" xfId="8839" xr:uid="{00000000-0005-0000-0000-000027220000}"/>
    <cellStyle name="SAPBEXHLevel0X 2 2" xfId="8840" xr:uid="{00000000-0005-0000-0000-000028220000}"/>
    <cellStyle name="SAPBEXHLevel1" xfId="982" xr:uid="{00000000-0005-0000-0000-000029220000}"/>
    <cellStyle name="SAPBEXHLevel1 2" xfId="8841" xr:uid="{00000000-0005-0000-0000-00002A220000}"/>
    <cellStyle name="SAPBEXHLevel1 2 2" xfId="8842" xr:uid="{00000000-0005-0000-0000-00002B220000}"/>
    <cellStyle name="SAPBEXHLevel1 2 3" xfId="8843" xr:uid="{00000000-0005-0000-0000-00002C220000}"/>
    <cellStyle name="SAPBEXHLevel1X" xfId="1164" xr:uid="{00000000-0005-0000-0000-00002D220000}"/>
    <cellStyle name="SAPBEXHLevel1X 2" xfId="4489" xr:uid="{00000000-0005-0000-0000-00002E220000}"/>
    <cellStyle name="SAPBEXHLevel1X 3" xfId="6418" xr:uid="{00000000-0005-0000-0000-00002F220000}"/>
    <cellStyle name="SAPBEXHLevel2" xfId="6254" xr:uid="{00000000-0005-0000-0000-000030220000}"/>
    <cellStyle name="SAPBEXHLevel2 2" xfId="8844" xr:uid="{00000000-0005-0000-0000-000031220000}"/>
    <cellStyle name="SAPBEXHLevel2 2 2" xfId="8845" xr:uid="{00000000-0005-0000-0000-000032220000}"/>
    <cellStyle name="SAPBEXHLevel2X" xfId="1165" xr:uid="{00000000-0005-0000-0000-000033220000}"/>
    <cellStyle name="SAPBEXHLevel2X 2" xfId="4490" xr:uid="{00000000-0005-0000-0000-000034220000}"/>
    <cellStyle name="SAPBEXHLevel2X 3" xfId="6419" xr:uid="{00000000-0005-0000-0000-000035220000}"/>
    <cellStyle name="SAPBEXHLevel3" xfId="6255" xr:uid="{00000000-0005-0000-0000-000036220000}"/>
    <cellStyle name="SAPBEXHLevel3 2" xfId="8846" xr:uid="{00000000-0005-0000-0000-000037220000}"/>
    <cellStyle name="SAPBEXHLevel3 2 2" xfId="8847" xr:uid="{00000000-0005-0000-0000-000038220000}"/>
    <cellStyle name="SAPBEXHLevel3X" xfId="6256" xr:uid="{00000000-0005-0000-0000-000039220000}"/>
    <cellStyle name="SAPBEXHLevel3X 2" xfId="8848" xr:uid="{00000000-0005-0000-0000-00003A220000}"/>
    <cellStyle name="SAPBEXHLevel3X 2 2" xfId="8849" xr:uid="{00000000-0005-0000-0000-00003B220000}"/>
    <cellStyle name="SAPBEXresData" xfId="6257" xr:uid="{00000000-0005-0000-0000-00003C220000}"/>
    <cellStyle name="SAPBEXresData 2" xfId="8850" xr:uid="{00000000-0005-0000-0000-00003D220000}"/>
    <cellStyle name="SAPBEXresData 2 2" xfId="8851" xr:uid="{00000000-0005-0000-0000-00003E220000}"/>
    <cellStyle name="SAPBEXresDataEmph" xfId="6258" xr:uid="{00000000-0005-0000-0000-00003F220000}"/>
    <cellStyle name="SAPBEXresDataEmph 2" xfId="8852" xr:uid="{00000000-0005-0000-0000-000040220000}"/>
    <cellStyle name="SAPBEXresDataEmph 2 2" xfId="8853" xr:uid="{00000000-0005-0000-0000-000041220000}"/>
    <cellStyle name="SAPBEXresItem" xfId="6259" xr:uid="{00000000-0005-0000-0000-000042220000}"/>
    <cellStyle name="SAPBEXresItem 2" xfId="8854" xr:uid="{00000000-0005-0000-0000-000043220000}"/>
    <cellStyle name="SAPBEXresItem 2 2" xfId="8855" xr:uid="{00000000-0005-0000-0000-000044220000}"/>
    <cellStyle name="SAPBEXresItemX" xfId="6260" xr:uid="{00000000-0005-0000-0000-000045220000}"/>
    <cellStyle name="SAPBEXresItemX 2" xfId="8856" xr:uid="{00000000-0005-0000-0000-000046220000}"/>
    <cellStyle name="SAPBEXresItemX 2 2" xfId="8857" xr:uid="{00000000-0005-0000-0000-000047220000}"/>
    <cellStyle name="SAPBEXstdData" xfId="858" xr:uid="{00000000-0005-0000-0000-000048220000}"/>
    <cellStyle name="SAPBEXstdData 2" xfId="1370" xr:uid="{00000000-0005-0000-0000-000049220000}"/>
    <cellStyle name="SAPBEXstdData 2 2" xfId="2751" xr:uid="{00000000-0005-0000-0000-00004A220000}"/>
    <cellStyle name="SAPBEXstdData 2 2 2" xfId="3667" xr:uid="{00000000-0005-0000-0000-00004B220000}"/>
    <cellStyle name="SAPBEXstdData 2 2 3" xfId="7937" xr:uid="{00000000-0005-0000-0000-00004C220000}"/>
    <cellStyle name="SAPBEXstdData 2 3" xfId="6622" xr:uid="{00000000-0005-0000-0000-00004D220000}"/>
    <cellStyle name="SAPBEXstdData 2 4" xfId="8870" xr:uid="{00000000-0005-0000-0000-00004E220000}"/>
    <cellStyle name="SAPBEXstdData 3" xfId="3564" xr:uid="{00000000-0005-0000-0000-00004F220000}"/>
    <cellStyle name="SAPBEXstdData 3 2" xfId="8552" xr:uid="{00000000-0005-0000-0000-000050220000}"/>
    <cellStyle name="SAPBEXstdData 4" xfId="6420" xr:uid="{00000000-0005-0000-0000-000051220000}"/>
    <cellStyle name="SAPBEXstdData 5" xfId="1166" xr:uid="{00000000-0005-0000-0000-000052220000}"/>
    <cellStyle name="SAPBEXstdDataEmph" xfId="991" xr:uid="{00000000-0005-0000-0000-000053220000}"/>
    <cellStyle name="SAPBEXstdDataEmph 2" xfId="8858" xr:uid="{00000000-0005-0000-0000-000054220000}"/>
    <cellStyle name="SAPBEXstdDataEmph 2 2" xfId="8859" xr:uid="{00000000-0005-0000-0000-000055220000}"/>
    <cellStyle name="SAPBEXstdItem" xfId="6261" xr:uid="{00000000-0005-0000-0000-000056220000}"/>
    <cellStyle name="SAPBEXstdItem 2" xfId="8860" xr:uid="{00000000-0005-0000-0000-000057220000}"/>
    <cellStyle name="SAPBEXstdItem 2 2" xfId="8861" xr:uid="{00000000-0005-0000-0000-000058220000}"/>
    <cellStyle name="SAPBEXstdItemX" xfId="6262" xr:uid="{00000000-0005-0000-0000-000059220000}"/>
    <cellStyle name="SAPBEXstdItemX 2" xfId="8862" xr:uid="{00000000-0005-0000-0000-00005A220000}"/>
    <cellStyle name="SAPBEXstdItemX 2 2" xfId="8863" xr:uid="{00000000-0005-0000-0000-00005B220000}"/>
    <cellStyle name="SAPBEXtitle" xfId="6263" xr:uid="{00000000-0005-0000-0000-00005C220000}"/>
    <cellStyle name="SAPBEXtitle 2" xfId="8864" xr:uid="{00000000-0005-0000-0000-00005D220000}"/>
    <cellStyle name="SAPBEXundefined" xfId="6264" xr:uid="{00000000-0005-0000-0000-00005E220000}"/>
    <cellStyle name="SAPBEXundefined 2" xfId="8865" xr:uid="{00000000-0005-0000-0000-00005F220000}"/>
    <cellStyle name="SAPBEXundefined 2 2" xfId="8866" xr:uid="{00000000-0005-0000-0000-000060220000}"/>
    <cellStyle name="Separador de milhares [0] 2" xfId="3526" xr:uid="{00000000-0005-0000-0000-000061220000}"/>
    <cellStyle name="Sheet Title" xfId="859" xr:uid="{00000000-0005-0000-0000-000062220000}"/>
    <cellStyle name="Sheet Title 2" xfId="5149" xr:uid="{00000000-0005-0000-0000-000063220000}"/>
    <cellStyle name="Sheet Title 3" xfId="8522" xr:uid="{00000000-0005-0000-0000-000064220000}"/>
    <cellStyle name="Sheet Title 4" xfId="3527" xr:uid="{00000000-0005-0000-0000-000065220000}"/>
    <cellStyle name="sombreado" xfId="860" xr:uid="{00000000-0005-0000-0000-000066220000}"/>
    <cellStyle name="Style 1" xfId="861" xr:uid="{00000000-0005-0000-0000-000067220000}"/>
    <cellStyle name="Style 1 2" xfId="862" xr:uid="{00000000-0005-0000-0000-000068220000}"/>
    <cellStyle name="Style 1 2 2" xfId="863" xr:uid="{00000000-0005-0000-0000-000069220000}"/>
    <cellStyle name="Style 1 2 2 2" xfId="5151" xr:uid="{00000000-0005-0000-0000-00006A220000}"/>
    <cellStyle name="Style 1 2 3" xfId="864" xr:uid="{00000000-0005-0000-0000-00006B220000}"/>
    <cellStyle name="Style 1 2 3 2" xfId="8524" xr:uid="{00000000-0005-0000-0000-00006C220000}"/>
    <cellStyle name="Style 1 2 4" xfId="865" xr:uid="{00000000-0005-0000-0000-00006D220000}"/>
    <cellStyle name="Style 1 2 5" xfId="3529" xr:uid="{00000000-0005-0000-0000-00006E220000}"/>
    <cellStyle name="Style 1 3" xfId="866" xr:uid="{00000000-0005-0000-0000-00006F220000}"/>
    <cellStyle name="Style 1 3 2" xfId="5152" xr:uid="{00000000-0005-0000-0000-000070220000}"/>
    <cellStyle name="Style 1 3 3" xfId="8525" xr:uid="{00000000-0005-0000-0000-000071220000}"/>
    <cellStyle name="Style 1 3 4" xfId="3530" xr:uid="{00000000-0005-0000-0000-000072220000}"/>
    <cellStyle name="Style 1 4" xfId="867" xr:uid="{00000000-0005-0000-0000-000073220000}"/>
    <cellStyle name="Style 1 4 2" xfId="5153" xr:uid="{00000000-0005-0000-0000-000074220000}"/>
    <cellStyle name="Style 1 4 3" xfId="8526" xr:uid="{00000000-0005-0000-0000-000075220000}"/>
    <cellStyle name="Style 1 4 4" xfId="3531" xr:uid="{00000000-0005-0000-0000-000076220000}"/>
    <cellStyle name="Style 1 5" xfId="3532" xr:uid="{00000000-0005-0000-0000-000077220000}"/>
    <cellStyle name="Style 1 5 2" xfId="5154" xr:uid="{00000000-0005-0000-0000-000078220000}"/>
    <cellStyle name="Style 1 5 3" xfId="8527" xr:uid="{00000000-0005-0000-0000-000079220000}"/>
    <cellStyle name="Style 1 6" xfId="5150" xr:uid="{00000000-0005-0000-0000-00007A220000}"/>
    <cellStyle name="Style 1 7" xfId="8523" xr:uid="{00000000-0005-0000-0000-00007B220000}"/>
    <cellStyle name="Style 1 8" xfId="3528" xr:uid="{00000000-0005-0000-0000-00007C220000}"/>
    <cellStyle name="TableStyleLight1" xfId="992" xr:uid="{00000000-0005-0000-0000-00007D220000}"/>
    <cellStyle name="TableStyleLight1 2" xfId="1044" xr:uid="{00000000-0005-0000-0000-00007E220000}"/>
    <cellStyle name="TableStyleLight1 3" xfId="2662" xr:uid="{00000000-0005-0000-0000-00007F220000}"/>
    <cellStyle name="TableStyleLight1 4" xfId="4491" xr:uid="{00000000-0005-0000-0000-000080220000}"/>
    <cellStyle name="TableStyleLight1 5" xfId="6324" xr:uid="{00000000-0005-0000-0000-000081220000}"/>
    <cellStyle name="TableStyleLight1 6" xfId="1042" xr:uid="{00000000-0005-0000-0000-000082220000}"/>
    <cellStyle name="Texto de Aviso 10" xfId="868" xr:uid="{00000000-0005-0000-0000-000083220000}"/>
    <cellStyle name="Texto de Aviso 11" xfId="869" xr:uid="{00000000-0005-0000-0000-000084220000}"/>
    <cellStyle name="Texto de Aviso 2" xfId="870" xr:uid="{00000000-0005-0000-0000-000085220000}"/>
    <cellStyle name="Texto de Aviso 2 10" xfId="871" xr:uid="{00000000-0005-0000-0000-000086220000}"/>
    <cellStyle name="Texto de Aviso 2 11" xfId="872" xr:uid="{00000000-0005-0000-0000-000087220000}"/>
    <cellStyle name="Texto de Aviso 2 12" xfId="2559" xr:uid="{00000000-0005-0000-0000-000088220000}"/>
    <cellStyle name="Texto de Aviso 2 2" xfId="873" xr:uid="{00000000-0005-0000-0000-000089220000}"/>
    <cellStyle name="Texto de Aviso 2 2 2" xfId="4492" xr:uid="{00000000-0005-0000-0000-00008A220000}"/>
    <cellStyle name="Texto de Aviso 2 3" xfId="874" xr:uid="{00000000-0005-0000-0000-00008B220000}"/>
    <cellStyle name="Texto de Aviso 2 3 2" xfId="7782" xr:uid="{00000000-0005-0000-0000-00008C220000}"/>
    <cellStyle name="Texto de Aviso 2 4" xfId="875" xr:uid="{00000000-0005-0000-0000-00008D220000}"/>
    <cellStyle name="Texto de Aviso 2 5" xfId="876" xr:uid="{00000000-0005-0000-0000-00008E220000}"/>
    <cellStyle name="Texto de Aviso 2 6" xfId="877" xr:uid="{00000000-0005-0000-0000-00008F220000}"/>
    <cellStyle name="Texto de Aviso 2 7" xfId="878" xr:uid="{00000000-0005-0000-0000-000090220000}"/>
    <cellStyle name="Texto de Aviso 2 8" xfId="879" xr:uid="{00000000-0005-0000-0000-000091220000}"/>
    <cellStyle name="Texto de Aviso 2 9" xfId="880" xr:uid="{00000000-0005-0000-0000-000092220000}"/>
    <cellStyle name="Texto de Aviso 3" xfId="881" xr:uid="{00000000-0005-0000-0000-000093220000}"/>
    <cellStyle name="Texto de Aviso 3 2" xfId="4724" xr:uid="{00000000-0005-0000-0000-000094220000}"/>
    <cellStyle name="Texto de Aviso 4" xfId="882" xr:uid="{00000000-0005-0000-0000-000095220000}"/>
    <cellStyle name="Texto de Aviso 4 2" xfId="6293" xr:uid="{00000000-0005-0000-0000-000096220000}"/>
    <cellStyle name="Texto de Aviso 5" xfId="883" xr:uid="{00000000-0005-0000-0000-000097220000}"/>
    <cellStyle name="Texto de Aviso 5 2" xfId="1011" xr:uid="{00000000-0005-0000-0000-000098220000}"/>
    <cellStyle name="Texto de Aviso 6" xfId="884" xr:uid="{00000000-0005-0000-0000-000099220000}"/>
    <cellStyle name="Texto de Aviso 7" xfId="885" xr:uid="{00000000-0005-0000-0000-00009A220000}"/>
    <cellStyle name="Texto de Aviso 8" xfId="886" xr:uid="{00000000-0005-0000-0000-00009B220000}"/>
    <cellStyle name="Texto de Aviso 9" xfId="887" xr:uid="{00000000-0005-0000-0000-00009C220000}"/>
    <cellStyle name="Texto Explicativo 2" xfId="888" xr:uid="{00000000-0005-0000-0000-00009D220000}"/>
    <cellStyle name="Texto Explicativo 2 2" xfId="6295" xr:uid="{00000000-0005-0000-0000-00009E220000}"/>
    <cellStyle name="Texto Explicativo 3" xfId="889" xr:uid="{00000000-0005-0000-0000-00009F220000}"/>
    <cellStyle name="Texto Explicativo 3 2" xfId="1013" xr:uid="{00000000-0005-0000-0000-0000A0220000}"/>
    <cellStyle name="Texto Explicativo 4" xfId="890" xr:uid="{00000000-0005-0000-0000-0000A1220000}"/>
    <cellStyle name="Title" xfId="891" xr:uid="{00000000-0005-0000-0000-0000A2220000}"/>
    <cellStyle name="Title 1" xfId="892" xr:uid="{00000000-0005-0000-0000-0000A3220000}"/>
    <cellStyle name="Title 2" xfId="1150" xr:uid="{00000000-0005-0000-0000-0000A4220000}"/>
    <cellStyle name="Title 2 2" xfId="3533" xr:uid="{00000000-0005-0000-0000-0000A5220000}"/>
    <cellStyle name="Title 2 2 2" xfId="5155" xr:uid="{00000000-0005-0000-0000-0000A6220000}"/>
    <cellStyle name="Title 2 2 3" xfId="8528" xr:uid="{00000000-0005-0000-0000-0000A7220000}"/>
    <cellStyle name="Title 2 3" xfId="4494" xr:uid="{00000000-0005-0000-0000-0000A8220000}"/>
    <cellStyle name="Title 2 4" xfId="6405" xr:uid="{00000000-0005-0000-0000-0000A9220000}"/>
    <cellStyle name="Title 3" xfId="893" xr:uid="{00000000-0005-0000-0000-0000AA220000}"/>
    <cellStyle name="Title 3 2" xfId="5156" xr:uid="{00000000-0005-0000-0000-0000AB220000}"/>
    <cellStyle name="Title 3 3" xfId="8529" xr:uid="{00000000-0005-0000-0000-0000AC220000}"/>
    <cellStyle name="Title 3 4" xfId="3534" xr:uid="{00000000-0005-0000-0000-0000AD220000}"/>
    <cellStyle name="Title 4" xfId="894" xr:uid="{00000000-0005-0000-0000-0000AE220000}"/>
    <cellStyle name="Title 4 2" xfId="5157" xr:uid="{00000000-0005-0000-0000-0000AF220000}"/>
    <cellStyle name="Title 4 3" xfId="8530" xr:uid="{00000000-0005-0000-0000-0000B0220000}"/>
    <cellStyle name="Title 4 4" xfId="3535" xr:uid="{00000000-0005-0000-0000-0000B1220000}"/>
    <cellStyle name="Title 5" xfId="3536" xr:uid="{00000000-0005-0000-0000-0000B2220000}"/>
    <cellStyle name="Title 5 2" xfId="5158" xr:uid="{00000000-0005-0000-0000-0000B3220000}"/>
    <cellStyle name="Title 5 3" xfId="8531" xr:uid="{00000000-0005-0000-0000-0000B4220000}"/>
    <cellStyle name="Title 6" xfId="3537" xr:uid="{00000000-0005-0000-0000-0000B5220000}"/>
    <cellStyle name="Title 6 2" xfId="5159" xr:uid="{00000000-0005-0000-0000-0000B6220000}"/>
    <cellStyle name="Title 6 3" xfId="8532" xr:uid="{00000000-0005-0000-0000-0000B7220000}"/>
    <cellStyle name="Title 7" xfId="4493" xr:uid="{00000000-0005-0000-0000-0000B8220000}"/>
    <cellStyle name="Title 8" xfId="7358" xr:uid="{00000000-0005-0000-0000-0000B9220000}"/>
    <cellStyle name="Title 9" xfId="2113" xr:uid="{00000000-0005-0000-0000-0000BA220000}"/>
    <cellStyle name="Titulo" xfId="895" xr:uid="{00000000-0005-0000-0000-0000BB220000}"/>
    <cellStyle name="Título 2" xfId="896" xr:uid="{00000000-0005-0000-0000-0000BC220000}"/>
    <cellStyle name="Título 2 2" xfId="4716" xr:uid="{00000000-0005-0000-0000-0000BD220000}"/>
    <cellStyle name="Título 3" xfId="897" xr:uid="{00000000-0005-0000-0000-0000BE220000}"/>
    <cellStyle name="Título 3 2" xfId="6280" xr:uid="{00000000-0005-0000-0000-0000BF220000}"/>
    <cellStyle name="Título 4" xfId="898" xr:uid="{00000000-0005-0000-0000-0000C0220000}"/>
    <cellStyle name="Título 4 2" xfId="998" xr:uid="{00000000-0005-0000-0000-0000C1220000}"/>
    <cellStyle name="Total 10" xfId="899" xr:uid="{00000000-0005-0000-0000-0000C2220000}"/>
    <cellStyle name="Total 10 2" xfId="5160" xr:uid="{00000000-0005-0000-0000-0000C3220000}"/>
    <cellStyle name="Total 10 3" xfId="8533" xr:uid="{00000000-0005-0000-0000-0000C4220000}"/>
    <cellStyle name="Total 10 4" xfId="3538" xr:uid="{00000000-0005-0000-0000-0000C5220000}"/>
    <cellStyle name="Total 11" xfId="900" xr:uid="{00000000-0005-0000-0000-0000C6220000}"/>
    <cellStyle name="Total 11 2" xfId="5161" xr:uid="{00000000-0005-0000-0000-0000C7220000}"/>
    <cellStyle name="Total 11 3" xfId="8534" xr:uid="{00000000-0005-0000-0000-0000C8220000}"/>
    <cellStyle name="Total 11 4" xfId="3539" xr:uid="{00000000-0005-0000-0000-0000C9220000}"/>
    <cellStyle name="Total 12" xfId="901" xr:uid="{00000000-0005-0000-0000-0000CA220000}"/>
    <cellStyle name="Total 12 2" xfId="5162" xr:uid="{00000000-0005-0000-0000-0000CB220000}"/>
    <cellStyle name="Total 12 3" xfId="8535" xr:uid="{00000000-0005-0000-0000-0000CC220000}"/>
    <cellStyle name="Total 12 4" xfId="3540" xr:uid="{00000000-0005-0000-0000-0000CD220000}"/>
    <cellStyle name="Total 13" xfId="902" xr:uid="{00000000-0005-0000-0000-0000CE220000}"/>
    <cellStyle name="Total 13 2" xfId="5163" xr:uid="{00000000-0005-0000-0000-0000CF220000}"/>
    <cellStyle name="Total 13 3" xfId="8536" xr:uid="{00000000-0005-0000-0000-0000D0220000}"/>
    <cellStyle name="Total 13 4" xfId="3541" xr:uid="{00000000-0005-0000-0000-0000D1220000}"/>
    <cellStyle name="Total 14" xfId="903" xr:uid="{00000000-0005-0000-0000-0000D2220000}"/>
    <cellStyle name="Total 14 2" xfId="4725" xr:uid="{00000000-0005-0000-0000-0000D3220000}"/>
    <cellStyle name="Total 15" xfId="904" xr:uid="{00000000-0005-0000-0000-0000D4220000}"/>
    <cellStyle name="Total 15 2" xfId="6296" xr:uid="{00000000-0005-0000-0000-0000D5220000}"/>
    <cellStyle name="Total 16" xfId="905" xr:uid="{00000000-0005-0000-0000-0000D6220000}"/>
    <cellStyle name="Total 16 2" xfId="1014" xr:uid="{00000000-0005-0000-0000-0000D7220000}"/>
    <cellStyle name="Total 17" xfId="906" xr:uid="{00000000-0005-0000-0000-0000D8220000}"/>
    <cellStyle name="Total 18" xfId="907" xr:uid="{00000000-0005-0000-0000-0000D9220000}"/>
    <cellStyle name="Total 2" xfId="908" xr:uid="{00000000-0005-0000-0000-0000DA220000}"/>
    <cellStyle name="Total 2 10" xfId="909" xr:uid="{00000000-0005-0000-0000-0000DB220000}"/>
    <cellStyle name="Total 2 11" xfId="910" xr:uid="{00000000-0005-0000-0000-0000DC220000}"/>
    <cellStyle name="Total 2 12" xfId="1178" xr:uid="{00000000-0005-0000-0000-0000DD220000}"/>
    <cellStyle name="Total 2 2" xfId="911" xr:uid="{00000000-0005-0000-0000-0000DE220000}"/>
    <cellStyle name="Total 2 2 2" xfId="912" xr:uid="{00000000-0005-0000-0000-0000DF220000}"/>
    <cellStyle name="Total 2 2 2 2" xfId="4496" xr:uid="{00000000-0005-0000-0000-0000E0220000}"/>
    <cellStyle name="Total 2 2 2 3" xfId="7784" xr:uid="{00000000-0005-0000-0000-0000E1220000}"/>
    <cellStyle name="Total 2 2 2 4" xfId="2561" xr:uid="{00000000-0005-0000-0000-0000E2220000}"/>
    <cellStyle name="Total 2 2 3" xfId="913" xr:uid="{00000000-0005-0000-0000-0000E3220000}"/>
    <cellStyle name="Total 2 2 3 2" xfId="5165" xr:uid="{00000000-0005-0000-0000-0000E4220000}"/>
    <cellStyle name="Total 2 2 3 3" xfId="8538" xr:uid="{00000000-0005-0000-0000-0000E5220000}"/>
    <cellStyle name="Total 2 2 3 4" xfId="3543" xr:uid="{00000000-0005-0000-0000-0000E6220000}"/>
    <cellStyle name="Total 2 2 4" xfId="4495" xr:uid="{00000000-0005-0000-0000-0000E7220000}"/>
    <cellStyle name="Total 2 2 5" xfId="7783" xr:uid="{00000000-0005-0000-0000-0000E8220000}"/>
    <cellStyle name="Total 2 2 6" xfId="2560" xr:uid="{00000000-0005-0000-0000-0000E9220000}"/>
    <cellStyle name="Total 2 3" xfId="914" xr:uid="{00000000-0005-0000-0000-0000EA220000}"/>
    <cellStyle name="Total 2 3 2" xfId="2563" xr:uid="{00000000-0005-0000-0000-0000EB220000}"/>
    <cellStyle name="Total 2 3 2 2" xfId="4498" xr:uid="{00000000-0005-0000-0000-0000EC220000}"/>
    <cellStyle name="Total 2 3 2 3" xfId="7786" xr:uid="{00000000-0005-0000-0000-0000ED220000}"/>
    <cellStyle name="Total 2 3 3" xfId="3585" xr:uid="{00000000-0005-0000-0000-0000EE220000}"/>
    <cellStyle name="Total 2 3 3 2" xfId="5197" xr:uid="{00000000-0005-0000-0000-0000EF220000}"/>
    <cellStyle name="Total 2 3 3 3" xfId="8569" xr:uid="{00000000-0005-0000-0000-0000F0220000}"/>
    <cellStyle name="Total 2 3 4" xfId="4497" xr:uid="{00000000-0005-0000-0000-0000F1220000}"/>
    <cellStyle name="Total 2 3 5" xfId="7785" xr:uid="{00000000-0005-0000-0000-0000F2220000}"/>
    <cellStyle name="Total 2 3 6" xfId="2562" xr:uid="{00000000-0005-0000-0000-0000F3220000}"/>
    <cellStyle name="Total 2 4" xfId="915" xr:uid="{00000000-0005-0000-0000-0000F4220000}"/>
    <cellStyle name="Total 2 4 2" xfId="2565" xr:uid="{00000000-0005-0000-0000-0000F5220000}"/>
    <cellStyle name="Total 2 4 2 2" xfId="4500" xr:uid="{00000000-0005-0000-0000-0000F6220000}"/>
    <cellStyle name="Total 2 4 2 3" xfId="7788" xr:uid="{00000000-0005-0000-0000-0000F7220000}"/>
    <cellStyle name="Total 2 4 3" xfId="4499" xr:uid="{00000000-0005-0000-0000-0000F8220000}"/>
    <cellStyle name="Total 2 4 4" xfId="7787" xr:uid="{00000000-0005-0000-0000-0000F9220000}"/>
    <cellStyle name="Total 2 4 5" xfId="2564" xr:uid="{00000000-0005-0000-0000-0000FA220000}"/>
    <cellStyle name="Total 2 5" xfId="916" xr:uid="{00000000-0005-0000-0000-0000FB220000}"/>
    <cellStyle name="Total 2 5 2" xfId="3542" xr:uid="{00000000-0005-0000-0000-0000FC220000}"/>
    <cellStyle name="Total 2 6" xfId="917" xr:uid="{00000000-0005-0000-0000-0000FD220000}"/>
    <cellStyle name="Total 2 6 2" xfId="5164" xr:uid="{00000000-0005-0000-0000-0000FE220000}"/>
    <cellStyle name="Total 2 7" xfId="918" xr:uid="{00000000-0005-0000-0000-0000FF220000}"/>
    <cellStyle name="Total 2 7 2" xfId="6430" xr:uid="{00000000-0005-0000-0000-000000230000}"/>
    <cellStyle name="Total 2 8" xfId="919" xr:uid="{00000000-0005-0000-0000-000001230000}"/>
    <cellStyle name="Total 2 9" xfId="920" xr:uid="{00000000-0005-0000-0000-000002230000}"/>
    <cellStyle name="Total 3" xfId="921" xr:uid="{00000000-0005-0000-0000-000003230000}"/>
    <cellStyle name="Total 3 2" xfId="2566" xr:uid="{00000000-0005-0000-0000-000004230000}"/>
    <cellStyle name="Total 3 2 2" xfId="2567" xr:uid="{00000000-0005-0000-0000-000005230000}"/>
    <cellStyle name="Total 3 2 2 2" xfId="4502" xr:uid="{00000000-0005-0000-0000-000006230000}"/>
    <cellStyle name="Total 3 2 2 3" xfId="7790" xr:uid="{00000000-0005-0000-0000-000007230000}"/>
    <cellStyle name="Total 3 2 3" xfId="4501" xr:uid="{00000000-0005-0000-0000-000008230000}"/>
    <cellStyle name="Total 3 2 4" xfId="7789" xr:uid="{00000000-0005-0000-0000-000009230000}"/>
    <cellStyle name="Total 3 3" xfId="2568" xr:uid="{00000000-0005-0000-0000-00000A230000}"/>
    <cellStyle name="Total 3 3 2" xfId="2569" xr:uid="{00000000-0005-0000-0000-00000B230000}"/>
    <cellStyle name="Total 3 3 2 2" xfId="4504" xr:uid="{00000000-0005-0000-0000-00000C230000}"/>
    <cellStyle name="Total 3 3 2 3" xfId="7792" xr:uid="{00000000-0005-0000-0000-00000D230000}"/>
    <cellStyle name="Total 3 3 3" xfId="4503" xr:uid="{00000000-0005-0000-0000-00000E230000}"/>
    <cellStyle name="Total 3 3 4" xfId="7791" xr:uid="{00000000-0005-0000-0000-00000F230000}"/>
    <cellStyle name="Total 3 4" xfId="2570" xr:uid="{00000000-0005-0000-0000-000010230000}"/>
    <cellStyle name="Total 3 4 2" xfId="2571" xr:uid="{00000000-0005-0000-0000-000011230000}"/>
    <cellStyle name="Total 3 4 2 2" xfId="4506" xr:uid="{00000000-0005-0000-0000-000012230000}"/>
    <cellStyle name="Total 3 4 2 3" xfId="7794" xr:uid="{00000000-0005-0000-0000-000013230000}"/>
    <cellStyle name="Total 3 4 3" xfId="4505" xr:uid="{00000000-0005-0000-0000-000014230000}"/>
    <cellStyle name="Total 3 4 4" xfId="7793" xr:uid="{00000000-0005-0000-0000-000015230000}"/>
    <cellStyle name="Total 3 5" xfId="5166" xr:uid="{00000000-0005-0000-0000-000016230000}"/>
    <cellStyle name="Total 3 6" xfId="8539" xr:uid="{00000000-0005-0000-0000-000017230000}"/>
    <cellStyle name="Total 3 7" xfId="3544" xr:uid="{00000000-0005-0000-0000-000018230000}"/>
    <cellStyle name="Total 4" xfId="922" xr:uid="{00000000-0005-0000-0000-000019230000}"/>
    <cellStyle name="Total 4 2" xfId="2572" xr:uid="{00000000-0005-0000-0000-00001A230000}"/>
    <cellStyle name="Total 4 2 2" xfId="2573" xr:uid="{00000000-0005-0000-0000-00001B230000}"/>
    <cellStyle name="Total 4 2 2 2" xfId="4508" xr:uid="{00000000-0005-0000-0000-00001C230000}"/>
    <cellStyle name="Total 4 2 2 3" xfId="7796" xr:uid="{00000000-0005-0000-0000-00001D230000}"/>
    <cellStyle name="Total 4 2 3" xfId="4507" xr:uid="{00000000-0005-0000-0000-00001E230000}"/>
    <cellStyle name="Total 4 2 4" xfId="7795" xr:uid="{00000000-0005-0000-0000-00001F230000}"/>
    <cellStyle name="Total 4 3" xfId="2574" xr:uid="{00000000-0005-0000-0000-000020230000}"/>
    <cellStyle name="Total 4 3 2" xfId="2575" xr:uid="{00000000-0005-0000-0000-000021230000}"/>
    <cellStyle name="Total 4 3 2 2" xfId="4510" xr:uid="{00000000-0005-0000-0000-000022230000}"/>
    <cellStyle name="Total 4 3 2 3" xfId="7798" xr:uid="{00000000-0005-0000-0000-000023230000}"/>
    <cellStyle name="Total 4 3 3" xfId="4509" xr:uid="{00000000-0005-0000-0000-000024230000}"/>
    <cellStyle name="Total 4 3 4" xfId="7797" xr:uid="{00000000-0005-0000-0000-000025230000}"/>
    <cellStyle name="Total 4 4" xfId="2576" xr:uid="{00000000-0005-0000-0000-000026230000}"/>
    <cellStyle name="Total 4 4 2" xfId="2577" xr:uid="{00000000-0005-0000-0000-000027230000}"/>
    <cellStyle name="Total 4 4 2 2" xfId="4512" xr:uid="{00000000-0005-0000-0000-000028230000}"/>
    <cellStyle name="Total 4 4 2 3" xfId="7800" xr:uid="{00000000-0005-0000-0000-000029230000}"/>
    <cellStyle name="Total 4 4 3" xfId="4511" xr:uid="{00000000-0005-0000-0000-00002A230000}"/>
    <cellStyle name="Total 4 4 4" xfId="7799" xr:uid="{00000000-0005-0000-0000-00002B230000}"/>
    <cellStyle name="Total 4 5" xfId="5167" xr:uid="{00000000-0005-0000-0000-00002C230000}"/>
    <cellStyle name="Total 4 6" xfId="8540" xr:uid="{00000000-0005-0000-0000-00002D230000}"/>
    <cellStyle name="Total 4 7" xfId="3545" xr:uid="{00000000-0005-0000-0000-00002E230000}"/>
    <cellStyle name="Total 5" xfId="923" xr:uid="{00000000-0005-0000-0000-00002F230000}"/>
    <cellStyle name="Total 5 2" xfId="5168" xr:uid="{00000000-0005-0000-0000-000030230000}"/>
    <cellStyle name="Total 5 3" xfId="8541" xr:uid="{00000000-0005-0000-0000-000031230000}"/>
    <cellStyle name="Total 5 4" xfId="3546" xr:uid="{00000000-0005-0000-0000-000032230000}"/>
    <cellStyle name="Total 6" xfId="924" xr:uid="{00000000-0005-0000-0000-000033230000}"/>
    <cellStyle name="Total 6 2" xfId="5169" xr:uid="{00000000-0005-0000-0000-000034230000}"/>
    <cellStyle name="Total 6 3" xfId="8542" xr:uid="{00000000-0005-0000-0000-000035230000}"/>
    <cellStyle name="Total 6 4" xfId="3547" xr:uid="{00000000-0005-0000-0000-000036230000}"/>
    <cellStyle name="Total 7" xfId="925" xr:uid="{00000000-0005-0000-0000-000037230000}"/>
    <cellStyle name="Total 7 2" xfId="5170" xr:uid="{00000000-0005-0000-0000-000038230000}"/>
    <cellStyle name="Total 7 3" xfId="8543" xr:uid="{00000000-0005-0000-0000-000039230000}"/>
    <cellStyle name="Total 7 4" xfId="3548" xr:uid="{00000000-0005-0000-0000-00003A230000}"/>
    <cellStyle name="Total 8" xfId="926" xr:uid="{00000000-0005-0000-0000-00003B230000}"/>
    <cellStyle name="Total 8 2" xfId="5171" xr:uid="{00000000-0005-0000-0000-00003C230000}"/>
    <cellStyle name="Total 8 3" xfId="8544" xr:uid="{00000000-0005-0000-0000-00003D230000}"/>
    <cellStyle name="Total 8 4" xfId="3549" xr:uid="{00000000-0005-0000-0000-00003E230000}"/>
    <cellStyle name="Total 9" xfId="927" xr:uid="{00000000-0005-0000-0000-00003F230000}"/>
    <cellStyle name="Total 9 2" xfId="5172" xr:uid="{00000000-0005-0000-0000-000040230000}"/>
    <cellStyle name="Total 9 3" xfId="8545" xr:uid="{00000000-0005-0000-0000-000041230000}"/>
    <cellStyle name="Total 9 4" xfId="3550" xr:uid="{00000000-0005-0000-0000-000042230000}"/>
    <cellStyle name="Verificar Célula 2" xfId="928" xr:uid="{00000000-0005-0000-0000-000043230000}"/>
    <cellStyle name="Verificar Célula 2 2" xfId="6292" xr:uid="{00000000-0005-0000-0000-000044230000}"/>
    <cellStyle name="Verificar Célula 3" xfId="929" xr:uid="{00000000-0005-0000-0000-000045230000}"/>
    <cellStyle name="Verificar Célula 3 2" xfId="1010" xr:uid="{00000000-0005-0000-0000-000046230000}"/>
    <cellStyle name="Verificar Célula 4" xfId="930" xr:uid="{00000000-0005-0000-0000-000047230000}"/>
    <cellStyle name="Vírgula" xfId="931" builtinId="3"/>
    <cellStyle name="Vírgula 10" xfId="932" xr:uid="{00000000-0005-0000-0000-000049230000}"/>
    <cellStyle name="Vírgula 10 2" xfId="933" xr:uid="{00000000-0005-0000-0000-00004A230000}"/>
    <cellStyle name="Vírgula 10 2 2" xfId="9129" xr:uid="{00000000-0005-0000-0000-00004B230000}"/>
    <cellStyle name="Vírgula 10 2 2 2" xfId="9502" xr:uid="{9FE0D70A-19F7-4BC5-98C5-9673393C93E8}"/>
    <cellStyle name="Vírgula 10 2 2 3" xfId="9838" xr:uid="{95F67B04-577F-4C9C-88AD-4F4EFC457115}"/>
    <cellStyle name="Vírgula 10 3" xfId="8970" xr:uid="{00000000-0005-0000-0000-00004C230000}"/>
    <cellStyle name="Vírgula 10 3 2" xfId="9348" xr:uid="{36D547E3-CE25-404E-806A-8E55EECD54EB}"/>
    <cellStyle name="Vírgula 10 3 3" xfId="9684" xr:uid="{C8EE7FD5-77B8-4E7F-A3D3-078C30751C5E}"/>
    <cellStyle name="Vírgula 11" xfId="934" xr:uid="{00000000-0005-0000-0000-00004D230000}"/>
    <cellStyle name="Vírgula 11 2" xfId="935" xr:uid="{00000000-0005-0000-0000-00004E230000}"/>
    <cellStyle name="Vírgula 11 3" xfId="9139" xr:uid="{00000000-0005-0000-0000-00004F230000}"/>
    <cellStyle name="Vírgula 11 3 2" xfId="9503" xr:uid="{C010F315-6E3E-4A34-951D-326F976A172B}"/>
    <cellStyle name="Vírgula 11 3 3" xfId="9839" xr:uid="{0F9F87D5-B206-4390-A77D-9B10AC659FDF}"/>
    <cellStyle name="Vírgula 12" xfId="936" xr:uid="{00000000-0005-0000-0000-000050230000}"/>
    <cellStyle name="Vírgula 12 2" xfId="937" xr:uid="{00000000-0005-0000-0000-000051230000}"/>
    <cellStyle name="Vírgula 12 2 2" xfId="9168" xr:uid="{00000000-0005-0000-0000-000052230000}"/>
    <cellStyle name="Vírgula 12 2 2 2" xfId="9508" xr:uid="{40B63FC6-DCFD-4BC6-A361-E2A02EF15E8E}"/>
    <cellStyle name="Vírgula 12 2 2 3" xfId="9844" xr:uid="{332B0235-A18F-48A3-9774-1F24934A9944}"/>
    <cellStyle name="Vírgula 12 3" xfId="984" xr:uid="{00000000-0005-0000-0000-000053230000}"/>
    <cellStyle name="Vírgula 12 3 2" xfId="9189" xr:uid="{57050B08-10DE-45BF-8CEE-63B9D65AFEA0}"/>
    <cellStyle name="Vírgula 12 3 3" xfId="9525" xr:uid="{36F3B695-91D0-4594-B8FA-DF0297BDDBAA}"/>
    <cellStyle name="Vírgula 12 4" xfId="986" xr:uid="{00000000-0005-0000-0000-000054230000}"/>
    <cellStyle name="Vírgula 12 4 2" xfId="9191" xr:uid="{442FA5E5-8DF4-40C3-B4B2-6EA7CD57DE8D}"/>
    <cellStyle name="Vírgula 12 4 3" xfId="9527" xr:uid="{0729A315-512D-4BD4-802C-24B7EAFAA9FE}"/>
    <cellStyle name="Vírgula 12 5" xfId="9165" xr:uid="{00000000-0005-0000-0000-000055230000}"/>
    <cellStyle name="Vírgula 12 5 2" xfId="9507" xr:uid="{AD30F3E3-E948-48DA-B167-27FAA2217427}"/>
    <cellStyle name="Vírgula 12 5 3" xfId="9843" xr:uid="{7A27187F-42C2-4D51-BB21-874DED4CBB25}"/>
    <cellStyle name="Vírgula 13" xfId="938" xr:uid="{00000000-0005-0000-0000-000056230000}"/>
    <cellStyle name="Vírgula 13 2" xfId="939" xr:uid="{00000000-0005-0000-0000-000057230000}"/>
    <cellStyle name="Vírgula 13 3" xfId="8877" xr:uid="{00000000-0005-0000-0000-000058230000}"/>
    <cellStyle name="Vírgula 14" xfId="985" xr:uid="{00000000-0005-0000-0000-000059230000}"/>
    <cellStyle name="Vírgula 14 2" xfId="9190" xr:uid="{B6AB9F91-AF45-4756-9B22-B9B6A04F4FC0}"/>
    <cellStyle name="Vírgula 14 3" xfId="9526" xr:uid="{83CA3629-8845-447E-A348-CDB7539852A7}"/>
    <cellStyle name="Vírgula 2" xfId="940" xr:uid="{00000000-0005-0000-0000-00005A230000}"/>
    <cellStyle name="Vírgula 2 10" xfId="941" xr:uid="{00000000-0005-0000-0000-00005B230000}"/>
    <cellStyle name="Vírgula 2 11" xfId="942" xr:uid="{00000000-0005-0000-0000-00005C230000}"/>
    <cellStyle name="Vírgula 2 12" xfId="943" xr:uid="{00000000-0005-0000-0000-00005D230000}"/>
    <cellStyle name="Vírgula 2 2" xfId="944" xr:uid="{00000000-0005-0000-0000-00005E230000}"/>
    <cellStyle name="Vírgula 2 2 2" xfId="2625" xr:uid="{00000000-0005-0000-0000-00005F230000}"/>
    <cellStyle name="Vírgula 2 2 2 2" xfId="3694" xr:uid="{00000000-0005-0000-0000-000060230000}"/>
    <cellStyle name="Vírgula 2 2 2 3" xfId="7842" xr:uid="{00000000-0005-0000-0000-000061230000}"/>
    <cellStyle name="Vírgula 2 2 3" xfId="2800" xr:uid="{00000000-0005-0000-0000-000062230000}"/>
    <cellStyle name="Vírgula 2 2 4" xfId="3551" xr:uid="{00000000-0005-0000-0000-000063230000}"/>
    <cellStyle name="Vírgula 2 2 5" xfId="3886" xr:uid="{00000000-0005-0000-0000-000064230000}"/>
    <cellStyle name="Vírgula 2 2 6" xfId="1640" xr:uid="{00000000-0005-0000-0000-000065230000}"/>
    <cellStyle name="Vírgula 2 3" xfId="945" xr:uid="{00000000-0005-0000-0000-000066230000}"/>
    <cellStyle name="Vírgula 2 3 2" xfId="8867" xr:uid="{00000000-0005-0000-0000-000067230000}"/>
    <cellStyle name="Vírgula 2 3 2 2" xfId="8962" xr:uid="{00000000-0005-0000-0000-000068230000}"/>
    <cellStyle name="Vírgula 2 3 2 2 2" xfId="9126" xr:uid="{00000000-0005-0000-0000-000069230000}"/>
    <cellStyle name="Vírgula 2 3 2 2 2 2" xfId="9499" xr:uid="{FC496CEB-C093-4696-83BD-3EE4C24B531D}"/>
    <cellStyle name="Vírgula 2 3 2 2 2 3" xfId="9835" xr:uid="{ABB804C5-B48E-4715-BBD3-99C3C078B76B}"/>
    <cellStyle name="Vírgula 2 3 2 2 3" xfId="9345" xr:uid="{4962E957-5050-475B-B99E-207038F3A28A}"/>
    <cellStyle name="Vírgula 2 3 2 2 4" xfId="9681" xr:uid="{DDA0FB33-2CA2-4ACB-AE56-18C7816ED3C9}"/>
    <cellStyle name="Vírgula 2 3 2 3" xfId="9267" xr:uid="{01505FD1-0020-47AA-B623-A528B69FF4EE}"/>
    <cellStyle name="Vírgula 2 3 2 4" xfId="9603" xr:uid="{AF07DE9B-00D0-44A4-9D40-9DCB21AA55DC}"/>
    <cellStyle name="Vírgula 2 3 3" xfId="1680" xr:uid="{00000000-0005-0000-0000-00006A230000}"/>
    <cellStyle name="Vírgula 2 4" xfId="946" xr:uid="{00000000-0005-0000-0000-00006B230000}"/>
    <cellStyle name="Vírgula 2 4 2" xfId="1555" xr:uid="{00000000-0005-0000-0000-00006C230000}"/>
    <cellStyle name="Vírgula 2 5" xfId="947" xr:uid="{00000000-0005-0000-0000-00006D230000}"/>
    <cellStyle name="Vírgula 2 5 2" xfId="2092" xr:uid="{00000000-0005-0000-0000-00006E230000}"/>
    <cellStyle name="Vírgula 2 6" xfId="948" xr:uid="{00000000-0005-0000-0000-00006F230000}"/>
    <cellStyle name="Vírgula 2 6 2" xfId="2815" xr:uid="{00000000-0005-0000-0000-000070230000}"/>
    <cellStyle name="Vírgula 2 6 3" xfId="2661" xr:uid="{00000000-0005-0000-0000-000071230000}"/>
    <cellStyle name="Vírgula 2 7" xfId="949" xr:uid="{00000000-0005-0000-0000-000072230000}"/>
    <cellStyle name="Vírgula 2 7 2" xfId="2632" xr:uid="{00000000-0005-0000-0000-000073230000}"/>
    <cellStyle name="Vírgula 2 8" xfId="950" xr:uid="{00000000-0005-0000-0000-000074230000}"/>
    <cellStyle name="Vírgula 2 9" xfId="951" xr:uid="{00000000-0005-0000-0000-000075230000}"/>
    <cellStyle name="Vírgula 3" xfId="952" xr:uid="{00000000-0005-0000-0000-000076230000}"/>
    <cellStyle name="Vírgula 3 10" xfId="7359" xr:uid="{00000000-0005-0000-0000-000077230000}"/>
    <cellStyle name="Vírgula 3 11" xfId="2115" xr:uid="{00000000-0005-0000-0000-000078230000}"/>
    <cellStyle name="Vírgula 3 12" xfId="9188" xr:uid="{F639C769-6BC8-4143-BB40-F0017D97CB05}"/>
    <cellStyle name="Vírgula 3 13" xfId="9524" xr:uid="{ADDAD12B-D074-494B-A2B9-7C276C14FD96}"/>
    <cellStyle name="Vírgula 3 2" xfId="953" xr:uid="{00000000-0005-0000-0000-000079230000}"/>
    <cellStyle name="Vírgula 3 2 2" xfId="954" xr:uid="{00000000-0005-0000-0000-00007A230000}"/>
    <cellStyle name="Vírgula 3 2 2 2" xfId="2805" xr:uid="{00000000-0005-0000-0000-00007B230000}"/>
    <cellStyle name="Vírgula 3 2 3" xfId="2798" xr:uid="{00000000-0005-0000-0000-00007C230000}"/>
    <cellStyle name="Vírgula 3 2 4" xfId="2754" xr:uid="{00000000-0005-0000-0000-00007D230000}"/>
    <cellStyle name="Vírgula 3 2 5" xfId="7841" xr:uid="{00000000-0005-0000-0000-00007E230000}"/>
    <cellStyle name="Vírgula 3 2 6" xfId="2624" xr:uid="{00000000-0005-0000-0000-00007F230000}"/>
    <cellStyle name="Vírgula 3 3" xfId="955" xr:uid="{00000000-0005-0000-0000-000080230000}"/>
    <cellStyle name="Vírgula 3 3 2" xfId="2914" xr:uid="{00000000-0005-0000-0000-000081230000}"/>
    <cellStyle name="Vírgula 3 3 3" xfId="7845" xr:uid="{00000000-0005-0000-0000-000082230000}"/>
    <cellStyle name="Vírgula 3 3 4" xfId="2628" xr:uid="{00000000-0005-0000-0000-000083230000}"/>
    <cellStyle name="Vírgula 3 4" xfId="956" xr:uid="{00000000-0005-0000-0000-000084230000}"/>
    <cellStyle name="Vírgula 3 4 2" xfId="8062" xr:uid="{00000000-0005-0000-0000-000085230000}"/>
    <cellStyle name="Vírgula 3 4 3" xfId="3006" xr:uid="{00000000-0005-0000-0000-000086230000}"/>
    <cellStyle name="Vírgula 3 5" xfId="2766" xr:uid="{00000000-0005-0000-0000-000087230000}"/>
    <cellStyle name="Vírgula 3 5 2" xfId="7942" xr:uid="{00000000-0005-0000-0000-000088230000}"/>
    <cellStyle name="Vírgula 3 6" xfId="3552" xr:uid="{00000000-0005-0000-0000-000089230000}"/>
    <cellStyle name="Vírgula 3 6 2" xfId="8923" xr:uid="{00000000-0005-0000-0000-00008A230000}"/>
    <cellStyle name="Vírgula 3 6 2 2" xfId="9087" xr:uid="{00000000-0005-0000-0000-00008B230000}"/>
    <cellStyle name="Vírgula 3 6 2 2 2" xfId="9460" xr:uid="{BE355E95-FD3F-4B84-AE11-5070AB4EC3AE}"/>
    <cellStyle name="Vírgula 3 6 2 2 3" xfId="9796" xr:uid="{9C20C434-D004-4336-8541-752EE4B8378F}"/>
    <cellStyle name="Vírgula 3 6 2 3" xfId="9306" xr:uid="{58E0CCE7-CC47-46E3-8A03-523787DEC63D}"/>
    <cellStyle name="Vírgula 3 6 2 4" xfId="9642" xr:uid="{641EFBFB-B979-4D1F-94AC-AA2E0BF5937B}"/>
    <cellStyle name="Vírgula 3 6 3" xfId="9228" xr:uid="{D0D01037-C291-4CE5-9AA3-5BE32C54568C}"/>
    <cellStyle name="Vírgula 3 6 4" xfId="9564" xr:uid="{8F1DE870-8F4F-4AA7-A7D1-17D21E677F81}"/>
    <cellStyle name="Vírgula 3 7" xfId="3784" xr:uid="{00000000-0005-0000-0000-00008C230000}"/>
    <cellStyle name="Vírgula 3 7 2" xfId="8695" xr:uid="{00000000-0005-0000-0000-00008D230000}"/>
    <cellStyle name="Vírgula 3 8" xfId="2761" xr:uid="{00000000-0005-0000-0000-00008E230000}"/>
    <cellStyle name="Vírgula 3 9" xfId="2799" xr:uid="{00000000-0005-0000-0000-00008F230000}"/>
    <cellStyle name="Vírgula 4" xfId="957" xr:uid="{00000000-0005-0000-0000-000090230000}"/>
    <cellStyle name="Vírgula 4 2" xfId="958" xr:uid="{00000000-0005-0000-0000-000091230000}"/>
    <cellStyle name="Vírgula 4 2 2" xfId="2929" xr:uid="{00000000-0005-0000-0000-000092230000}"/>
    <cellStyle name="Vírgula 4 2 3" xfId="7844" xr:uid="{00000000-0005-0000-0000-000093230000}"/>
    <cellStyle name="Vírgula 4 2 4" xfId="2627" xr:uid="{00000000-0005-0000-0000-000094230000}"/>
    <cellStyle name="Vírgula 4 3" xfId="959" xr:uid="{00000000-0005-0000-0000-000095230000}"/>
    <cellStyle name="Vírgula 4 3 2" xfId="8078" xr:uid="{00000000-0005-0000-0000-000096230000}"/>
    <cellStyle name="Vírgula 4 3 3" xfId="3022" xr:uid="{00000000-0005-0000-0000-000097230000}"/>
    <cellStyle name="Vírgula 4 4" xfId="3553" xr:uid="{00000000-0005-0000-0000-000098230000}"/>
    <cellStyle name="Vírgula 4 5" xfId="3825" xr:uid="{00000000-0005-0000-0000-000099230000}"/>
    <cellStyle name="Vírgula 4 5 2" xfId="8736" xr:uid="{00000000-0005-0000-0000-00009A230000}"/>
    <cellStyle name="Vírgula 4 6" xfId="2823" xr:uid="{00000000-0005-0000-0000-00009B230000}"/>
    <cellStyle name="Vírgula 4 7" xfId="2843" xr:uid="{00000000-0005-0000-0000-00009C230000}"/>
    <cellStyle name="Vírgula 4 8" xfId="7521" xr:uid="{00000000-0005-0000-0000-00009D230000}"/>
    <cellStyle name="Vírgula 4 9" xfId="2288" xr:uid="{00000000-0005-0000-0000-00009E230000}"/>
    <cellStyle name="Vírgula 5" xfId="960" xr:uid="{00000000-0005-0000-0000-00009F230000}"/>
    <cellStyle name="Vírgula 5 2" xfId="961" xr:uid="{00000000-0005-0000-0000-0000A0230000}"/>
    <cellStyle name="Vírgula 5 2 2" xfId="962" xr:uid="{00000000-0005-0000-0000-0000A1230000}"/>
    <cellStyle name="Vírgula 5 2 2 2" xfId="8756" xr:uid="{00000000-0005-0000-0000-0000A2230000}"/>
    <cellStyle name="Vírgula 5 2 3" xfId="3845" xr:uid="{00000000-0005-0000-0000-0000A3230000}"/>
    <cellStyle name="Vírgula 5 3" xfId="963" xr:uid="{00000000-0005-0000-0000-0000A4230000}"/>
    <cellStyle name="Vírgula 5 4" xfId="3554" xr:uid="{00000000-0005-0000-0000-0000A5230000}"/>
    <cellStyle name="Vírgula 6" xfId="964" xr:uid="{00000000-0005-0000-0000-0000A6230000}"/>
    <cellStyle name="Vírgula 6 2" xfId="965" xr:uid="{00000000-0005-0000-0000-0000A7230000}"/>
    <cellStyle name="Vírgula 6 2 2" xfId="966" xr:uid="{00000000-0005-0000-0000-0000A8230000}"/>
    <cellStyle name="Vírgula 6 2 3" xfId="8868" xr:uid="{00000000-0005-0000-0000-0000A9230000}"/>
    <cellStyle name="Vírgula 6 3" xfId="967" xr:uid="{00000000-0005-0000-0000-0000AA230000}"/>
    <cellStyle name="Vírgula 6 3 2" xfId="968" xr:uid="{00000000-0005-0000-0000-0000AB230000}"/>
    <cellStyle name="Vírgula 6 4" xfId="969" xr:uid="{00000000-0005-0000-0000-0000AC230000}"/>
    <cellStyle name="Vírgula 6 5" xfId="970" xr:uid="{00000000-0005-0000-0000-0000AD230000}"/>
    <cellStyle name="Vírgula 6 6" xfId="3555" xr:uid="{00000000-0005-0000-0000-0000AE230000}"/>
    <cellStyle name="Vírgula 7" xfId="971" xr:uid="{00000000-0005-0000-0000-0000AF230000}"/>
    <cellStyle name="Vírgula 7 2" xfId="972" xr:uid="{00000000-0005-0000-0000-0000B0230000}"/>
    <cellStyle name="Vírgula 8" xfId="973" xr:uid="{00000000-0005-0000-0000-0000B1230000}"/>
    <cellStyle name="Vírgula 8 2" xfId="974" xr:uid="{00000000-0005-0000-0000-0000B2230000}"/>
    <cellStyle name="Vírgula 8 2 2" xfId="975" xr:uid="{00000000-0005-0000-0000-0000B3230000}"/>
    <cellStyle name="Vírgula 8 2 2 2" xfId="9088" xr:uid="{00000000-0005-0000-0000-0000B4230000}"/>
    <cellStyle name="Vírgula 8 2 2 2 2" xfId="9461" xr:uid="{590482E2-8854-44D9-B42E-8513503F90AF}"/>
    <cellStyle name="Vírgula 8 2 2 2 3" xfId="9797" xr:uid="{7F52CB86-F743-4DB9-A626-6F6DFC699514}"/>
    <cellStyle name="Vírgula 8 2 3" xfId="8924" xr:uid="{00000000-0005-0000-0000-0000B5230000}"/>
    <cellStyle name="Vírgula 8 2 3 2" xfId="9307" xr:uid="{3FCE1414-D06C-451E-8F61-6EF1E0C7128A}"/>
    <cellStyle name="Vírgula 8 2 3 3" xfId="9643" xr:uid="{DE913D83-38D2-4D2C-8592-AB42879D845E}"/>
    <cellStyle name="Vírgula 8 3" xfId="976" xr:uid="{00000000-0005-0000-0000-0000B6230000}"/>
    <cellStyle name="Vírgula 8 4" xfId="3556" xr:uid="{00000000-0005-0000-0000-0000B7230000}"/>
    <cellStyle name="Vírgula 8 4 2" xfId="9229" xr:uid="{73268B66-4201-4D83-BE6A-873F3602631B}"/>
    <cellStyle name="Vírgula 8 4 3" xfId="9565" xr:uid="{8540668A-DB72-4CAC-B150-472866A6F7B8}"/>
    <cellStyle name="Vírgula 9" xfId="977" xr:uid="{00000000-0005-0000-0000-0000B8230000}"/>
    <cellStyle name="Vírgula 9 2" xfId="978" xr:uid="{00000000-0005-0000-0000-0000B9230000}"/>
    <cellStyle name="Vírgula 9 2 2" xfId="9127" xr:uid="{00000000-0005-0000-0000-0000BA230000}"/>
    <cellStyle name="Vírgula 9 2 2 2" xfId="9500" xr:uid="{6E1C56F2-17AA-4817-B87A-748E4D5932DD}"/>
    <cellStyle name="Vírgula 9 2 2 3" xfId="9836" xr:uid="{BCAFF664-5D07-460A-9CEF-A6B7F234CC7B}"/>
    <cellStyle name="Vírgula 9 2 3" xfId="8964" xr:uid="{00000000-0005-0000-0000-0000BB230000}"/>
    <cellStyle name="Vírgula 9 2 3 2" xfId="9346" xr:uid="{4E1DCFEA-BF74-4245-B543-FEF408C38881}"/>
    <cellStyle name="Vírgula 9 2 3 3" xfId="9682" xr:uid="{18380F24-AE6B-44FB-9F56-C3A7A57DE28E}"/>
    <cellStyle name="Vírgula 9 3" xfId="9049" xr:uid="{00000000-0005-0000-0000-0000BC230000}"/>
    <cellStyle name="Vírgula 9 3 2" xfId="9422" xr:uid="{98AFBC48-9F25-419E-99EB-D9D26CA0B452}"/>
    <cellStyle name="Vírgula 9 3 3" xfId="9758" xr:uid="{E32E0877-0671-493C-9FC6-0D87ECDF8899}"/>
    <cellStyle name="Vírgula 9 4" xfId="8879" xr:uid="{00000000-0005-0000-0000-0000BD230000}"/>
    <cellStyle name="Vírgula 9 4 2" xfId="9268" xr:uid="{BA269775-531C-4138-8E77-2045A24383C9}"/>
    <cellStyle name="Vírgula 9 4 3" xfId="9604" xr:uid="{6C201426-9FCA-4470-841C-F54BEAFFC79D}"/>
    <cellStyle name="Warning Text" xfId="979" xr:uid="{00000000-0005-0000-0000-0000BE230000}"/>
    <cellStyle name="Warning Text 2" xfId="1151" xr:uid="{00000000-0005-0000-0000-0000BF230000}"/>
    <cellStyle name="Warning Text 2 2" xfId="3583" xr:uid="{00000000-0005-0000-0000-0000C0230000}"/>
    <cellStyle name="Warning Text 2 2 2" xfId="5195" xr:uid="{00000000-0005-0000-0000-0000C1230000}"/>
    <cellStyle name="Warning Text 2 2 3" xfId="8567" xr:uid="{00000000-0005-0000-0000-0000C2230000}"/>
    <cellStyle name="Warning Text 2 3" xfId="3558" xr:uid="{00000000-0005-0000-0000-0000C3230000}"/>
    <cellStyle name="Warning Text 2 3 2" xfId="5174" xr:uid="{00000000-0005-0000-0000-0000C4230000}"/>
    <cellStyle name="Warning Text 2 3 3" xfId="8547" xr:uid="{00000000-0005-0000-0000-0000C5230000}"/>
    <cellStyle name="Warning Text 2 4" xfId="4514" xr:uid="{00000000-0005-0000-0000-0000C6230000}"/>
    <cellStyle name="Warning Text 2 5" xfId="6406" xr:uid="{00000000-0005-0000-0000-0000C7230000}"/>
    <cellStyle name="Warning Text 3" xfId="3559" xr:uid="{00000000-0005-0000-0000-0000C8230000}"/>
    <cellStyle name="Warning Text 3 2" xfId="5175" xr:uid="{00000000-0005-0000-0000-0000C9230000}"/>
    <cellStyle name="Warning Text 3 3" xfId="8548" xr:uid="{00000000-0005-0000-0000-0000CA230000}"/>
    <cellStyle name="Warning Text 4" xfId="3560" xr:uid="{00000000-0005-0000-0000-0000CB230000}"/>
    <cellStyle name="Warning Text 4 2" xfId="5176" xr:uid="{00000000-0005-0000-0000-0000CC230000}"/>
    <cellStyle name="Warning Text 4 3" xfId="8549" xr:uid="{00000000-0005-0000-0000-0000CD230000}"/>
    <cellStyle name="Warning Text 5" xfId="3561" xr:uid="{00000000-0005-0000-0000-0000CE230000}"/>
    <cellStyle name="Warning Text 5 2" xfId="5177" xr:uid="{00000000-0005-0000-0000-0000CF230000}"/>
    <cellStyle name="Warning Text 5 3" xfId="8550" xr:uid="{00000000-0005-0000-0000-0000D0230000}"/>
    <cellStyle name="Warning Text 6" xfId="3557" xr:uid="{00000000-0005-0000-0000-0000D1230000}"/>
    <cellStyle name="Warning Text 6 2" xfId="5173" xr:uid="{00000000-0005-0000-0000-0000D2230000}"/>
    <cellStyle name="Warning Text 6 3" xfId="8546" xr:uid="{00000000-0005-0000-0000-0000D3230000}"/>
    <cellStyle name="Warning Text 7" xfId="4513" xr:uid="{00000000-0005-0000-0000-0000D4230000}"/>
    <cellStyle name="Warning Text 8" xfId="2114" xr:uid="{00000000-0005-0000-0000-0000D5230000}"/>
  </cellStyles>
  <dxfs count="10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103"/>
      <tableStyleElement type="totalRow" dxfId="102"/>
      <tableStyleElement type="firstRowStripe" dxfId="101"/>
      <tableStyleElement type="firstColumnStripe" dxfId="100"/>
      <tableStyleElement type="firstSubtotalColumn" dxfId="99"/>
      <tableStyleElement type="firstSubtotalRow" dxfId="98"/>
      <tableStyleElement type="secondSubtotalRow" dxfId="97"/>
      <tableStyleElement type="firstRowSubheading" dxfId="96"/>
      <tableStyleElement type="secondRowSubheading" dxfId="95"/>
      <tableStyleElement type="pageFieldLabels" dxfId="94"/>
      <tableStyleElement type="pageFieldValues" dxfId="93"/>
    </tableStyle>
  </tableStyles>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40</xdr:row>
      <xdr:rowOff>0</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00700" cy="7820025"/>
        </a:xfrm>
        <a:prstGeom prst="rect">
          <a:avLst/>
        </a:prstGeom>
      </xdr:spPr>
    </xdr:pic>
    <xdr:clientData/>
  </xdr:twoCellAnchor>
  <xdr:twoCellAnchor editAs="oneCell">
    <xdr:from>
      <xdr:col>0</xdr:col>
      <xdr:colOff>0</xdr:colOff>
      <xdr:row>0</xdr:row>
      <xdr:rowOff>0</xdr:rowOff>
    </xdr:from>
    <xdr:to>
      <xdr:col>1</xdr:col>
      <xdr:colOff>0</xdr:colOff>
      <xdr:row>40</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00700" cy="8029575"/>
        </a:xfrm>
        <a:prstGeom prst="rect">
          <a:avLst/>
        </a:prstGeom>
      </xdr:spPr>
    </xdr:pic>
    <xdr:clientData/>
  </xdr:twoCellAnchor>
  <xdr:twoCellAnchor editAs="oneCell">
    <xdr:from>
      <xdr:col>0</xdr:col>
      <xdr:colOff>0</xdr:colOff>
      <xdr:row>0</xdr:row>
      <xdr:rowOff>0</xdr:rowOff>
    </xdr:from>
    <xdr:to>
      <xdr:col>1</xdr:col>
      <xdr:colOff>0</xdr:colOff>
      <xdr:row>40</xdr:row>
      <xdr:rowOff>0</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00700" cy="8029575"/>
        </a:xfrm>
        <a:prstGeom prst="rect">
          <a:avLst/>
        </a:prstGeom>
      </xdr:spPr>
    </xdr:pic>
    <xdr:clientData/>
  </xdr:twoCellAnchor>
  <xdr:twoCellAnchor editAs="oneCell">
    <xdr:from>
      <xdr:col>0</xdr:col>
      <xdr:colOff>0</xdr:colOff>
      <xdr:row>0</xdr:row>
      <xdr:rowOff>0</xdr:rowOff>
    </xdr:from>
    <xdr:to>
      <xdr:col>1</xdr:col>
      <xdr:colOff>0</xdr:colOff>
      <xdr:row>40</xdr:row>
      <xdr:rowOff>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00700" cy="8029575"/>
        </a:xfrm>
        <a:prstGeom prst="rect">
          <a:avLst/>
        </a:prstGeom>
      </xdr:spPr>
    </xdr:pic>
    <xdr:clientData/>
  </xdr:twoCellAnchor>
  <xdr:twoCellAnchor editAs="oneCell">
    <xdr:from>
      <xdr:col>0</xdr:col>
      <xdr:colOff>0</xdr:colOff>
      <xdr:row>0</xdr:row>
      <xdr:rowOff>0</xdr:rowOff>
    </xdr:from>
    <xdr:to>
      <xdr:col>1</xdr:col>
      <xdr:colOff>0</xdr:colOff>
      <xdr:row>40</xdr:row>
      <xdr:rowOff>0</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00700" cy="802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78065</xdr:colOff>
      <xdr:row>1</xdr:row>
      <xdr:rowOff>95250</xdr:rowOff>
    </xdr:from>
    <xdr:to>
      <xdr:col>6</xdr:col>
      <xdr:colOff>101761</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069165" y="278130"/>
          <a:ext cx="141053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9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207393</xdr:colOff>
      <xdr:row>1</xdr:row>
      <xdr:rowOff>95250</xdr:rowOff>
    </xdr:from>
    <xdr:to>
      <xdr:col>6</xdr:col>
      <xdr:colOff>171608</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244213" y="278130"/>
          <a:ext cx="1335815"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A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139536</xdr:colOff>
      <xdr:row>1</xdr:row>
      <xdr:rowOff>95250</xdr:rowOff>
    </xdr:from>
    <xdr:to>
      <xdr:col>6</xdr:col>
      <xdr:colOff>40802</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5062056" y="278130"/>
          <a:ext cx="12881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B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67942</xdr:colOff>
      <xdr:row>2</xdr:row>
      <xdr:rowOff>38759</xdr:rowOff>
    </xdr:from>
    <xdr:to>
      <xdr:col>4</xdr:col>
      <xdr:colOff>137954</xdr:colOff>
      <xdr:row>5</xdr:row>
      <xdr:rowOff>8505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5180962" y="404519"/>
          <a:ext cx="1289212" cy="518386"/>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C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359793</xdr:colOff>
      <xdr:row>1</xdr:row>
      <xdr:rowOff>95250</xdr:rowOff>
    </xdr:from>
    <xdr:to>
      <xdr:col>6</xdr:col>
      <xdr:colOff>324008</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236593" y="278130"/>
          <a:ext cx="1335815"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D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315129</xdr:colOff>
      <xdr:row>2</xdr:row>
      <xdr:rowOff>27989</xdr:rowOff>
    </xdr:from>
    <xdr:to>
      <xdr:col>7</xdr:col>
      <xdr:colOff>504985</xdr:colOff>
      <xdr:row>4</xdr:row>
      <xdr:rowOff>189481</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5390049" y="393749"/>
          <a:ext cx="1332856" cy="519632"/>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E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449086</xdr:colOff>
      <xdr:row>2</xdr:row>
      <xdr:rowOff>14726</xdr:rowOff>
    </xdr:from>
    <xdr:to>
      <xdr:col>5</xdr:col>
      <xdr:colOff>262413</xdr:colOff>
      <xdr:row>4</xdr:row>
      <xdr:rowOff>179955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4579126" y="380486"/>
          <a:ext cx="1139207" cy="53098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F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000-000004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3848100</xdr:colOff>
      <xdr:row>2</xdr:row>
      <xdr:rowOff>38100</xdr:rowOff>
    </xdr:from>
    <xdr:to>
      <xdr:col>2</xdr:col>
      <xdr:colOff>771525</xdr:colOff>
      <xdr:row>5</xdr:row>
      <xdr:rowOff>6600</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2000000}"/>
            </a:ext>
          </a:extLst>
        </xdr:cNvPr>
        <xdr:cNvSpPr/>
      </xdr:nvSpPr>
      <xdr:spPr>
        <a:xfrm>
          <a:off x="4457700" y="419100"/>
          <a:ext cx="129540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3848100</xdr:colOff>
      <xdr:row>2</xdr:row>
      <xdr:rowOff>38100</xdr:rowOff>
    </xdr:from>
    <xdr:to>
      <xdr:col>2</xdr:col>
      <xdr:colOff>771525</xdr:colOff>
      <xdr:row>5</xdr:row>
      <xdr:rowOff>6600</xdr:rowOff>
    </xdr:to>
    <xdr:sp macro="" textlink="">
      <xdr:nvSpPr>
        <xdr:cNvPr id="9"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9000000}"/>
            </a:ext>
          </a:extLst>
        </xdr:cNvPr>
        <xdr:cNvSpPr/>
      </xdr:nvSpPr>
      <xdr:spPr>
        <a:xfrm>
          <a:off x="4457700" y="419100"/>
          <a:ext cx="129540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3528701</xdr:colOff>
      <xdr:row>2</xdr:row>
      <xdr:rowOff>23664</xdr:rowOff>
    </xdr:from>
    <xdr:to>
      <xdr:col>2</xdr:col>
      <xdr:colOff>257175</xdr:colOff>
      <xdr:row>5</xdr:row>
      <xdr:rowOff>884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4024001" y="404664"/>
          <a:ext cx="1376674"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100-000004000000}"/>
            </a:ext>
          </a:extLst>
        </xdr:cNvPr>
        <xdr:cNvSpPr txBox="1">
          <a:spLocks noChangeArrowheads="1"/>
        </xdr:cNvSpPr>
      </xdr:nvSpPr>
      <xdr:spPr bwMode="auto">
        <a:xfrm>
          <a:off x="495300"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9525</xdr:rowOff>
    </xdr:from>
    <xdr:to>
      <xdr:col>1</xdr:col>
      <xdr:colOff>2400300</xdr:colOff>
      <xdr:row>3</xdr:row>
      <xdr:rowOff>125730</xdr:rowOff>
    </xdr:to>
    <xdr:pic>
      <xdr:nvPicPr>
        <xdr:cNvPr id="5" name="Imagem 2">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3528701</xdr:colOff>
      <xdr:row>2</xdr:row>
      <xdr:rowOff>23664</xdr:rowOff>
    </xdr:from>
    <xdr:to>
      <xdr:col>2</xdr:col>
      <xdr:colOff>257175</xdr:colOff>
      <xdr:row>5</xdr:row>
      <xdr:rowOff>884</xdr:rowOff>
    </xdr:to>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00000000-0008-0000-1100-000006000000}"/>
            </a:ext>
          </a:extLst>
        </xdr:cNvPr>
        <xdr:cNvSpPr/>
      </xdr:nvSpPr>
      <xdr:spPr>
        <a:xfrm>
          <a:off x="4024001" y="404664"/>
          <a:ext cx="1376674"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3338201</xdr:colOff>
      <xdr:row>2</xdr:row>
      <xdr:rowOff>23664</xdr:rowOff>
    </xdr:from>
    <xdr:to>
      <xdr:col>1</xdr:col>
      <xdr:colOff>4876800</xdr:colOff>
      <xdr:row>5</xdr:row>
      <xdr:rowOff>884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833501" y="404664"/>
          <a:ext cx="1538599"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102870</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200-000004000000}"/>
            </a:ext>
          </a:extLst>
        </xdr:cNvPr>
        <xdr:cNvSpPr txBox="1">
          <a:spLocks noChangeArrowheads="1"/>
        </xdr:cNvSpPr>
      </xdr:nvSpPr>
      <xdr:spPr bwMode="auto">
        <a:xfrm>
          <a:off x="495300"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9525</xdr:rowOff>
    </xdr:from>
    <xdr:to>
      <xdr:col>1</xdr:col>
      <xdr:colOff>0</xdr:colOff>
      <xdr:row>3</xdr:row>
      <xdr:rowOff>123825</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123825</xdr:rowOff>
    </xdr:to>
    <xdr:pic>
      <xdr:nvPicPr>
        <xdr:cNvPr id="6" name="Imagem 2">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129540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2400300</xdr:colOff>
      <xdr:row>3</xdr:row>
      <xdr:rowOff>129540</xdr:rowOff>
    </xdr:to>
    <xdr:pic>
      <xdr:nvPicPr>
        <xdr:cNvPr id="9" name="Imagem 2">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96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3338201</xdr:colOff>
      <xdr:row>2</xdr:row>
      <xdr:rowOff>23664</xdr:rowOff>
    </xdr:from>
    <xdr:to>
      <xdr:col>1</xdr:col>
      <xdr:colOff>4876800</xdr:colOff>
      <xdr:row>5</xdr:row>
      <xdr:rowOff>884</xdr:rowOff>
    </xdr:to>
    <xdr:sp macro="" textlink="">
      <xdr:nvSpPr>
        <xdr:cNvPr id="11" name="Seta para a esquerda 4" descr="Índice" title="Índice">
          <a:hlinkClick xmlns:r="http://schemas.openxmlformats.org/officeDocument/2006/relationships" r:id="rId1"/>
          <a:extLst>
            <a:ext uri="{FF2B5EF4-FFF2-40B4-BE49-F238E27FC236}">
              <a16:creationId xmlns:a16="http://schemas.microsoft.com/office/drawing/2014/main" id="{00000000-0008-0000-1200-00000B000000}"/>
            </a:ext>
          </a:extLst>
        </xdr:cNvPr>
        <xdr:cNvSpPr/>
      </xdr:nvSpPr>
      <xdr:spPr>
        <a:xfrm>
          <a:off x="3833501" y="404664"/>
          <a:ext cx="1538599"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66675</xdr:rowOff>
    </xdr:from>
    <xdr:to>
      <xdr:col>3</xdr:col>
      <xdr:colOff>0</xdr:colOff>
      <xdr:row>4</xdr:row>
      <xdr:rowOff>38100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66675"/>
          <a:ext cx="8886825" cy="169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257175</xdr:colOff>
      <xdr:row>1</xdr:row>
      <xdr:rowOff>19050</xdr:rowOff>
    </xdr:from>
    <xdr:to>
      <xdr:col>2</xdr:col>
      <xdr:colOff>5419725</xdr:colOff>
      <xdr:row>3</xdr:row>
      <xdr:rowOff>771525</xdr:rowOff>
    </xdr:to>
    <xdr:pic>
      <xdr:nvPicPr>
        <xdr:cNvPr id="9219" name="Imagem 3">
          <a:extLst>
            <a:ext uri="{FF2B5EF4-FFF2-40B4-BE49-F238E27FC236}">
              <a16:creationId xmlns:a16="http://schemas.microsoft.com/office/drawing/2014/main" id="{00000000-0008-0000-0100-000003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57175" y="209550"/>
          <a:ext cx="5686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133350</xdr:rowOff>
    </xdr:from>
    <xdr:to>
      <xdr:col>5</xdr:col>
      <xdr:colOff>152400</xdr:colOff>
      <xdr:row>2</xdr:row>
      <xdr:rowOff>123825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xdr:row>
      <xdr:rowOff>638175</xdr:rowOff>
    </xdr:from>
    <xdr:to>
      <xdr:col>5</xdr:col>
      <xdr:colOff>161925</xdr:colOff>
      <xdr:row>3</xdr:row>
      <xdr:rowOff>819150</xdr:rowOff>
    </xdr:to>
    <xdr:pic>
      <xdr:nvPicPr>
        <xdr:cNvPr id="9221" name="Imagem 5">
          <a:extLst>
            <a:ext uri="{FF2B5EF4-FFF2-40B4-BE49-F238E27FC236}">
              <a16:creationId xmlns:a16="http://schemas.microsoft.com/office/drawing/2014/main" id="{00000000-0008-0000-0100-0000052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1209675"/>
          <a:ext cx="11068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7986053</xdr:colOff>
      <xdr:row>2</xdr:row>
      <xdr:rowOff>147124</xdr:rowOff>
    </xdr:from>
    <xdr:to>
      <xdr:col>6</xdr:col>
      <xdr:colOff>617220</xdr:colOff>
      <xdr:row>3</xdr:row>
      <xdr:rowOff>608722</xdr:rowOff>
    </xdr:to>
    <xdr:sp macro="" textlink="">
      <xdr:nvSpPr>
        <xdr:cNvPr id="7" name="Caixa de Texto 2">
          <a:extLst>
            <a:ext uri="{FF2B5EF4-FFF2-40B4-BE49-F238E27FC236}">
              <a16:creationId xmlns:a16="http://schemas.microsoft.com/office/drawing/2014/main" id="{00000000-0008-0000-0100-000007000000}"/>
            </a:ext>
          </a:extLst>
        </xdr:cNvPr>
        <xdr:cNvSpPr txBox="1">
          <a:spLocks noChangeArrowheads="1"/>
        </xdr:cNvSpPr>
      </xdr:nvSpPr>
      <xdr:spPr bwMode="auto">
        <a:xfrm>
          <a:off x="8519453" y="512884"/>
          <a:ext cx="4472647" cy="644478"/>
        </a:xfrm>
        <a:prstGeom prst="rect">
          <a:avLst/>
        </a:prstGeom>
        <a:noFill/>
        <a:ln w="9525">
          <a:noFill/>
          <a:miter lim="800000"/>
          <a:headEnd/>
          <a:tailEnd/>
        </a:ln>
      </xdr:spPr>
      <xdr:txBody>
        <a:bodyPr rot="0" vert="horz" wrap="square" lIns="0" tIns="0" rIns="0" bIns="0" anchor="ctr" anchorCtr="0">
          <a:noAutofit/>
        </a:bodyPr>
        <a:lstStyle/>
        <a:p>
          <a:pPr marL="270510">
            <a:lnSpc>
              <a:spcPct val="107000"/>
            </a:lnSpc>
            <a:spcAft>
              <a:spcPts val="0"/>
            </a:spcAft>
          </a:pPr>
          <a:r>
            <a:rPr lang="pt-PT" sz="16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p>
        <a:p>
          <a:pPr marL="270510">
            <a:lnSpc>
              <a:spcPct val="107000"/>
            </a:lnSpc>
            <a:spcAft>
              <a:spcPts val="0"/>
            </a:spcAft>
          </a:pPr>
          <a:r>
            <a:rPr lang="pt-PT" sz="14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400">
            <a:solidFill>
              <a:srgbClr val="2E74B5"/>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284899</xdr:colOff>
      <xdr:row>2</xdr:row>
      <xdr:rowOff>45206</xdr:rowOff>
    </xdr:from>
    <xdr:to>
      <xdr:col>7</xdr:col>
      <xdr:colOff>134782</xdr:colOff>
      <xdr:row>5</xdr:row>
      <xdr:rowOff>19935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4590199" y="410966"/>
          <a:ext cx="1145283" cy="52336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2</xdr:col>
      <xdr:colOff>57150</xdr:colOff>
      <xdr:row>3</xdr:row>
      <xdr:rowOff>114300</xdr:rowOff>
    </xdr:to>
    <xdr:pic>
      <xdr:nvPicPr>
        <xdr:cNvPr id="26626" name="Imagem 2">
          <a:extLst>
            <a:ext uri="{FF2B5EF4-FFF2-40B4-BE49-F238E27FC236}">
              <a16:creationId xmlns:a16="http://schemas.microsoft.com/office/drawing/2014/main" id="{00000000-0008-0000-1300-0000026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193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3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667341</xdr:colOff>
      <xdr:row>1</xdr:row>
      <xdr:rowOff>177311</xdr:rowOff>
    </xdr:from>
    <xdr:to>
      <xdr:col>4</xdr:col>
      <xdr:colOff>569122</xdr:colOff>
      <xdr:row>4</xdr:row>
      <xdr:rowOff>153286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155521" y="360191"/>
          <a:ext cx="1288621"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4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18556</xdr:colOff>
      <xdr:row>2</xdr:row>
      <xdr:rowOff>43961</xdr:rowOff>
    </xdr:from>
    <xdr:to>
      <xdr:col>8</xdr:col>
      <xdr:colOff>155733</xdr:colOff>
      <xdr:row>5</xdr:row>
      <xdr:rowOff>19936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4659136" y="409721"/>
          <a:ext cx="1143017"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3</xdr:col>
      <xdr:colOff>412115</xdr:colOff>
      <xdr:row>3</xdr:row>
      <xdr:rowOff>114300</xdr:rowOff>
    </xdr:to>
    <xdr:pic>
      <xdr:nvPicPr>
        <xdr:cNvPr id="28674" name="Imagem 2">
          <a:extLst>
            <a:ext uri="{FF2B5EF4-FFF2-40B4-BE49-F238E27FC236}">
              <a16:creationId xmlns:a16="http://schemas.microsoft.com/office/drawing/2014/main" id="{00000000-0008-0000-1500-0000027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381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4</xdr:row>
      <xdr:rowOff>0</xdr:rowOff>
    </xdr:from>
    <xdr:to>
      <xdr:col>2</xdr:col>
      <xdr:colOff>1781175</xdr:colOff>
      <xdr:row>6</xdr:row>
      <xdr:rowOff>104775</xdr:rowOff>
    </xdr:to>
    <xdr:sp macro="" textlink="">
      <xdr:nvSpPr>
        <xdr:cNvPr id="4" name="Caixa de Texto 2">
          <a:extLst>
            <a:ext uri="{FF2B5EF4-FFF2-40B4-BE49-F238E27FC236}">
              <a16:creationId xmlns:a16="http://schemas.microsoft.com/office/drawing/2014/main" id="{00000000-0008-0000-1500-000004000000}"/>
            </a:ext>
          </a:extLst>
        </xdr:cNvPr>
        <xdr:cNvSpPr txBox="1">
          <a:spLocks noChangeArrowheads="1"/>
        </xdr:cNvSpPr>
      </xdr:nvSpPr>
      <xdr:spPr bwMode="auto">
        <a:xfrm>
          <a:off x="561975" y="762000"/>
          <a:ext cx="1933575"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255550</xdr:colOff>
      <xdr:row>2</xdr:row>
      <xdr:rowOff>57882</xdr:rowOff>
    </xdr:from>
    <xdr:to>
      <xdr:col>8</xdr:col>
      <xdr:colOff>649130</xdr:colOff>
      <xdr:row>5</xdr:row>
      <xdr:rowOff>31365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4568470" y="423642"/>
          <a:ext cx="1254640" cy="522123"/>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15240</xdr:colOff>
      <xdr:row>1</xdr:row>
      <xdr:rowOff>26670</xdr:rowOff>
    </xdr:from>
    <xdr:to>
      <xdr:col>5</xdr:col>
      <xdr:colOff>167640</xdr:colOff>
      <xdr:row>3</xdr:row>
      <xdr:rowOff>140970</xdr:rowOff>
    </xdr:to>
    <xdr:pic>
      <xdr:nvPicPr>
        <xdr:cNvPr id="3" name="Imagem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86740" y="209550"/>
          <a:ext cx="23850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4</xdr:row>
      <xdr:rowOff>9525</xdr:rowOff>
    </xdr:from>
    <xdr:to>
      <xdr:col>4</xdr:col>
      <xdr:colOff>390525</xdr:colOff>
      <xdr:row>6</xdr:row>
      <xdr:rowOff>114300</xdr:rowOff>
    </xdr:to>
    <xdr:sp macro="" textlink="">
      <xdr:nvSpPr>
        <xdr:cNvPr id="4" name="Caixa de Texto 2">
          <a:extLst>
            <a:ext uri="{FF2B5EF4-FFF2-40B4-BE49-F238E27FC236}">
              <a16:creationId xmlns:a16="http://schemas.microsoft.com/office/drawing/2014/main" id="{00000000-0008-0000-1600-000004000000}"/>
            </a:ext>
          </a:extLst>
        </xdr:cNvPr>
        <xdr:cNvSpPr txBox="1">
          <a:spLocks noChangeArrowheads="1"/>
        </xdr:cNvSpPr>
      </xdr:nvSpPr>
      <xdr:spPr bwMode="auto">
        <a:xfrm>
          <a:off x="542925" y="741045"/>
          <a:ext cx="198882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3913484</xdr:colOff>
      <xdr:row>2</xdr:row>
      <xdr:rowOff>22346</xdr:rowOff>
    </xdr:from>
    <xdr:to>
      <xdr:col>1</xdr:col>
      <xdr:colOff>5024915</xdr:colOff>
      <xdr:row>4</xdr:row>
      <xdr:rowOff>187575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4500224" y="388106"/>
          <a:ext cx="1111431" cy="52336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7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971550</xdr:colOff>
      <xdr:row>2</xdr:row>
      <xdr:rowOff>9011</xdr:rowOff>
    </xdr:from>
    <xdr:to>
      <xdr:col>7</xdr:col>
      <xdr:colOff>184309</xdr:colOff>
      <xdr:row>4</xdr:row>
      <xdr:rowOff>174240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86650" y="390011"/>
          <a:ext cx="1289209" cy="54622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0</xdr:col>
      <xdr:colOff>561975</xdr:colOff>
      <xdr:row>0</xdr:row>
      <xdr:rowOff>161925</xdr:rowOff>
    </xdr:from>
    <xdr:to>
      <xdr:col>1</xdr:col>
      <xdr:colOff>2400300</xdr:colOff>
      <xdr:row>3</xdr:row>
      <xdr:rowOff>78105</xdr:rowOff>
    </xdr:to>
    <xdr:pic>
      <xdr:nvPicPr>
        <xdr:cNvPr id="31746" name="Imagem 2">
          <a:extLst>
            <a:ext uri="{FF2B5EF4-FFF2-40B4-BE49-F238E27FC236}">
              <a16:creationId xmlns:a16="http://schemas.microsoft.com/office/drawing/2014/main" id="{00000000-0008-0000-1800-0000027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61975" y="161925"/>
          <a:ext cx="24098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8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889118</xdr:colOff>
      <xdr:row>1</xdr:row>
      <xdr:rowOff>181121</xdr:rowOff>
    </xdr:from>
    <xdr:to>
      <xdr:col>3</xdr:col>
      <xdr:colOff>1999777</xdr:colOff>
      <xdr:row>4</xdr:row>
      <xdr:rowOff>157096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4622918" y="364001"/>
          <a:ext cx="1110659"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28575</xdr:colOff>
      <xdr:row>1</xdr:row>
      <xdr:rowOff>19050</xdr:rowOff>
    </xdr:from>
    <xdr:to>
      <xdr:col>2</xdr:col>
      <xdr:colOff>1778000</xdr:colOff>
      <xdr:row>3</xdr:row>
      <xdr:rowOff>139700</xdr:rowOff>
    </xdr:to>
    <xdr:pic>
      <xdr:nvPicPr>
        <xdr:cNvPr id="32770" name="Imagem 2">
          <a:extLst>
            <a:ext uri="{FF2B5EF4-FFF2-40B4-BE49-F238E27FC236}">
              <a16:creationId xmlns:a16="http://schemas.microsoft.com/office/drawing/2014/main" id="{00000000-0008-0000-1900-0000028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0075" y="20955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2</xdr:col>
      <xdr:colOff>1285875</xdr:colOff>
      <xdr:row>6</xdr:row>
      <xdr:rowOff>104775</xdr:rowOff>
    </xdr:to>
    <xdr:sp macro="" textlink="">
      <xdr:nvSpPr>
        <xdr:cNvPr id="4" name="Caixa de Texto 2">
          <a:extLst>
            <a:ext uri="{FF2B5EF4-FFF2-40B4-BE49-F238E27FC236}">
              <a16:creationId xmlns:a16="http://schemas.microsoft.com/office/drawing/2014/main" id="{00000000-0008-0000-1900-000004000000}"/>
            </a:ext>
          </a:extLst>
        </xdr:cNvPr>
        <xdr:cNvSpPr txBox="1">
          <a:spLocks noChangeArrowheads="1"/>
        </xdr:cNvSpPr>
      </xdr:nvSpPr>
      <xdr:spPr bwMode="auto">
        <a:xfrm>
          <a:off x="586740" y="731520"/>
          <a:ext cx="1964055"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204476</xdr:colOff>
      <xdr:row>2</xdr:row>
      <xdr:rowOff>42714</xdr:rowOff>
    </xdr:from>
    <xdr:to>
      <xdr:col>3</xdr:col>
      <xdr:colOff>637701</xdr:colOff>
      <xdr:row>5</xdr:row>
      <xdr:rowOff>19934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4761236" y="408474"/>
          <a:ext cx="1126645" cy="5258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A00-000004000000}"/>
            </a:ext>
          </a:extLst>
        </xdr:cNvPr>
        <xdr:cNvSpPr txBox="1">
          <a:spLocks noChangeArrowheads="1"/>
        </xdr:cNvSpPr>
      </xdr:nvSpPr>
      <xdr:spPr bwMode="auto">
        <a:xfrm>
          <a:off x="5029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3924914</xdr:colOff>
      <xdr:row>2</xdr:row>
      <xdr:rowOff>18536</xdr:rowOff>
    </xdr:from>
    <xdr:to>
      <xdr:col>1</xdr:col>
      <xdr:colOff>5036345</xdr:colOff>
      <xdr:row>4</xdr:row>
      <xdr:rowOff>183765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4511654" y="384296"/>
          <a:ext cx="1111431" cy="53098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4818" name="Imagem 2">
          <a:extLst>
            <a:ext uri="{FF2B5EF4-FFF2-40B4-BE49-F238E27FC236}">
              <a16:creationId xmlns:a16="http://schemas.microsoft.com/office/drawing/2014/main" id="{00000000-0008-0000-1B00-0000028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B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490575" y="365760"/>
          <a:ext cx="1295830" cy="5247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200-000004000000}"/>
            </a:ext>
          </a:extLst>
        </xdr:cNvPr>
        <xdr:cNvSpPr txBox="1">
          <a:spLocks noChangeArrowheads="1"/>
        </xdr:cNvSpPr>
      </xdr:nvSpPr>
      <xdr:spPr bwMode="auto">
        <a:xfrm>
          <a:off x="59436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111480</xdr:colOff>
      <xdr:row>2</xdr:row>
      <xdr:rowOff>38100</xdr:rowOff>
    </xdr:from>
    <xdr:to>
      <xdr:col>7</xdr:col>
      <xdr:colOff>31274</xdr:colOff>
      <xdr:row>5</xdr:row>
      <xdr:rowOff>6600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4988280" y="403860"/>
          <a:ext cx="1245674"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300-000004000000}"/>
            </a:ext>
          </a:extLst>
        </xdr:cNvPr>
        <xdr:cNvSpPr txBox="1">
          <a:spLocks noChangeArrowheads="1"/>
        </xdr:cNvSpPr>
      </xdr:nvSpPr>
      <xdr:spPr bwMode="auto">
        <a:xfrm>
          <a:off x="6553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15240</xdr:colOff>
      <xdr:row>1</xdr:row>
      <xdr:rowOff>22860</xdr:rowOff>
    </xdr:from>
    <xdr:to>
      <xdr:col>2</xdr:col>
      <xdr:colOff>243840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55320" y="20574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285723</xdr:colOff>
      <xdr:row>1</xdr:row>
      <xdr:rowOff>95250</xdr:rowOff>
    </xdr:from>
    <xdr:to>
      <xdr:col>6</xdr:col>
      <xdr:colOff>167800</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834863" y="278130"/>
          <a:ext cx="1238437"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500-000004000000}"/>
            </a:ext>
          </a:extLst>
        </xdr:cNvPr>
        <xdr:cNvSpPr txBox="1">
          <a:spLocks noChangeArrowheads="1"/>
        </xdr:cNvSpPr>
      </xdr:nvSpPr>
      <xdr:spPr bwMode="auto">
        <a:xfrm>
          <a:off x="6553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265395</xdr:colOff>
      <xdr:row>1</xdr:row>
      <xdr:rowOff>95250</xdr:rowOff>
    </xdr:from>
    <xdr:to>
      <xdr:col>6</xdr:col>
      <xdr:colOff>106206</xdr:colOff>
      <xdr:row>4</xdr:row>
      <xdr:rowOff>63750</xdr:rowOff>
    </xdr:to>
    <xdr:sp macro="" textlink="">
      <xdr:nvSpPr>
        <xdr:cNvPr id="4" name="Seta para a esquerda 4" descr="Índice" title="Índice">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4822155" y="293370"/>
          <a:ext cx="1227651" cy="5628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95250</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85725</xdr:rowOff>
    </xdr:to>
    <xdr:sp macro="" textlink="">
      <xdr:nvSpPr>
        <xdr:cNvPr id="6" name="Caixa de Texto 2">
          <a:extLst>
            <a:ext uri="{FF2B5EF4-FFF2-40B4-BE49-F238E27FC236}">
              <a16:creationId xmlns:a16="http://schemas.microsoft.com/office/drawing/2014/main" id="{00000000-0008-0000-0600-000006000000}"/>
            </a:ext>
          </a:extLst>
        </xdr:cNvPr>
        <xdr:cNvSpPr txBox="1">
          <a:spLocks noChangeArrowheads="1"/>
        </xdr:cNvSpPr>
      </xdr:nvSpPr>
      <xdr:spPr bwMode="auto">
        <a:xfrm>
          <a:off x="586740" y="792480"/>
          <a:ext cx="1943100" cy="48196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268924</xdr:colOff>
      <xdr:row>1</xdr:row>
      <xdr:rowOff>95250</xdr:rowOff>
    </xdr:from>
    <xdr:to>
      <xdr:col>6</xdr:col>
      <xdr:colOff>144307</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4810444" y="278130"/>
          <a:ext cx="1231743"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7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17676</xdr:colOff>
      <xdr:row>1</xdr:row>
      <xdr:rowOff>95250</xdr:rowOff>
    </xdr:from>
    <xdr:to>
      <xdr:col>6</xdr:col>
      <xdr:colOff>159</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016396" y="278130"/>
          <a:ext cx="1277883"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96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800-000004000000}"/>
            </a:ext>
          </a:extLst>
        </xdr:cNvPr>
        <xdr:cNvSpPr txBox="1">
          <a:spLocks noChangeArrowheads="1"/>
        </xdr:cNvSpPr>
      </xdr:nvSpPr>
      <xdr:spPr bwMode="auto">
        <a:xfrm>
          <a:off x="6248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Setembro de 2024</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55"/>
  <sheetViews>
    <sheetView showGridLines="0" zoomScaleNormal="100" zoomScalePageLayoutView="50" workbookViewId="0"/>
  </sheetViews>
  <sheetFormatPr defaultColWidth="0" defaultRowHeight="14.45" customHeight="1" zeroHeight="1"/>
  <cols>
    <col min="1" max="1" width="84" style="36" customWidth="1"/>
    <col min="2" max="16384" width="89.5703125" style="36" hidden="1"/>
  </cols>
  <sheetData>
    <row r="1" ht="15"/>
    <row r="2" ht="15"/>
    <row r="3" ht="15"/>
    <row r="4" ht="15"/>
    <row r="5" ht="15"/>
    <row r="6" ht="15"/>
    <row r="7" ht="15"/>
    <row r="8" ht="15"/>
    <row r="9" ht="15"/>
    <row r="10" ht="15"/>
    <row r="11" ht="15"/>
    <row r="12" ht="15"/>
    <row r="13" ht="15"/>
    <row r="14" ht="15"/>
    <row r="15" ht="15"/>
    <row r="16" ht="15"/>
    <row r="17" spans="1:1" ht="25.35" customHeight="1"/>
    <row r="18" spans="1:1" s="241" customFormat="1" ht="28.5">
      <c r="A18" s="240" t="s">
        <v>473</v>
      </c>
    </row>
    <row r="19" spans="1:1" s="243" customFormat="1" ht="24">
      <c r="A19" s="242" t="str">
        <f>IF(Indice_index!$Z$1=1,"Setembro de 2024","September 2024")</f>
        <v>Setembro de 2024</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7"/>
  <sheetViews>
    <sheetView showGridLines="0" zoomScaleNormal="100" workbookViewId="0"/>
  </sheetViews>
  <sheetFormatPr defaultColWidth="0" defaultRowHeight="14.85" customHeight="1" zeroHeight="1"/>
  <cols>
    <col min="1" max="1" width="8.5703125" style="53" customWidth="1"/>
    <col min="2" max="2" width="44" style="33" customWidth="1"/>
    <col min="3" max="5" width="10.42578125" style="33" customWidth="1"/>
    <col min="6" max="9" width="10.42578125" style="53" customWidth="1"/>
    <col min="10" max="11" width="8.5703125" style="53" customWidth="1"/>
    <col min="12" max="12" width="8.5703125" style="53" hidden="1" customWidth="1"/>
    <col min="13" max="15" width="0" hidden="1" customWidth="1"/>
    <col min="16" max="16384" width="9.42578125" hidden="1"/>
  </cols>
  <sheetData>
    <row r="1" spans="2:9" ht="14.85" customHeight="1"/>
    <row r="2" spans="2:9" ht="15"/>
    <row r="3" spans="2:9" ht="15"/>
    <row r="4" spans="2:9" ht="15"/>
    <row r="5" spans="2:9" ht="15"/>
    <row r="6" spans="2:9" ht="15"/>
    <row r="7" spans="2:9" ht="50.1" customHeight="1">
      <c r="B7" s="13"/>
      <c r="C7" s="14"/>
      <c r="D7" s="12"/>
      <c r="E7" s="12"/>
      <c r="F7" s="12"/>
      <c r="G7" s="12"/>
      <c r="H7" s="12"/>
      <c r="I7" s="12"/>
    </row>
    <row r="8" spans="2:9" ht="37.5" customHeight="1">
      <c r="B8" s="383"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383"/>
      <c r="D8" s="383"/>
      <c r="E8" s="383"/>
      <c r="F8" s="383"/>
      <c r="G8" s="383"/>
      <c r="H8" s="383"/>
      <c r="I8" s="383"/>
    </row>
    <row r="9" spans="2:9" ht="15">
      <c r="B9" s="3" t="str">
        <f>+'3 - Conta AC + SS'!B9</f>
        <v>Período: janeiro a setembro</v>
      </c>
      <c r="C9" s="3"/>
      <c r="D9" s="3"/>
      <c r="E9" s="3"/>
      <c r="F9" s="3"/>
      <c r="G9" s="3"/>
      <c r="H9" s="3"/>
      <c r="I9" s="3" t="str">
        <f>IF(Indice_index!$Z$1=1,"€ Milhões","€ Millions")</f>
        <v>€ Milhões</v>
      </c>
    </row>
    <row r="10" spans="2:9"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24" t="str">
        <f>IF(Indice_index!$Z$1=1,"Grau de Execução (%)","Execution Rate (%)")</f>
        <v>Grau de Execução (%)</v>
      </c>
      <c r="H10" s="378" t="str">
        <f>IF(Indice_index!$Z$1=1,"Variação Homóloga Acumulada","YOY Change Rate")</f>
        <v>Variação Homóloga Acumulada</v>
      </c>
      <c r="I10" s="375"/>
    </row>
    <row r="11" spans="2:9" ht="26.85" customHeight="1">
      <c r="B11" s="376"/>
      <c r="C11" s="24">
        <v>2023</v>
      </c>
      <c r="D11" s="24">
        <v>2024</v>
      </c>
      <c r="E11" s="24">
        <v>2023</v>
      </c>
      <c r="F11" s="24">
        <v>2024</v>
      </c>
      <c r="G11" s="24">
        <v>2024</v>
      </c>
      <c r="H11" s="24" t="str">
        <f>IF(Indice_index!$Z$1=1,"Relativa (%)","Relative change (%)")</f>
        <v>Relativa (%)</v>
      </c>
      <c r="I11" s="24" t="str">
        <f>IF(Indice_index!$Z$1=1,"Contributo VHA (pp)","YOY Change Rate Contrib. (pp)")</f>
        <v>Contributo VHA (pp)</v>
      </c>
    </row>
    <row r="12" spans="2:9" ht="14.1" customHeight="1">
      <c r="B12" s="212" t="str">
        <f>IF(Indice_index!$Z$1=1,"Receita corrente","Current revenue")</f>
        <v>Receita corrente</v>
      </c>
      <c r="C12" s="161">
        <f>SUM(C13:C24)-C13-C18</f>
        <v>37789.683094100023</v>
      </c>
      <c r="D12" s="161">
        <f>SUM(D13:D24)-D13-D18</f>
        <v>42577.144259000008</v>
      </c>
      <c r="E12" s="161">
        <f>SUM(E13:E24)-E13-E18</f>
        <v>26392.517460330011</v>
      </c>
      <c r="F12" s="161">
        <f>SUM(F13:F24)-F13-F18</f>
        <v>29960.156698679977</v>
      </c>
      <c r="G12" s="161">
        <f>IFERROR(IF(F12/D12*100&lt;-500,"-",IF(F12/D12*100&gt;500,"-",F12/D12*100)),"-")</f>
        <v>70.366759490561577</v>
      </c>
      <c r="H12" s="161">
        <f>IF(IFERROR((F12-E12)/E12*100,"")&gt;500,"-",IFERROR((F12-E12)/E12*100,""))</f>
        <v>13.517616285420301</v>
      </c>
      <c r="I12" s="161">
        <f t="shared" ref="I12:I23" si="0">IFERROR((F12-E12)/$E$34*100,"-")</f>
        <v>11.13723753123508</v>
      </c>
    </row>
    <row r="13" spans="2:9" ht="14.1" customHeight="1">
      <c r="B13" s="150" t="str">
        <f>IF(Indice_index!$Z$1=1,"Receita fiscal","Tax")</f>
        <v>Receita fiscal</v>
      </c>
      <c r="C13" s="5">
        <f>C14+C15</f>
        <v>723.76900354000009</v>
      </c>
      <c r="D13" s="5">
        <f>D14+D15</f>
        <v>799.62439800000004</v>
      </c>
      <c r="E13" s="5">
        <f>E14+E15</f>
        <v>506.10666601999998</v>
      </c>
      <c r="F13" s="5">
        <f>F14+F15</f>
        <v>584.33786442999997</v>
      </c>
      <c r="G13" s="5">
        <f>IFERROR(IF(F13/D13*100&lt;-500,"-",IF(F13/D13*100&gt;500,"-",F13/D13*100)),"-")</f>
        <v>73.076542673226427</v>
      </c>
      <c r="H13" s="5">
        <f t="shared" ref="H13:H31" si="1">IF(IFERROR((F13-E13)/E13*100,"")&gt;500,"-",IFERROR((F13-E13)/E13*100,""))</f>
        <v>15.457452679927458</v>
      </c>
      <c r="I13" s="5">
        <f t="shared" si="0"/>
        <v>0.24421736079131054</v>
      </c>
    </row>
    <row r="14" spans="2:9" ht="13.5" hidden="1" customHeight="1">
      <c r="B14" s="210" t="str">
        <f>IF(Indice_index!$Z$1=1,"Impostos diretos","Direct taxes")</f>
        <v>Impostos diretos</v>
      </c>
      <c r="C14" s="5">
        <v>0</v>
      </c>
      <c r="D14" s="5">
        <v>0</v>
      </c>
      <c r="E14" s="5">
        <v>0</v>
      </c>
      <c r="F14" s="5">
        <v>0</v>
      </c>
      <c r="G14" s="5" t="str">
        <f t="shared" ref="G14:G23" si="2">IFERROR(IF(F14/D14*100&lt;-500,"-",IF(F14/D14*100&gt;500,"-",F14/D14*100)),"-")</f>
        <v>-</v>
      </c>
      <c r="H14" s="5" t="str">
        <f t="shared" si="1"/>
        <v>-</v>
      </c>
      <c r="I14" s="5">
        <f t="shared" si="0"/>
        <v>0</v>
      </c>
    </row>
    <row r="15" spans="2:9" ht="14.1" customHeight="1">
      <c r="B15" s="210" t="str">
        <f>IF(Indice_index!$Z$1=1,"Impostos indiretos","Indirect taxes")</f>
        <v>Impostos indiretos</v>
      </c>
      <c r="C15" s="5">
        <v>723.76900354000009</v>
      </c>
      <c r="D15" s="5">
        <v>799.62439800000004</v>
      </c>
      <c r="E15" s="5">
        <v>506.10666601999998</v>
      </c>
      <c r="F15" s="5">
        <v>584.33786442999997</v>
      </c>
      <c r="G15" s="5">
        <f t="shared" si="2"/>
        <v>73.076542673226427</v>
      </c>
      <c r="H15" s="5">
        <f t="shared" si="1"/>
        <v>15.457452679927458</v>
      </c>
      <c r="I15" s="5">
        <f t="shared" si="0"/>
        <v>0.24421736079131054</v>
      </c>
    </row>
    <row r="16" spans="2:9" ht="14.1" customHeight="1">
      <c r="B16" s="150" t="str">
        <f>IF(Indice_index!$Z$1=1,"Contribuições para Segurança Social, CGA e ADSE","Social security, CGA and ADSE contributions")</f>
        <v>Contribuições para Segurança Social, CGA e ADSE</v>
      </c>
      <c r="C16" s="5">
        <v>4124.3229870399991</v>
      </c>
      <c r="D16" s="5">
        <v>4066.7574930000001</v>
      </c>
      <c r="E16" s="5">
        <v>2900.0191544300005</v>
      </c>
      <c r="F16" s="5">
        <v>3117.9758469500007</v>
      </c>
      <c r="G16" s="5">
        <f t="shared" si="2"/>
        <v>76.669824849819264</v>
      </c>
      <c r="H16" s="5">
        <f t="shared" si="1"/>
        <v>7.5156983769246715</v>
      </c>
      <c r="I16" s="5">
        <f t="shared" si="0"/>
        <v>0.68040384521622743</v>
      </c>
    </row>
    <row r="17" spans="2:9" ht="14.1" customHeight="1">
      <c r="B17" s="150" t="str">
        <f>IF(Indice_index!$Z$1=1,"Taxas, multas e outras penalidades","Taxes, fines and other penalties")</f>
        <v>Taxas, multas e outras penalidades</v>
      </c>
      <c r="C17" s="5">
        <v>2520.67383965</v>
      </c>
      <c r="D17" s="5">
        <v>2508.9116359999998</v>
      </c>
      <c r="E17" s="5">
        <v>1762.5272614900007</v>
      </c>
      <c r="F17" s="5">
        <v>1866.0384982499993</v>
      </c>
      <c r="G17" s="5">
        <f t="shared" si="2"/>
        <v>74.376413719578267</v>
      </c>
      <c r="H17" s="5">
        <f t="shared" si="1"/>
        <v>5.8728871332459587</v>
      </c>
      <c r="I17" s="5">
        <f t="shared" si="0"/>
        <v>0.32313503522323644</v>
      </c>
    </row>
    <row r="18" spans="2:9" ht="14.1" customHeight="1">
      <c r="B18" s="150" t="str">
        <f>IF(Indice_index!$Z$1=1,"Transferências correntes","Current transfers")</f>
        <v>Transferências correntes</v>
      </c>
      <c r="C18" s="5">
        <f>SUM(C19:C22)</f>
        <v>26210.868806950002</v>
      </c>
      <c r="D18" s="5">
        <f>SUM(D19:D22)</f>
        <v>29751.662322</v>
      </c>
      <c r="E18" s="5">
        <f>SUM(E19:E22)</f>
        <v>18504.23400086</v>
      </c>
      <c r="F18" s="5">
        <f>SUM(F19:F22)</f>
        <v>21368.285611459996</v>
      </c>
      <c r="G18" s="5">
        <f t="shared" si="2"/>
        <v>71.822156961156153</v>
      </c>
      <c r="H18" s="5">
        <f t="shared" si="1"/>
        <v>15.477817727915063</v>
      </c>
      <c r="I18" s="5">
        <f t="shared" si="0"/>
        <v>8.9408207943472462</v>
      </c>
    </row>
    <row r="19" spans="2:9" ht="14.1" customHeight="1">
      <c r="B19" s="210" t="str">
        <f>IF(Indice_index!$Z$1=1,"Administração Central","Central Administration")</f>
        <v>Administração Central</v>
      </c>
      <c r="C19" s="5">
        <v>23347.180131480003</v>
      </c>
      <c r="D19" s="5">
        <v>25334.770940999999</v>
      </c>
      <c r="E19" s="5">
        <v>16493.591015980001</v>
      </c>
      <c r="F19" s="5">
        <v>18921.313993549993</v>
      </c>
      <c r="G19" s="5">
        <f t="shared" si="2"/>
        <v>74.685159134117441</v>
      </c>
      <c r="H19" s="5">
        <f t="shared" si="1"/>
        <v>14.719189867251261</v>
      </c>
      <c r="I19" s="5">
        <f t="shared" si="0"/>
        <v>7.5787168081881058</v>
      </c>
    </row>
    <row r="20" spans="2:9" ht="14.1" customHeight="1">
      <c r="B20" s="210" t="str">
        <f>IF(Indice_index!$Z$1=1,"Outros subsetores das Administrações Públicas","Other General Government subsectors")</f>
        <v>Outros subsetores das Administrações Públicas</v>
      </c>
      <c r="C20" s="5">
        <v>1545.4012146200002</v>
      </c>
      <c r="D20" s="5">
        <v>1917.6178110000001</v>
      </c>
      <c r="E20" s="5">
        <v>1163.1081388299999</v>
      </c>
      <c r="F20" s="5">
        <v>1425.6900363199998</v>
      </c>
      <c r="G20" s="5">
        <f t="shared" si="2"/>
        <v>74.346933374410526</v>
      </c>
      <c r="H20" s="5">
        <f t="shared" si="1"/>
        <v>22.575879982590237</v>
      </c>
      <c r="I20" s="5">
        <f t="shared" si="0"/>
        <v>0.8197120752324446</v>
      </c>
    </row>
    <row r="21" spans="2:9" ht="14.1" customHeight="1">
      <c r="B21" s="210" t="str">
        <f>IF(Indice_index!$Z$1=1,"União Europeia","European Union")</f>
        <v>União Europeia</v>
      </c>
      <c r="C21" s="5">
        <v>1229.5320699499998</v>
      </c>
      <c r="D21" s="5">
        <v>2386.360291</v>
      </c>
      <c r="E21" s="5">
        <v>790.42702611000004</v>
      </c>
      <c r="F21" s="5">
        <v>952.33211169101753</v>
      </c>
      <c r="G21" s="5">
        <f t="shared" si="2"/>
        <v>39.907306339393728</v>
      </c>
      <c r="H21" s="5">
        <f t="shared" si="1"/>
        <v>20.483242631241446</v>
      </c>
      <c r="I21" s="5">
        <f t="shared" si="0"/>
        <v>0.50542537380116503</v>
      </c>
    </row>
    <row r="22" spans="2:9" ht="14.1" customHeight="1">
      <c r="B22" s="210" t="str">
        <f>IF(Indice_index!$Z$1=1,"Outras transferências","Other transfers")</f>
        <v>Outras transferências</v>
      </c>
      <c r="C22" s="5">
        <v>88.755390899999611</v>
      </c>
      <c r="D22" s="5">
        <v>112.91327899999987</v>
      </c>
      <c r="E22" s="5">
        <v>57.107819939999672</v>
      </c>
      <c r="F22" s="5">
        <v>68.949469898982329</v>
      </c>
      <c r="G22" s="5">
        <f t="shared" si="2"/>
        <v>61.064093178077314</v>
      </c>
      <c r="H22" s="5">
        <f t="shared" si="1"/>
        <v>20.735601484042089</v>
      </c>
      <c r="I22" s="5">
        <f t="shared" si="0"/>
        <v>3.6966537125521143E-2</v>
      </c>
    </row>
    <row r="23" spans="2:9" ht="14.1" customHeight="1">
      <c r="B23" s="150" t="str">
        <f>IF(Indice_index!$Z$1=1,"Outras receitas correntes","Other current revenue")</f>
        <v>Outras receitas correntes</v>
      </c>
      <c r="C23" s="5">
        <v>4210.0277438100084</v>
      </c>
      <c r="D23" s="5">
        <v>5425.2606909999995</v>
      </c>
      <c r="E23" s="5">
        <v>2706.6203902900033</v>
      </c>
      <c r="F23" s="5">
        <v>2982.9862392599971</v>
      </c>
      <c r="G23" s="5">
        <f t="shared" si="2"/>
        <v>54.983279314273183</v>
      </c>
      <c r="H23" s="5">
        <f t="shared" si="1"/>
        <v>10.210735497355145</v>
      </c>
      <c r="I23" s="5">
        <f t="shared" si="0"/>
        <v>0.86274197021216015</v>
      </c>
    </row>
    <row r="24" spans="2:9" ht="14.1" customHeight="1">
      <c r="B24" s="150" t="str">
        <f>IF(Indice_index!$Z$1=1,"Diferenças de consolidação","Consolidation differences")</f>
        <v>Diferenças de consolidação</v>
      </c>
      <c r="C24" s="5">
        <v>2.0713109999999986E-2</v>
      </c>
      <c r="D24" s="5">
        <v>24.927719000000007</v>
      </c>
      <c r="E24" s="5">
        <v>13.009987240003509</v>
      </c>
      <c r="F24" s="5">
        <v>40.532638329998484</v>
      </c>
      <c r="G24" s="5"/>
      <c r="H24" s="5"/>
      <c r="I24" s="5"/>
    </row>
    <row r="25" spans="2:9" ht="14.1" customHeight="1">
      <c r="B25" s="212" t="str">
        <f>IF(Indice_index!$Z$1=1,"Receita de capital","Capital revenue")</f>
        <v>Receita de capital</v>
      </c>
      <c r="C25" s="161">
        <f>SUM(C26:C33)-C27</f>
        <v>7087.4091188700004</v>
      </c>
      <c r="D25" s="161">
        <f>SUM(D26:D33)-D27</f>
        <v>6172.9982199999995</v>
      </c>
      <c r="E25" s="161">
        <f>SUM(E26:E33)-E27</f>
        <v>5640.9129872499998</v>
      </c>
      <c r="F25" s="161">
        <f>SUM(F26:F33)-F27</f>
        <v>2872.00899811</v>
      </c>
      <c r="G25" s="161">
        <f t="shared" ref="G25:G32" si="3">IFERROR(IF(F25/D25*100&lt;-500,"-",IF(F25/D25*100&gt;500,"-",F25/D25*100)),"-")</f>
        <v>46.525349526344108</v>
      </c>
      <c r="H25" s="161">
        <f t="shared" si="1"/>
        <v>-49.086096442162415</v>
      </c>
      <c r="I25" s="161">
        <f t="shared" ref="I25:I32" si="4">IFERROR((F25-E25)/$E$34*100,"-")</f>
        <v>-8.6437947808027502</v>
      </c>
    </row>
    <row r="26" spans="2:9" ht="14.1" customHeight="1">
      <c r="B26" s="150" t="str">
        <f>IF(Indice_index!$Z$1=1,"Venda de bens de investimento","Sale of investment goods")</f>
        <v>Venda de bens de investimento</v>
      </c>
      <c r="C26" s="5">
        <v>149.84864406</v>
      </c>
      <c r="D26" s="5">
        <v>287.412192</v>
      </c>
      <c r="E26" s="5">
        <v>130.72082867</v>
      </c>
      <c r="F26" s="5">
        <v>56.991796039999997</v>
      </c>
      <c r="G26" s="5">
        <f t="shared" si="3"/>
        <v>19.829289649619316</v>
      </c>
      <c r="H26" s="5">
        <f t="shared" si="1"/>
        <v>-56.401901196729924</v>
      </c>
      <c r="I26" s="5">
        <f t="shared" si="4"/>
        <v>-0.2301627755748836</v>
      </c>
    </row>
    <row r="27" spans="2:9" ht="14.1" customHeight="1">
      <c r="B27" s="150" t="str">
        <f>IF(Indice_index!$Z$1=1,"Transferências de capital","Capital transfers")</f>
        <v>Transferências de capital</v>
      </c>
      <c r="C27" s="5">
        <f>SUM(C28:C31)</f>
        <v>6895.2094951699983</v>
      </c>
      <c r="D27" s="5">
        <f>SUM(D28:D31)</f>
        <v>5823.0317309999991</v>
      </c>
      <c r="E27" s="5">
        <f>SUM(E28:E31)</f>
        <v>5487.4900094000004</v>
      </c>
      <c r="F27" s="5">
        <f>SUM(F28:F31)</f>
        <v>2797.79735523</v>
      </c>
      <c r="G27" s="5">
        <f t="shared" si="3"/>
        <v>48.047091008201143</v>
      </c>
      <c r="H27" s="5">
        <f t="shared" si="1"/>
        <v>-49.014989540984885</v>
      </c>
      <c r="I27" s="5">
        <f t="shared" si="4"/>
        <v>-8.3965176897661777</v>
      </c>
    </row>
    <row r="28" spans="2:9" ht="14.1" customHeight="1">
      <c r="B28" s="210" t="str">
        <f>IF(Indice_index!$Z$1=1,"Administração Central","Central Administration")</f>
        <v>Administração Central</v>
      </c>
      <c r="C28" s="5">
        <v>1628.8491232399995</v>
      </c>
      <c r="D28" s="5">
        <v>1983.0890529999999</v>
      </c>
      <c r="E28" s="5">
        <v>1054.0322104099998</v>
      </c>
      <c r="F28" s="5">
        <v>1269.2703575</v>
      </c>
      <c r="G28" s="5">
        <f t="shared" si="3"/>
        <v>64.00470798726154</v>
      </c>
      <c r="H28" s="5">
        <f t="shared" si="1"/>
        <v>20.420452521681135</v>
      </c>
      <c r="I28" s="5">
        <f t="shared" si="4"/>
        <v>0.67191725669911995</v>
      </c>
    </row>
    <row r="29" spans="2:9" ht="14.1" customHeight="1">
      <c r="B29" s="210" t="str">
        <f>IF(Indice_index!$Z$1=1,"Outros subsetores das Administrações Públicas","Other General Government subsectors")</f>
        <v>Outros subsetores das Administrações Públicas</v>
      </c>
      <c r="C29" s="5">
        <v>7.5603781999999997</v>
      </c>
      <c r="D29" s="5">
        <v>25.851453999999997</v>
      </c>
      <c r="E29" s="5">
        <v>6.7252752599999992</v>
      </c>
      <c r="F29" s="5">
        <v>4.2553472600000006</v>
      </c>
      <c r="G29" s="5">
        <f t="shared" si="3"/>
        <v>16.460765649777382</v>
      </c>
      <c r="H29" s="5">
        <f t="shared" si="1"/>
        <v>-36.726050674690136</v>
      </c>
      <c r="I29" s="5">
        <f t="shared" si="4"/>
        <v>-7.7104698606720442E-3</v>
      </c>
    </row>
    <row r="30" spans="2:9" ht="14.1" customHeight="1">
      <c r="B30" s="210" t="str">
        <f>IF(Indice_index!$Z$1=1,"União Europeia","European Union")</f>
        <v>União Europeia</v>
      </c>
      <c r="C30" s="5">
        <v>1815.6245064599998</v>
      </c>
      <c r="D30" s="5">
        <v>3430.9038999999998</v>
      </c>
      <c r="E30" s="5">
        <v>1238.5617687300005</v>
      </c>
      <c r="F30" s="5">
        <v>1468.9083437399997</v>
      </c>
      <c r="G30" s="5">
        <f t="shared" si="3"/>
        <v>42.814033460395088</v>
      </c>
      <c r="H30" s="5">
        <f t="shared" si="1"/>
        <v>18.597907736663998</v>
      </c>
      <c r="I30" s="5">
        <f t="shared" si="4"/>
        <v>0.71908182105860274</v>
      </c>
    </row>
    <row r="31" spans="2:9" ht="14.1" customHeight="1">
      <c r="B31" s="210" t="str">
        <f>IF(Indice_index!$Z$1=1,"Outras transferências","Other transfers")</f>
        <v>Outras transferências</v>
      </c>
      <c r="C31" s="5">
        <v>3443.1754872699994</v>
      </c>
      <c r="D31" s="5">
        <v>383.18732399999999</v>
      </c>
      <c r="E31" s="5">
        <v>3188.1707549999996</v>
      </c>
      <c r="F31" s="5">
        <v>55.363306729999977</v>
      </c>
      <c r="G31" s="5">
        <f t="shared" si="3"/>
        <v>14.448104950882973</v>
      </c>
      <c r="H31" s="5">
        <f t="shared" si="1"/>
        <v>-98.263477367290506</v>
      </c>
      <c r="I31" s="5">
        <f t="shared" si="4"/>
        <v>-9.7798062976632263</v>
      </c>
    </row>
    <row r="32" spans="2:9" ht="14.1" customHeight="1">
      <c r="B32" s="150" t="str">
        <f>IF(Indice_index!$Z$1=1,"Outras receitas de capital","Other capital revenue")</f>
        <v>Outras receitas de capital</v>
      </c>
      <c r="C32" s="5">
        <v>42.350979639999998</v>
      </c>
      <c r="D32" s="5">
        <v>34.787520999999998</v>
      </c>
      <c r="E32" s="5">
        <v>22.702149179999996</v>
      </c>
      <c r="F32" s="5">
        <v>17.219846839999999</v>
      </c>
      <c r="G32" s="5">
        <f t="shared" si="3"/>
        <v>49.500068832153922</v>
      </c>
      <c r="H32" s="5">
        <f>IF(IFERROR((F32-E32)/E32*100,"")&gt;500,"-",IFERROR((F32-E32)/E32*100,""))</f>
        <v>-24.148825278752739</v>
      </c>
      <c r="I32" s="5">
        <f t="shared" si="4"/>
        <v>-1.7114315461690309E-2</v>
      </c>
    </row>
    <row r="33" spans="2:9" ht="13.5" customHeight="1">
      <c r="B33" s="150" t="str">
        <f>IF(Indice_index!$Z$1=1,"Diferenças de consolidação","Consolidation differences")</f>
        <v>Diferenças de consolidação</v>
      </c>
      <c r="C33" s="5">
        <v>0</v>
      </c>
      <c r="D33" s="5">
        <v>27.766775999999936</v>
      </c>
      <c r="E33" s="5">
        <v>0</v>
      </c>
      <c r="F33" s="5">
        <v>0</v>
      </c>
      <c r="G33" s="5"/>
      <c r="H33" s="5"/>
      <c r="I33" s="5"/>
    </row>
    <row r="34" spans="2:9" ht="14.1" customHeight="1">
      <c r="B34" s="32" t="str">
        <f>IF(Indice_index!$Z$1=1,"Receita efetiva","Effective revenue")</f>
        <v>Receita efetiva</v>
      </c>
      <c r="C34" s="19">
        <f>C12+C25</f>
        <v>44877.092212970019</v>
      </c>
      <c r="D34" s="19">
        <f>D12+D25</f>
        <v>48750.142479000009</v>
      </c>
      <c r="E34" s="19">
        <f>E12+E25</f>
        <v>32033.430447580009</v>
      </c>
      <c r="F34" s="19">
        <f>F12+F25</f>
        <v>32832.165696789976</v>
      </c>
      <c r="G34" s="19">
        <f>IFERROR(IF(F34/D34*100&lt;-500,"-",IF(F34/D34*100&gt;500,"-",F34/D34*100)),"-")</f>
        <v>67.34783536465153</v>
      </c>
      <c r="H34" s="19">
        <f>IFERROR(IF(E34=0,"-",(F34-E34)/E34*100),"-")</f>
        <v>2.4934427504323322</v>
      </c>
      <c r="I34" s="19"/>
    </row>
    <row r="35" spans="2:9" ht="14.1" customHeight="1">
      <c r="B35" s="212" t="str">
        <f>IF(Indice_index!$Z$1=1,"Despesa corrente","Current Expenditure")</f>
        <v>Despesa corrente</v>
      </c>
      <c r="C35" s="161">
        <f>SUM(C36:C49)-C36-C42</f>
        <v>37293.462315279976</v>
      </c>
      <c r="D35" s="161">
        <f>SUM(D36:D49)-D36-D42</f>
        <v>41745.427394000013</v>
      </c>
      <c r="E35" s="161">
        <f>SUM(E36:E49)-E36-E42</f>
        <v>24400.668837690013</v>
      </c>
      <c r="F35" s="161">
        <f>SUM(F36:F49)-F36-F42</f>
        <v>27449.341245859985</v>
      </c>
      <c r="G35" s="161">
        <f t="shared" ref="G35:G48" si="5">IFERROR(IF(F35/D35*100&lt;-500,"-",IF(F35/D35*100&gt;500,"-",F35/D35*100)),"-")</f>
        <v>65.754126761689889</v>
      </c>
      <c r="H35" s="161">
        <f t="shared" ref="H35:H57" si="6">IF(IFERROR((F35-E35)/E35*100,"")&gt;500,"-",IFERROR((F35-E35)/E35*100,""))</f>
        <v>12.494216566149614</v>
      </c>
      <c r="I35" s="161">
        <f t="shared" ref="I35:I48" si="7">IFERROR((F35-E35)/$E$59*100,"-")</f>
        <v>10.936363453312381</v>
      </c>
    </row>
    <row r="36" spans="2:9" ht="14.1" customHeight="1">
      <c r="B36" s="150" t="str">
        <f>IF(Indice_index!$Z$1=1,"Despesas com pessoal","Employees")</f>
        <v>Despesas com pessoal</v>
      </c>
      <c r="C36" s="5">
        <f>SUM(C37:C39)</f>
        <v>9620.7204417199973</v>
      </c>
      <c r="D36" s="5">
        <f>SUM(D37:D39)</f>
        <v>10489.96875</v>
      </c>
      <c r="E36" s="5">
        <f>SUM(E37:E39)</f>
        <v>6834.458187889999</v>
      </c>
      <c r="F36" s="5">
        <f>SUM(F37:F39)</f>
        <v>7560.5791754799975</v>
      </c>
      <c r="G36" s="5">
        <f t="shared" si="5"/>
        <v>72.07437272375094</v>
      </c>
      <c r="H36" s="5">
        <f t="shared" si="6"/>
        <v>10.624411879154003</v>
      </c>
      <c r="I36" s="5">
        <f t="shared" si="7"/>
        <v>2.6047806940756795</v>
      </c>
    </row>
    <row r="37" spans="2:9" ht="14.1" customHeight="1">
      <c r="B37" s="210" t="str">
        <f>IF(Indice_index!$Z$1=1,"Remunerações certas e permanentes","Certain and permanent wages")</f>
        <v>Remunerações certas e permanentes</v>
      </c>
      <c r="C37" s="5">
        <v>6668.5484361599993</v>
      </c>
      <c r="D37" s="5">
        <v>7339.1088</v>
      </c>
      <c r="E37" s="5">
        <v>4724.2333087299976</v>
      </c>
      <c r="F37" s="5">
        <v>5266.3082093999965</v>
      </c>
      <c r="G37" s="5">
        <f t="shared" si="5"/>
        <v>71.756780733377283</v>
      </c>
      <c r="H37" s="5">
        <f t="shared" si="6"/>
        <v>11.474346528743377</v>
      </c>
      <c r="I37" s="5">
        <f t="shared" si="7"/>
        <v>1.9445605624134326</v>
      </c>
    </row>
    <row r="38" spans="2:9" ht="14.1" customHeight="1">
      <c r="B38" s="210" t="str">
        <f>IF(Indice_index!$Z$1=1,"Abonos variáveis ou eventuais","Variable or contingent bonuses")</f>
        <v>Abonos variáveis ou eventuais</v>
      </c>
      <c r="C38" s="5">
        <v>1132.6602795500003</v>
      </c>
      <c r="D38" s="5">
        <v>1145.054386</v>
      </c>
      <c r="E38" s="5">
        <v>826.67296382999984</v>
      </c>
      <c r="F38" s="5">
        <v>892.05628012999978</v>
      </c>
      <c r="G38" s="5">
        <f t="shared" si="5"/>
        <v>77.90514503387088</v>
      </c>
      <c r="H38" s="5">
        <f t="shared" si="6"/>
        <v>7.9092118843559529</v>
      </c>
      <c r="I38" s="5">
        <f t="shared" si="7"/>
        <v>0.23454658786015969</v>
      </c>
    </row>
    <row r="39" spans="2:9" ht="14.1" customHeight="1">
      <c r="B39" s="210" t="str">
        <f>IF(Indice_index!$Z$1=1,"Segurança Social","Social security")</f>
        <v>Segurança Social</v>
      </c>
      <c r="C39" s="5">
        <v>1819.5117260099985</v>
      </c>
      <c r="D39" s="5">
        <v>2005.805564</v>
      </c>
      <c r="E39" s="5">
        <v>1283.5519153300011</v>
      </c>
      <c r="F39" s="5">
        <v>1402.2146859500006</v>
      </c>
      <c r="G39" s="5">
        <f t="shared" si="5"/>
        <v>69.907807173178256</v>
      </c>
      <c r="H39" s="5">
        <f t="shared" si="6"/>
        <v>9.2448750379910649</v>
      </c>
      <c r="I39" s="5">
        <f t="shared" si="7"/>
        <v>0.42567354380208627</v>
      </c>
    </row>
    <row r="40" spans="2:9" ht="14.1" customHeight="1">
      <c r="B40" s="150" t="str">
        <f>IF(Indice_index!$Z$1=1,"Aquisição de bens e serviços","Purchase of goods and services")</f>
        <v>Aquisição de bens e serviços</v>
      </c>
      <c r="C40" s="5">
        <v>11502.946579219979</v>
      </c>
      <c r="D40" s="5">
        <v>12213.125117000001</v>
      </c>
      <c r="E40" s="5">
        <v>6993.0727761400021</v>
      </c>
      <c r="F40" s="5">
        <v>7512.885663439999</v>
      </c>
      <c r="G40" s="5">
        <f t="shared" si="5"/>
        <v>61.514850551907251</v>
      </c>
      <c r="H40" s="5">
        <f t="shared" si="6"/>
        <v>7.4332543638552036</v>
      </c>
      <c r="I40" s="5">
        <f t="shared" si="7"/>
        <v>1.8647010574156533</v>
      </c>
    </row>
    <row r="41" spans="2:9" ht="14.1" customHeight="1">
      <c r="B41" s="150" t="str">
        <f>IF(Indice_index!$Z$1=1,"Juros e outros encargos","Interests")</f>
        <v>Juros e outros encargos</v>
      </c>
      <c r="C41" s="5">
        <v>274.93266240000003</v>
      </c>
      <c r="D41" s="5">
        <v>374.93576999999999</v>
      </c>
      <c r="E41" s="5">
        <v>116.04054592000006</v>
      </c>
      <c r="F41" s="5">
        <v>167.22217662</v>
      </c>
      <c r="G41" s="5">
        <f t="shared" si="5"/>
        <v>44.600219557605833</v>
      </c>
      <c r="H41" s="5">
        <f t="shared" si="6"/>
        <v>44.10667865634246</v>
      </c>
      <c r="I41" s="5">
        <f t="shared" si="7"/>
        <v>0.18360152896991852</v>
      </c>
    </row>
    <row r="42" spans="2:9" ht="14.1" customHeight="1">
      <c r="B42" s="150" t="str">
        <f>IF(Indice_index!$Z$1=1,"Transferências correntes","Current transfers")</f>
        <v>Transferências correntes</v>
      </c>
      <c r="C42" s="5">
        <f>SUM(C43:C46)</f>
        <v>14469.346216689995</v>
      </c>
      <c r="D42" s="5">
        <f>SUM(D43:D46)</f>
        <v>16515.427867000002</v>
      </c>
      <c r="E42" s="5">
        <f>SUM(E43:E46)</f>
        <v>9642.5618262100033</v>
      </c>
      <c r="F42" s="5">
        <f>SUM(F43:F46)</f>
        <v>11352.553901800005</v>
      </c>
      <c r="G42" s="5">
        <f t="shared" si="5"/>
        <v>68.739084407760956</v>
      </c>
      <c r="H42" s="5">
        <f t="shared" si="6"/>
        <v>17.733794259342719</v>
      </c>
      <c r="I42" s="5">
        <f t="shared" si="7"/>
        <v>6.1341765651239628</v>
      </c>
    </row>
    <row r="43" spans="2:9" ht="14.1" customHeight="1">
      <c r="B43" s="210" t="str">
        <f>IF(Indice_index!$Z$1=1,"Administração Central","Central Administration")</f>
        <v>Administração Central</v>
      </c>
      <c r="C43" s="5">
        <v>657.34323660999792</v>
      </c>
      <c r="D43" s="5">
        <v>613.85885099999996</v>
      </c>
      <c r="E43" s="5">
        <v>345.62641425000083</v>
      </c>
      <c r="F43" s="5">
        <v>388.86311601000006</v>
      </c>
      <c r="G43" s="5">
        <f t="shared" si="5"/>
        <v>63.347317608360107</v>
      </c>
      <c r="H43" s="5">
        <f t="shared" si="6"/>
        <v>12.509663607112204</v>
      </c>
      <c r="I43" s="5">
        <f t="shared" si="7"/>
        <v>0.15510104782089784</v>
      </c>
    </row>
    <row r="44" spans="2:9" ht="14.1" customHeight="1">
      <c r="B44" s="210" t="str">
        <f>IF(Indice_index!$Z$1=1,"Outros subsetores das Administrações Públicas","Other General Government subsectors")</f>
        <v>Outros subsetores das Administrações Públicas</v>
      </c>
      <c r="C44" s="5">
        <v>708.19761878999998</v>
      </c>
      <c r="D44" s="5">
        <v>1009.6744190000001</v>
      </c>
      <c r="E44" s="5">
        <v>448.32378728000003</v>
      </c>
      <c r="F44" s="5">
        <v>812.67145443000027</v>
      </c>
      <c r="G44" s="5">
        <f t="shared" si="5"/>
        <v>80.488466295391035</v>
      </c>
      <c r="H44" s="5">
        <f t="shared" si="6"/>
        <v>81.268868056391426</v>
      </c>
      <c r="I44" s="5">
        <f t="shared" si="7"/>
        <v>1.3070077652950409</v>
      </c>
    </row>
    <row r="45" spans="2:9" ht="14.1" customHeight="1">
      <c r="B45" s="210" t="str">
        <f>IF(Indice_index!$Z$1=1,"União Europeia","European Union")</f>
        <v>União Europeia</v>
      </c>
      <c r="C45" s="5">
        <v>41.241822849999998</v>
      </c>
      <c r="D45" s="5">
        <v>31.069488</v>
      </c>
      <c r="E45" s="5">
        <v>27.838688580000003</v>
      </c>
      <c r="F45" s="5">
        <v>27.174440449999999</v>
      </c>
      <c r="G45" s="5">
        <f t="shared" si="5"/>
        <v>87.463431808081296</v>
      </c>
      <c r="H45" s="5">
        <f t="shared" si="6"/>
        <v>-2.3860611396659555</v>
      </c>
      <c r="I45" s="5">
        <f t="shared" si="7"/>
        <v>-2.38282701460331E-3</v>
      </c>
    </row>
    <row r="46" spans="2:9" ht="14.1" customHeight="1">
      <c r="B46" s="210" t="str">
        <f>IF(Indice_index!$Z$1=1,"Outras transferências","Other transfers")</f>
        <v>Outras transferências</v>
      </c>
      <c r="C46" s="5">
        <v>13062.563538439998</v>
      </c>
      <c r="D46" s="5">
        <v>14860.825109000001</v>
      </c>
      <c r="E46" s="5">
        <v>8820.772936100002</v>
      </c>
      <c r="F46" s="5">
        <v>10123.844890910004</v>
      </c>
      <c r="G46" s="5">
        <f t="shared" si="5"/>
        <v>68.124379478625372</v>
      </c>
      <c r="H46" s="5">
        <f t="shared" si="6"/>
        <v>14.772763841103249</v>
      </c>
      <c r="I46" s="5">
        <f t="shared" si="7"/>
        <v>4.6744505790226265</v>
      </c>
    </row>
    <row r="47" spans="2:9" ht="14.1" customHeight="1">
      <c r="B47" s="150" t="str">
        <f>IF(Indice_index!$Z$1=1,"Subsídios","Subsidies")</f>
        <v>Subsídios</v>
      </c>
      <c r="C47" s="5">
        <v>778.88116184</v>
      </c>
      <c r="D47" s="5">
        <v>792.13006099999996</v>
      </c>
      <c r="E47" s="5">
        <v>578.09387239</v>
      </c>
      <c r="F47" s="5">
        <v>518.06512657999997</v>
      </c>
      <c r="G47" s="5">
        <f t="shared" si="5"/>
        <v>65.401523321307209</v>
      </c>
      <c r="H47" s="5">
        <f t="shared" si="6"/>
        <v>-10.383909720721411</v>
      </c>
      <c r="I47" s="5">
        <f t="shared" si="7"/>
        <v>-0.21533838141000475</v>
      </c>
    </row>
    <row r="48" spans="2:9" ht="14.1" customHeight="1">
      <c r="B48" s="150" t="str">
        <f>IF(Indice_index!$Z$1=1,"Outras despesas correntes","Other current expenditure")</f>
        <v>Outras despesas correntes</v>
      </c>
      <c r="C48" s="5">
        <v>598.85886117999974</v>
      </c>
      <c r="D48" s="5">
        <v>1357.7848939999999</v>
      </c>
      <c r="E48" s="5">
        <v>200.51902126999997</v>
      </c>
      <c r="F48" s="5">
        <v>338.03520193999981</v>
      </c>
      <c r="G48" s="5">
        <f t="shared" si="5"/>
        <v>24.89607915316812</v>
      </c>
      <c r="H48" s="5">
        <f t="shared" si="6"/>
        <v>68.580117636238384</v>
      </c>
      <c r="I48" s="5">
        <f t="shared" si="7"/>
        <v>0.49330552160612484</v>
      </c>
    </row>
    <row r="49" spans="2:10" ht="14.1" customHeight="1">
      <c r="B49" s="150" t="str">
        <f>IF(Indice_index!$Z$1=1,"Diferenças de consolidação","Consolidation differences")</f>
        <v>Diferenças de consolidação</v>
      </c>
      <c r="C49" s="5">
        <v>47.776392230001314</v>
      </c>
      <c r="D49" s="5">
        <v>2.0549350000001141</v>
      </c>
      <c r="E49" s="5">
        <v>35.922607870000874</v>
      </c>
      <c r="F49" s="5">
        <v>0</v>
      </c>
      <c r="G49" s="5"/>
      <c r="H49" s="5"/>
      <c r="I49" s="5"/>
    </row>
    <row r="50" spans="2:10" ht="14.1" customHeight="1">
      <c r="B50" s="212" t="str">
        <f>IF(Indice_index!$Z$1=1,"Despesa de capital","Capital expenditure")</f>
        <v>Despesa de capital</v>
      </c>
      <c r="C50" s="161">
        <f>SUM(C51:C58)-C52</f>
        <v>5501.5375907200023</v>
      </c>
      <c r="D50" s="161">
        <f>SUM(D51:D58)-D52</f>
        <v>8624.5445189999991</v>
      </c>
      <c r="E50" s="161">
        <f>SUM(E51:E58)-E52</f>
        <v>3475.8041890599998</v>
      </c>
      <c r="F50" s="161">
        <f>SUM(F51:F58)-F52</f>
        <v>3499.6210150300017</v>
      </c>
      <c r="G50" s="161">
        <f t="shared" ref="G50:G57" si="8">IFERROR(IF(F50/D50*100&lt;-500,"-",IF(F50/D50*100&gt;500,"-",F50/D50*100)),"-")</f>
        <v>40.57745898719967</v>
      </c>
      <c r="H50" s="161">
        <f t="shared" si="6"/>
        <v>0.68521771292424127</v>
      </c>
      <c r="I50" s="161">
        <f t="shared" ref="I50:I57" si="9">IFERROR((F50-E50)/$E$59*100,"-")</f>
        <v>8.5437013309206972E-2</v>
      </c>
    </row>
    <row r="51" spans="2:10" ht="14.1" customHeight="1">
      <c r="B51" s="150" t="str">
        <f>IF(Indice_index!$Z$1=1,"Investimento","Investment")</f>
        <v>Investimento</v>
      </c>
      <c r="C51" s="5">
        <v>3501.2313092000009</v>
      </c>
      <c r="D51" s="5">
        <v>5751.3257409999997</v>
      </c>
      <c r="E51" s="5">
        <v>2246.4568807800001</v>
      </c>
      <c r="F51" s="5">
        <v>2198.9208369400017</v>
      </c>
      <c r="G51" s="5">
        <f t="shared" si="8"/>
        <v>38.233286305874735</v>
      </c>
      <c r="H51" s="5">
        <f t="shared" si="6"/>
        <v>-2.1160452375784442</v>
      </c>
      <c r="I51" s="5">
        <f t="shared" si="9"/>
        <v>-0.17052388153402082</v>
      </c>
    </row>
    <row r="52" spans="2:10" ht="14.1" customHeight="1">
      <c r="B52" s="150" t="str">
        <f>IF(Indice_index!$Z$1=1,"Transferências de capital","Capital transfers")</f>
        <v>Transferências de capital</v>
      </c>
      <c r="C52" s="5">
        <f>SUM(C53:C56)</f>
        <v>1625.2863032200005</v>
      </c>
      <c r="D52" s="5">
        <f>SUM(D53:D56)</f>
        <v>2613.6345160000001</v>
      </c>
      <c r="E52" s="5">
        <f>SUM(E53:E56)</f>
        <v>1043.7282781500001</v>
      </c>
      <c r="F52" s="5">
        <f>SUM(F53:F56)</f>
        <v>1123.7951069200003</v>
      </c>
      <c r="G52" s="5">
        <f t="shared" si="8"/>
        <v>42.997408399698386</v>
      </c>
      <c r="H52" s="5">
        <f t="shared" si="6"/>
        <v>7.6712330638313313</v>
      </c>
      <c r="I52" s="5">
        <f t="shared" si="9"/>
        <v>0.28722008230083068</v>
      </c>
    </row>
    <row r="53" spans="2:10" ht="14.1" customHeight="1">
      <c r="B53" s="210" t="str">
        <f>IF(Indice_index!$Z$1=1,"Administração Central","Central Administration")</f>
        <v>Administração Central</v>
      </c>
      <c r="C53" s="5">
        <v>36.119623380000192</v>
      </c>
      <c r="D53" s="5">
        <v>107.316917</v>
      </c>
      <c r="E53" s="5">
        <v>28.517983939999997</v>
      </c>
      <c r="F53" s="5">
        <v>68.405498819999991</v>
      </c>
      <c r="G53" s="5">
        <f t="shared" si="8"/>
        <v>63.741580295304225</v>
      </c>
      <c r="H53" s="5">
        <f t="shared" si="6"/>
        <v>139.86793373585161</v>
      </c>
      <c r="I53" s="5">
        <f t="shared" si="9"/>
        <v>0.14308666251187621</v>
      </c>
    </row>
    <row r="54" spans="2:10" ht="14.1" customHeight="1">
      <c r="B54" s="210" t="str">
        <f>IF(Indice_index!$Z$1=1,"Outros subsetores das Administrações Públicas","Other General Government subsectors")</f>
        <v>Outros subsetores das Administrações Públicas</v>
      </c>
      <c r="C54" s="5">
        <v>214.78644322000002</v>
      </c>
      <c r="D54" s="5">
        <v>500.02030199999996</v>
      </c>
      <c r="E54" s="5">
        <v>101.56307063999999</v>
      </c>
      <c r="F54" s="5">
        <v>195.02000462000004</v>
      </c>
      <c r="G54" s="5">
        <f t="shared" si="8"/>
        <v>39.00241726984919</v>
      </c>
      <c r="H54" s="5">
        <f t="shared" si="6"/>
        <v>92.01861797903598</v>
      </c>
      <c r="I54" s="5">
        <f t="shared" si="9"/>
        <v>0.33525379588127813</v>
      </c>
    </row>
    <row r="55" spans="2:10" ht="14.1" customHeight="1">
      <c r="B55" s="210" t="str">
        <f>IF(Indice_index!$Z$1=1,"União Europeia","European Union")</f>
        <v>União Europeia</v>
      </c>
      <c r="C55" s="5">
        <v>127.95585562000001</v>
      </c>
      <c r="D55" s="5">
        <v>258.91045000000003</v>
      </c>
      <c r="E55" s="5">
        <v>125.00445765000001</v>
      </c>
      <c r="F55" s="5">
        <v>22.19211005</v>
      </c>
      <c r="G55" s="5">
        <f t="shared" si="8"/>
        <v>8.5713458263272102</v>
      </c>
      <c r="H55" s="5">
        <f t="shared" si="6"/>
        <v>-82.246945055243003</v>
      </c>
      <c r="I55" s="5">
        <f t="shared" si="9"/>
        <v>-0.3688140443783624</v>
      </c>
    </row>
    <row r="56" spans="2:10" ht="14.1" customHeight="1">
      <c r="B56" s="210" t="str">
        <f>IF(Indice_index!$Z$1=1,"Outras transferências","Other transfers")</f>
        <v>Outras transferências</v>
      </c>
      <c r="C56" s="5">
        <v>1246.4243810000003</v>
      </c>
      <c r="D56" s="5">
        <v>1747.386847</v>
      </c>
      <c r="E56" s="5">
        <v>788.6427659200001</v>
      </c>
      <c r="F56" s="5">
        <v>838.17749343000014</v>
      </c>
      <c r="G56" s="5">
        <f t="shared" si="8"/>
        <v>47.967483266171115</v>
      </c>
      <c r="H56" s="5">
        <f t="shared" si="6"/>
        <v>6.2810095585185186</v>
      </c>
      <c r="I56" s="5">
        <f t="shared" si="9"/>
        <v>0.17769366828603805</v>
      </c>
    </row>
    <row r="57" spans="2:10" ht="14.1" customHeight="1">
      <c r="B57" s="150" t="str">
        <f>IF(Indice_index!$Z$1=1,"Outras despesas de capital","Other capital expenditure")</f>
        <v>Outras despesas de capital</v>
      </c>
      <c r="C57" s="5">
        <v>291.67313776999998</v>
      </c>
      <c r="D57" s="5">
        <v>259.58426200000002</v>
      </c>
      <c r="E57" s="5">
        <v>160.01362170999997</v>
      </c>
      <c r="F57" s="5">
        <v>134.26415323999998</v>
      </c>
      <c r="G57" s="5">
        <f t="shared" si="8"/>
        <v>51.722763239013304</v>
      </c>
      <c r="H57" s="5">
        <f t="shared" si="6"/>
        <v>-16.092047786198432</v>
      </c>
      <c r="I57" s="5">
        <f t="shared" si="9"/>
        <v>-9.2369893584783924E-2</v>
      </c>
    </row>
    <row r="58" spans="2:10" ht="14.1" customHeight="1">
      <c r="B58" s="150" t="str">
        <f>IF(Indice_index!$Z$1=1,"Diferenças de consolidação","Consolidation differences")</f>
        <v>Diferenças de consolidação</v>
      </c>
      <c r="C58" s="5">
        <v>83.346840530000094</v>
      </c>
      <c r="D58" s="5">
        <v>0</v>
      </c>
      <c r="E58" s="5">
        <v>25.605408420000003</v>
      </c>
      <c r="F58" s="5">
        <v>42.640917929999887</v>
      </c>
      <c r="G58" s="5"/>
      <c r="H58" s="5"/>
      <c r="I58" s="5"/>
    </row>
    <row r="59" spans="2:10" ht="14.1" customHeight="1">
      <c r="B59" s="32" t="str">
        <f>IF(Indice_index!$Z$1=1,"Despesa efetiva","Effective Expenditure")</f>
        <v>Despesa efetiva</v>
      </c>
      <c r="C59" s="19">
        <f>+C35+C50</f>
        <v>42794.999905999975</v>
      </c>
      <c r="D59" s="19">
        <f>+D35+D50</f>
        <v>50369.971913000016</v>
      </c>
      <c r="E59" s="19">
        <f>+E35+E50</f>
        <v>27876.473026750013</v>
      </c>
      <c r="F59" s="19">
        <f>+F35+F50</f>
        <v>30948.962260889988</v>
      </c>
      <c r="G59" s="19">
        <f>IFERROR(IF(F59/D59*100&lt;-500,"-",IF(F59/D59*100&gt;500,"-",F59/D59*100)),"-")</f>
        <v>61.443278773999779</v>
      </c>
      <c r="H59" s="19">
        <f>IFERROR(IF(E59=0,"-",(F59-E59)/E59*100),"-")</f>
        <v>11.021800466621594</v>
      </c>
      <c r="I59" s="19"/>
    </row>
    <row r="60" spans="2:10" ht="14.1" customHeight="1">
      <c r="B60" s="32" t="str">
        <f>IF(Indice_index!$Z$1=1,"Saldo global","Overall Balance")</f>
        <v>Saldo global</v>
      </c>
      <c r="C60" s="19">
        <f>+(C12+C25)-(C35+C50)</f>
        <v>2082.0923069700439</v>
      </c>
      <c r="D60" s="19">
        <f>+(D12+D25)-(D35+D50)</f>
        <v>-1619.8294340000066</v>
      </c>
      <c r="E60" s="19">
        <f>+(E12+E25)-(E35+E50)</f>
        <v>4156.9574208299964</v>
      </c>
      <c r="F60" s="19">
        <f>+(F12+F25)-(F35+F50)</f>
        <v>1883.2034358999881</v>
      </c>
      <c r="G60" s="19"/>
      <c r="H60" s="19"/>
      <c r="I60" s="19"/>
    </row>
    <row r="61" spans="2:10" ht="14.1" customHeight="1">
      <c r="B61" s="210" t="str">
        <f>IF(Indice_index!$Z$1=1,"Despesa primária","Primary Expenditure")</f>
        <v>Despesa primária</v>
      </c>
      <c r="C61" s="5">
        <f>C59-C41</f>
        <v>42520.067243599973</v>
      </c>
      <c r="D61" s="5">
        <f>D59-D41</f>
        <v>49995.036143000019</v>
      </c>
      <c r="E61" s="5">
        <f>E59-E41</f>
        <v>27760.432480830012</v>
      </c>
      <c r="F61" s="5">
        <f>F59-F41</f>
        <v>30781.74008426999</v>
      </c>
      <c r="G61" s="5">
        <f>IFERROR(IF(F61/D61*100&lt;-500,"-",IF(F61/D61*100&gt;500,"-",F61/D61*100)),"-")</f>
        <v>61.569592621606397</v>
      </c>
      <c r="H61" s="5">
        <f>IFERROR(IF(E61=0,"-",(F61-E61)/E61*100),"-")</f>
        <v>10.88350336590161</v>
      </c>
      <c r="I61" s="5"/>
      <c r="J61" s="288"/>
    </row>
    <row r="62" spans="2:10" ht="14.1" customHeight="1">
      <c r="B62" s="210" t="str">
        <f>IF(Indice_index!$Z$1=1,"Saldo corrente","Current balance")</f>
        <v>Saldo corrente</v>
      </c>
      <c r="C62" s="5">
        <f>+C12-C35</f>
        <v>496.22077882004669</v>
      </c>
      <c r="D62" s="5">
        <f>+D12-D35</f>
        <v>831.71686499999487</v>
      </c>
      <c r="E62" s="5">
        <f>+E12-E35</f>
        <v>1991.8486226399982</v>
      </c>
      <c r="F62" s="5">
        <f>+F12-F35</f>
        <v>2510.8154528199921</v>
      </c>
      <c r="G62" s="5"/>
      <c r="H62" s="5"/>
      <c r="I62" s="5"/>
    </row>
    <row r="63" spans="2:10" ht="14.1" customHeight="1">
      <c r="B63" s="210" t="str">
        <f>IF(Indice_index!$Z$1=1,"Saldo de capital","Capital balance")</f>
        <v>Saldo de capital</v>
      </c>
      <c r="C63" s="5">
        <f>C25-C50</f>
        <v>1585.8715281499981</v>
      </c>
      <c r="D63" s="5">
        <f>D25-D50</f>
        <v>-2451.5462989999996</v>
      </c>
      <c r="E63" s="5">
        <f>E25-E50</f>
        <v>2165.10879819</v>
      </c>
      <c r="F63" s="5">
        <f>F25-F50</f>
        <v>-627.61201692000168</v>
      </c>
      <c r="G63" s="5"/>
      <c r="H63" s="5"/>
      <c r="I63" s="5"/>
    </row>
    <row r="64" spans="2:10" ht="14.1" customHeight="1">
      <c r="B64" s="210" t="str">
        <f>IF(Indice_index!$Z$1=1,"Saldo primário","Primary balance")</f>
        <v>Saldo primário</v>
      </c>
      <c r="C64" s="5">
        <f>C60+C41</f>
        <v>2357.0249693700439</v>
      </c>
      <c r="D64" s="5">
        <f>D60+D41</f>
        <v>-1244.8936640000065</v>
      </c>
      <c r="E64" s="5">
        <f>E60+E41</f>
        <v>4272.9979667499965</v>
      </c>
      <c r="F64" s="5">
        <f>F60+F41</f>
        <v>2050.4256125199881</v>
      </c>
      <c r="G64" s="5"/>
      <c r="H64" s="5"/>
      <c r="I64" s="5"/>
    </row>
    <row r="65" spans="2:9" ht="14.1" customHeight="1">
      <c r="B65" s="150" t="str">
        <f>IF(Indice_index!$Z$1=1,"Ativos financeiros líquidos de reembolsos","Financial assets net of reimbursements")</f>
        <v>Ativos financeiros líquidos de reembolsos</v>
      </c>
      <c r="C65" s="5">
        <v>5535.5546803299958</v>
      </c>
      <c r="D65" s="5">
        <v>1231.8615729999983</v>
      </c>
      <c r="E65" s="5">
        <v>-356.13373477000141</v>
      </c>
      <c r="F65" s="5">
        <v>-2397.1437305800009</v>
      </c>
      <c r="G65" s="5"/>
      <c r="H65" s="5"/>
      <c r="I65" s="5"/>
    </row>
    <row r="66" spans="2:9" ht="14.1" customHeight="1">
      <c r="B66" s="293" t="str">
        <f>IF(Indice_index!$Z$1=1,"dos quais Receitas de:","of which revenue from:")</f>
        <v>dos quais Receitas de:</v>
      </c>
      <c r="C66" s="5"/>
      <c r="D66" s="5"/>
      <c r="E66" s="5"/>
      <c r="F66" s="5"/>
      <c r="G66" s="5"/>
      <c r="H66" s="5"/>
      <c r="I66" s="5"/>
    </row>
    <row r="67" spans="2:9" ht="15.75" hidden="1" customHeight="1">
      <c r="B67" s="210" t="str">
        <f>IF(Indice_index!$Z$1=1,"Alienação de partes de Capital","Disposal of Capital Shares")</f>
        <v>Alienação de partes de Capital</v>
      </c>
      <c r="C67" s="5">
        <v>0</v>
      </c>
      <c r="D67" s="5">
        <v>0</v>
      </c>
      <c r="E67" s="5">
        <v>0</v>
      </c>
      <c r="F67" s="5">
        <v>0</v>
      </c>
      <c r="G67" s="5"/>
      <c r="H67" s="5"/>
      <c r="I67" s="5"/>
    </row>
    <row r="68" spans="2:9" ht="12.75" customHeight="1">
      <c r="B68" s="210" t="str">
        <f>IF(Indice_index!$Z$1=1,"Outros ativos","Other Assets")</f>
        <v>Outros ativos</v>
      </c>
      <c r="C68" s="5">
        <v>7323.684108630001</v>
      </c>
      <c r="D68" s="5">
        <v>10338.836936000002</v>
      </c>
      <c r="E68" s="5">
        <v>6657.6169219700005</v>
      </c>
      <c r="F68" s="5">
        <v>7614.5396026200006</v>
      </c>
      <c r="G68" s="5"/>
      <c r="H68" s="5">
        <f>IF(IFERROR((F68-E68)/E68*100,"")&gt;500,"-",IFERROR((F68-E68)/E68*100,""))</f>
        <v>14.373351483954789</v>
      </c>
      <c r="I68" s="5"/>
    </row>
    <row r="69" spans="2:9" ht="13.5" customHeight="1">
      <c r="B69" s="150" t="str">
        <f>IF(Indice_index!$Z$1=1,"Passivos financeiros líquidos de amortizações","Financial liabilities net of amortizations")</f>
        <v>Passivos financeiros líquidos de amortizações</v>
      </c>
      <c r="C69" s="5">
        <v>2339.9461363099999</v>
      </c>
      <c r="D69" s="5">
        <v>2823.7052299999996</v>
      </c>
      <c r="E69" s="5">
        <v>1182.0867022899999</v>
      </c>
      <c r="F69" s="5">
        <v>1470.6777138299999</v>
      </c>
      <c r="G69" s="5"/>
      <c r="H69" s="5"/>
      <c r="I69" s="5"/>
    </row>
    <row r="70" spans="2:9" ht="13.5" customHeight="1">
      <c r="B70" s="211" t="str">
        <f>IF(Indice_index!$Z$1=1,"Poupança (+) / Utilização (-) de saldo da gerência anterior","Saving (+) / Usage (-) of balance from previous management")</f>
        <v>Poupança (+) / Utilização (-) de saldo da gerência anterior</v>
      </c>
      <c r="C70" s="20">
        <f>C60-C65+C69</f>
        <v>-1113.516237049952</v>
      </c>
      <c r="D70" s="20">
        <f>D60-D65+D69</f>
        <v>-27.985777000005328</v>
      </c>
      <c r="E70" s="20">
        <f>E60-E65+E69</f>
        <v>5695.1778578899975</v>
      </c>
      <c r="F70" s="20">
        <f>F60-F65+F69</f>
        <v>5751.0248803099894</v>
      </c>
      <c r="G70" s="20"/>
      <c r="H70" s="20"/>
      <c r="I70" s="20"/>
    </row>
    <row r="71" spans="2:9" ht="15">
      <c r="B71" s="10" t="str">
        <f>IF(Indice_index!$Z$1=1,"Notas:","Notes:")</f>
        <v>Notas:</v>
      </c>
      <c r="C71" s="10"/>
      <c r="D71" s="10"/>
      <c r="E71" s="10"/>
      <c r="F71" s="10"/>
      <c r="G71" s="10"/>
      <c r="H71" s="10"/>
      <c r="I71" s="10"/>
    </row>
    <row r="72" spans="2:9" ht="15">
      <c r="B72" s="379" t="str">
        <f>+'3 - Conta AC + SS'!$B$61</f>
        <v>Os dados de 2023 são mensalmente revistos e atualizados face ao publicado nas Sínteses de Execução Orçamental de 2023.</v>
      </c>
      <c r="C72" s="379"/>
      <c r="D72" s="379"/>
      <c r="E72" s="379"/>
      <c r="F72" s="379"/>
      <c r="G72" s="379"/>
      <c r="H72" s="379"/>
      <c r="I72" s="379"/>
    </row>
    <row r="73" spans="2:9" ht="15">
      <c r="B73" s="384" t="str">
        <f>IF(Indice_index!$Z$1=1,"Entidades em incumprimento no reporte da execução orçamental no mês em análise:","Non reporting entities are identified below:")</f>
        <v>Entidades em incumprimento no reporte da execução orçamental no mês em análise:</v>
      </c>
      <c r="C73" s="384"/>
      <c r="D73" s="384"/>
      <c r="E73" s="384"/>
      <c r="F73" s="384"/>
      <c r="G73" s="384"/>
      <c r="H73" s="384"/>
      <c r="I73" s="384"/>
    </row>
    <row r="74" spans="2:9" ht="15">
      <c r="B74" s="180" t="s">
        <v>474</v>
      </c>
      <c r="C74" s="181"/>
      <c r="D74" s="181"/>
      <c r="E74" s="182"/>
      <c r="F74" s="182"/>
      <c r="G74" s="182"/>
      <c r="H74" s="182"/>
      <c r="I74" s="182"/>
    </row>
    <row r="75" spans="2:9" ht="24.75" customHeight="1">
      <c r="B75" s="388" t="s">
        <v>607</v>
      </c>
      <c r="C75" s="388"/>
      <c r="D75" s="388"/>
      <c r="E75" s="388"/>
      <c r="F75" s="388"/>
      <c r="G75" s="388"/>
      <c r="H75" s="388"/>
      <c r="I75" s="388"/>
    </row>
    <row r="76" spans="2:9" ht="25.5" customHeight="1">
      <c r="B76" s="387" t="str">
        <f>+'8 - EPR'!B76:I76</f>
        <v>Para as entidades identificadas considera-se na execução orçamental uma estimativa de execução para os meses em falta, a qual corresponde a um duodécimo do orçamento aprovado abatido dos cativos previstos na lei do OE2024 ( Lei n.º 82/2023 de 29 de dezembro).</v>
      </c>
      <c r="C76" s="387"/>
      <c r="D76" s="387"/>
      <c r="E76" s="387"/>
      <c r="F76" s="387"/>
      <c r="G76" s="387"/>
      <c r="H76" s="387"/>
      <c r="I76" s="387"/>
    </row>
    <row r="77" spans="2:9" ht="15">
      <c r="B77" s="387" t="str">
        <f>+'8 - EPR'!B77:I77</f>
        <v>Esta estimativa apenas é utilizada para os meses em que haja falta de reporte. Nos restantes meses, é utilizada a informação efetivamente reportada pelas entidades.</v>
      </c>
      <c r="C77" s="387"/>
      <c r="D77" s="387"/>
      <c r="E77" s="387"/>
      <c r="F77" s="387"/>
      <c r="G77" s="387"/>
      <c r="H77" s="387"/>
      <c r="I77" s="387"/>
    </row>
    <row r="78" spans="2:9" ht="36.75" customHeight="1">
      <c r="B78" s="387" t="str">
        <f>IF(Indice_index!$Z$1=1,"O período de setembro de 2023 encontra-se ajustado dos dados de execução do Centro Hospitalar Universitário de Santo António, E.P.E., com base em informação enviada posteriormente pela entidade,"&amp;" uma vez que, na sequência da sua criação em fevereiro de 2023 (Decreto-Lei n.º 7-A/2023, de 30 de janeiro), por fusão do Centro Hospitalar Universitário do Porto, E.P.E. e"&amp;" do Hospital Magalhães Lemos - Porto, E.P.E., não se verificou viável o respetivo reporte nos sistemas centrais.","The period of September 2023 is adjusted from the execution data of the Centro Hospitalar Universitário de Santo António, E.P.E.,"&amp;" based on information sent later by the entity, since, following its creation in February 2023 (Decree-Law No. 7-A/2023, of January 30), by merger of Centro Hospitalar Universitário do Porto, "&amp;"E.P.E. and Hospital Magalhães Lemos - Porto, E.P.E., the respective reporting in the central systems was not viable.")</f>
        <v>O período de setembro de 2023 encontra-se ajustado dos dados de execução do Centro Hospitalar Universitário de Santo António, E.P.E., com base em informação enviada posteriormente pela entidade, uma vez que, na sequência da sua criação em fevereiro de 2023 (Decreto-Lei n.º 7-A/2023, de 30 de janeiro), por fusão do Centro Hospitalar Universitário do Porto, E.P.E. e do Hospital Magalhães Lemos - Porto, E.P.E., não se verificou viável o respetivo reporte nos sistemas centrais.</v>
      </c>
      <c r="C78" s="387"/>
      <c r="D78" s="387"/>
      <c r="E78" s="387"/>
      <c r="F78" s="387"/>
      <c r="G78" s="387"/>
      <c r="H78" s="387"/>
      <c r="I78" s="387"/>
    </row>
    <row r="79" spans="2:9" ht="15">
      <c r="B79" s="183" t="str">
        <f>IF(Indice_index!$Z$1=1,"Fonte: Direção-Geral do Orçamento.","Source: Budget General Directorate.")</f>
        <v>Fonte: Direção-Geral do Orçamento.</v>
      </c>
      <c r="C79" s="184"/>
      <c r="D79" s="184"/>
      <c r="E79" s="65"/>
      <c r="F79" s="185"/>
      <c r="G79" s="66"/>
      <c r="H79" s="56"/>
      <c r="I79" s="56"/>
    </row>
    <row r="80" spans="2:9" ht="14.85" customHeight="1"/>
    <row r="81" spans="2:10" ht="15" hidden="1">
      <c r="B81" s="385"/>
      <c r="C81" s="385"/>
      <c r="D81" s="385"/>
      <c r="E81" s="385"/>
      <c r="F81" s="385"/>
      <c r="G81" s="385"/>
      <c r="H81" s="385"/>
      <c r="I81" s="385"/>
      <c r="J81" s="385"/>
    </row>
    <row r="82" spans="2:10" ht="15" hidden="1">
      <c r="B82" s="385"/>
      <c r="C82" s="385"/>
      <c r="D82" s="385"/>
      <c r="E82" s="385"/>
      <c r="F82" s="385"/>
      <c r="G82" s="385"/>
      <c r="H82" s="385"/>
      <c r="I82" s="385"/>
      <c r="J82" s="385"/>
    </row>
    <row r="83" spans="2:10" ht="15" hidden="1">
      <c r="B83" s="386"/>
      <c r="C83" s="386"/>
      <c r="D83" s="386"/>
      <c r="E83" s="386"/>
      <c r="F83" s="386"/>
      <c r="G83" s="386"/>
      <c r="H83" s="386"/>
      <c r="I83" s="386"/>
      <c r="J83" s="386"/>
    </row>
    <row r="84" spans="2:10" ht="15" hidden="1">
      <c r="B84" s="386"/>
      <c r="C84" s="386"/>
      <c r="D84" s="386"/>
      <c r="E84" s="386"/>
      <c r="F84" s="386"/>
      <c r="G84" s="386"/>
      <c r="H84" s="386"/>
      <c r="I84" s="386"/>
      <c r="J84" s="386"/>
    </row>
    <row r="85" spans="2:10" ht="15" hidden="1">
      <c r="B85" s="385"/>
      <c r="C85" s="385"/>
      <c r="D85" s="385"/>
      <c r="E85" s="385"/>
      <c r="F85" s="385"/>
      <c r="G85" s="385"/>
      <c r="H85" s="385"/>
      <c r="I85" s="385"/>
      <c r="J85" s="385"/>
    </row>
    <row r="86" spans="2:10" ht="15" hidden="1">
      <c r="B86" s="385"/>
      <c r="C86" s="385"/>
      <c r="D86" s="385"/>
      <c r="E86" s="385"/>
      <c r="F86" s="385"/>
      <c r="G86" s="385"/>
      <c r="H86" s="385"/>
      <c r="I86" s="385"/>
      <c r="J86" s="385"/>
    </row>
    <row r="87" spans="2:10" ht="15" hidden="1">
      <c r="B87" s="386"/>
      <c r="C87" s="386"/>
      <c r="D87" s="386"/>
      <c r="E87" s="386"/>
      <c r="F87" s="386"/>
      <c r="G87" s="386"/>
      <c r="H87" s="386"/>
      <c r="I87" s="386"/>
      <c r="J87" s="386"/>
    </row>
  </sheetData>
  <mergeCells count="17">
    <mergeCell ref="B73:I73"/>
    <mergeCell ref="B85:J85"/>
    <mergeCell ref="B86:J86"/>
    <mergeCell ref="B87:J87"/>
    <mergeCell ref="B76:I76"/>
    <mergeCell ref="B77:I77"/>
    <mergeCell ref="B81:J81"/>
    <mergeCell ref="B82:J82"/>
    <mergeCell ref="B83:J83"/>
    <mergeCell ref="B84:J84"/>
    <mergeCell ref="B78:I78"/>
    <mergeCell ref="B75:I75"/>
    <mergeCell ref="B8:I8"/>
    <mergeCell ref="B10:B11"/>
    <mergeCell ref="E10:F10"/>
    <mergeCell ref="H10:I10"/>
    <mergeCell ref="B72:I72"/>
  </mergeCells>
  <conditionalFormatting sqref="C12:I33">
    <cfRule type="cellIs" dxfId="81" priority="3" operator="equal">
      <formula>0</formula>
    </cfRule>
  </conditionalFormatting>
  <conditionalFormatting sqref="C35:I58">
    <cfRule type="cellIs" dxfId="80" priority="2" operator="equal">
      <formula>0</formula>
    </cfRule>
  </conditionalFormatting>
  <conditionalFormatting sqref="C61:I70">
    <cfRule type="cellIs" dxfId="79"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D42 D50 C52:D52 C59:D64 D70 D66:D67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103"/>
  <sheetViews>
    <sheetView showGridLines="0" zoomScaleNormal="100" workbookViewId="0"/>
  </sheetViews>
  <sheetFormatPr defaultColWidth="0" defaultRowHeight="14.85" customHeight="1" zeroHeight="1"/>
  <cols>
    <col min="1" max="1" width="8.5703125" style="70" customWidth="1"/>
    <col min="2" max="2" width="44.5703125" style="33" customWidth="1"/>
    <col min="3" max="4" width="10.42578125" style="33" customWidth="1"/>
    <col min="5" max="5" width="10.42578125" style="71" customWidth="1"/>
    <col min="6" max="6" width="10.42578125" style="33" customWidth="1"/>
    <col min="7" max="9" width="10.42578125" style="53" customWidth="1"/>
    <col min="10" max="10" width="8.5703125" style="70" customWidth="1"/>
    <col min="11" max="15" width="0" hidden="1" customWidth="1"/>
    <col min="16" max="16384" width="9.42578125" hidden="1"/>
  </cols>
  <sheetData>
    <row r="1" spans="2:10" ht="14.85" customHeight="1"/>
    <row r="2" spans="2:10" ht="15"/>
    <row r="3" spans="2:10" ht="15"/>
    <row r="4" spans="2:10" ht="15"/>
    <row r="5" spans="2:10" ht="15"/>
    <row r="6" spans="2:10" ht="15"/>
    <row r="7" spans="2:10" ht="50.1" customHeight="1">
      <c r="B7" s="13"/>
      <c r="C7" s="14"/>
      <c r="D7" s="12"/>
      <c r="E7" s="12"/>
      <c r="F7" s="12"/>
      <c r="G7" s="12"/>
      <c r="H7" s="12"/>
      <c r="I7" s="12"/>
      <c r="J7" s="12"/>
    </row>
    <row r="8" spans="2: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2:10" ht="15">
      <c r="B9" s="3" t="str">
        <f>+'3 - Conta AC + SS'!B9</f>
        <v>Período: janeiro a setembro</v>
      </c>
      <c r="C9" s="3"/>
      <c r="D9" s="3"/>
      <c r="E9" s="3"/>
      <c r="F9" s="3"/>
      <c r="G9" s="3"/>
      <c r="H9" s="3"/>
      <c r="I9" s="3" t="str">
        <f>IF(Indice_index!$Z$1=1,"€ Milhões","€ Millions")</f>
        <v>€ Milhões</v>
      </c>
      <c r="J9" s="3"/>
    </row>
    <row r="10" spans="2:10"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24" t="str">
        <f>IF(Indice_index!$Z$1=1,"Grau de Execução (%)","Execution Rate (%)")</f>
        <v>Grau de Execução (%)</v>
      </c>
      <c r="H10" s="378" t="str">
        <f>IF(Indice_index!$Z$1=1,"Variação Homóloga Acumulada","YOY Change Rate")</f>
        <v>Variação Homóloga Acumulada</v>
      </c>
      <c r="I10" s="375"/>
    </row>
    <row r="11" spans="2:10" ht="26.85" customHeight="1">
      <c r="B11" s="376"/>
      <c r="C11" s="24">
        <v>2023</v>
      </c>
      <c r="D11" s="24">
        <v>2024</v>
      </c>
      <c r="E11" s="24">
        <v>2023</v>
      </c>
      <c r="F11" s="24">
        <v>2024</v>
      </c>
      <c r="G11" s="24">
        <v>2024</v>
      </c>
      <c r="H11" s="24" t="str">
        <f>IF(Indice_index!$Z$1=1,"Relativa (%)","Relative change (%)")</f>
        <v>Relativa (%)</v>
      </c>
      <c r="I11" s="24" t="str">
        <f>IF(Indice_index!$Z$1=1,"Contributo VHA (pp)","YOY Change Rate Contrib. (pp)")</f>
        <v>Contributo VHA (pp)</v>
      </c>
    </row>
    <row r="12" spans="2:10" ht="14.1" customHeight="1">
      <c r="B12" s="212" t="str">
        <f>IF(Indice_index!$Z$1=1,"Receita corrente","Current revenue")</f>
        <v>Receita corrente</v>
      </c>
      <c r="C12" s="161">
        <f>SUM(C13:C24)-C13-C18</f>
        <v>11994.925531349994</v>
      </c>
      <c r="D12" s="161">
        <f>SUM(D13:D24)-D13-D18</f>
        <v>17729.228110000004</v>
      </c>
      <c r="E12" s="161">
        <f>SUM(E13:E24)-E13-E18</f>
        <v>8303.2482862700017</v>
      </c>
      <c r="F12" s="161">
        <f>SUM(F13:F24)-F13-F18</f>
        <v>11300.059172720003</v>
      </c>
      <c r="G12" s="161">
        <f t="shared" ref="G12:G23" si="0">IFERROR(IF(F12/D12*100&lt;-500,"-",IF(F12/D12*100&gt;500,"-",F12/D12*100)),"-")</f>
        <v>63.736893127040936</v>
      </c>
      <c r="H12" s="161">
        <f>IF(IFERROR((F12-E12)/E12*100,"")&gt;500,"-",IFERROR((F12-E12)/E12*100,""))</f>
        <v>36.092030288982642</v>
      </c>
      <c r="I12" s="161">
        <f t="shared" ref="I12:I23" si="1">IFERROR((F12-E12)/$E$34*100,"-")</f>
        <v>31.003215928544758</v>
      </c>
      <c r="J12" s="62"/>
    </row>
    <row r="13" spans="2:10" ht="14.1" customHeight="1">
      <c r="B13" s="150" t="str">
        <f>IF(Indice_index!$Z$1=1,"Receita fiscal","Tax")</f>
        <v>Receita fiscal</v>
      </c>
      <c r="C13" s="5">
        <f>C14+C15</f>
        <v>192.35653287</v>
      </c>
      <c r="D13" s="5">
        <f>D14+D15</f>
        <v>214.51302000000001</v>
      </c>
      <c r="E13" s="5">
        <f>E14+E15</f>
        <v>146.75079730000002</v>
      </c>
      <c r="F13" s="5">
        <f>F14+F15</f>
        <v>161.58913103999998</v>
      </c>
      <c r="G13" s="5">
        <f t="shared" si="0"/>
        <v>75.328355845253583</v>
      </c>
      <c r="H13" s="5">
        <f t="shared" ref="H13:H32" si="2">IF(IFERROR((F13-E13)/E13*100,"")&gt;500,"-",IFERROR((F13-E13)/E13*100,""))</f>
        <v>10.111245739719035</v>
      </c>
      <c r="I13" s="5">
        <f t="shared" si="1"/>
        <v>0.15350854037572764</v>
      </c>
      <c r="J13" s="53"/>
    </row>
    <row r="14" spans="2:10" ht="13.5" hidden="1" customHeight="1">
      <c r="B14" s="210" t="str">
        <f>IF(Indice_index!$Z$1=1,"Impostos diretos","Direct taxes")</f>
        <v>Impostos diretos</v>
      </c>
      <c r="C14" s="5">
        <v>0</v>
      </c>
      <c r="D14" s="5">
        <v>0</v>
      </c>
      <c r="E14" s="5">
        <v>0</v>
      </c>
      <c r="F14" s="5">
        <v>0</v>
      </c>
      <c r="G14" s="5" t="str">
        <f t="shared" si="0"/>
        <v>-</v>
      </c>
      <c r="H14" s="5" t="str">
        <f t="shared" si="2"/>
        <v>-</v>
      </c>
      <c r="I14" s="5">
        <f t="shared" si="1"/>
        <v>0</v>
      </c>
      <c r="J14" s="53"/>
    </row>
    <row r="15" spans="2:10" ht="14.1" customHeight="1">
      <c r="B15" s="210" t="str">
        <f>IF(Indice_index!$Z$1=1,"Impostos indiretos","Indirect taxes")</f>
        <v>Impostos indiretos</v>
      </c>
      <c r="C15" s="5">
        <v>192.35653287</v>
      </c>
      <c r="D15" s="5">
        <v>214.51302000000001</v>
      </c>
      <c r="E15" s="5">
        <v>146.75079730000002</v>
      </c>
      <c r="F15" s="5">
        <v>161.58913103999998</v>
      </c>
      <c r="G15" s="5">
        <f t="shared" si="0"/>
        <v>75.328355845253583</v>
      </c>
      <c r="H15" s="5">
        <f t="shared" si="2"/>
        <v>10.111245739719035</v>
      </c>
      <c r="I15" s="5">
        <f t="shared" si="1"/>
        <v>0.15350854037572764</v>
      </c>
      <c r="J15" s="53"/>
    </row>
    <row r="16" spans="2:10" ht="15" hidden="1">
      <c r="B16" s="150" t="str">
        <f>IF(Indice_index!$Z$1=1,"Contribuições para Segurança Social, CGA e ADSE","Social security, CGA and ADSE contributions")</f>
        <v>Contribuições para Segurança Social, CGA e ADSE</v>
      </c>
      <c r="C16" s="5">
        <v>0</v>
      </c>
      <c r="D16" s="5">
        <v>0</v>
      </c>
      <c r="E16" s="5">
        <v>0</v>
      </c>
      <c r="F16" s="5">
        <v>0</v>
      </c>
      <c r="G16" s="5" t="str">
        <f t="shared" si="0"/>
        <v>-</v>
      </c>
      <c r="H16" s="5" t="str">
        <f t="shared" si="2"/>
        <v>-</v>
      </c>
      <c r="I16" s="5">
        <f t="shared" si="1"/>
        <v>0</v>
      </c>
      <c r="J16" s="53"/>
    </row>
    <row r="17" spans="2:10" ht="14.1" customHeight="1">
      <c r="B17" s="150" t="str">
        <f>IF(Indice_index!$Z$1=1,"Taxas, multas e outras penalidades","Taxes, fines and other penalties")</f>
        <v>Taxas, multas e outras penalidades</v>
      </c>
      <c r="C17" s="5">
        <v>546.59544306999999</v>
      </c>
      <c r="D17" s="5">
        <v>502.23922700000003</v>
      </c>
      <c r="E17" s="5">
        <v>397.64220132000003</v>
      </c>
      <c r="F17" s="5">
        <v>380.68054080999997</v>
      </c>
      <c r="G17" s="5">
        <f t="shared" si="0"/>
        <v>75.796656323302273</v>
      </c>
      <c r="H17" s="5">
        <f t="shared" si="2"/>
        <v>-4.2655584476936017</v>
      </c>
      <c r="I17" s="5">
        <f t="shared" si="1"/>
        <v>-0.17547521122400195</v>
      </c>
      <c r="J17" s="53"/>
    </row>
    <row r="18" spans="2:10" ht="14.1" customHeight="1">
      <c r="B18" s="150" t="str">
        <f>IF(Indice_index!$Z$1=1,"Transferências correntes","Current transfers")</f>
        <v>Transferências correntes</v>
      </c>
      <c r="C18" s="5">
        <f>SUM(C19:C22)</f>
        <v>1393.8150405199997</v>
      </c>
      <c r="D18" s="5">
        <f>SUM(D19:D22)</f>
        <v>1556.8078249999999</v>
      </c>
      <c r="E18" s="5">
        <f>SUM(E19:E22)</f>
        <v>881.29493109000009</v>
      </c>
      <c r="F18" s="5">
        <f>SUM(F19:F22)</f>
        <v>958.14393828000016</v>
      </c>
      <c r="G18" s="5">
        <f t="shared" si="0"/>
        <v>61.545421528183816</v>
      </c>
      <c r="H18" s="5">
        <f t="shared" si="2"/>
        <v>8.7200101213508567</v>
      </c>
      <c r="I18" s="5">
        <f t="shared" si="1"/>
        <v>0.79503393910458942</v>
      </c>
      <c r="J18" s="53"/>
    </row>
    <row r="19" spans="2:10" ht="14.1" customHeight="1">
      <c r="B19" s="210" t="str">
        <f>IF(Indice_index!$Z$1=1,"Administração Central","Central Administration")</f>
        <v>Administração Central</v>
      </c>
      <c r="C19" s="5">
        <v>1108.1775842799998</v>
      </c>
      <c r="D19" s="5">
        <v>1135.748106</v>
      </c>
      <c r="E19" s="5">
        <v>714.48793030999991</v>
      </c>
      <c r="F19" s="5">
        <v>755.22913574000017</v>
      </c>
      <c r="G19" s="5">
        <f t="shared" si="0"/>
        <v>66.496182714303401</v>
      </c>
      <c r="H19" s="5">
        <f t="shared" si="2"/>
        <v>5.7021544663915584</v>
      </c>
      <c r="I19" s="5">
        <f t="shared" si="1"/>
        <v>0.42148418335191207</v>
      </c>
      <c r="J19" s="53"/>
    </row>
    <row r="20" spans="2:10" ht="14.1" customHeight="1">
      <c r="B20" s="210" t="str">
        <f>IF(Indice_index!$Z$1=1,"Outros subsetores das Administrações Públicas","Other General Government subsectors")</f>
        <v>Outros subsetores das Administrações Públicas</v>
      </c>
      <c r="C20" s="5">
        <v>83.45296968000001</v>
      </c>
      <c r="D20" s="5">
        <v>50.871473000000002</v>
      </c>
      <c r="E20" s="5">
        <v>31.754063949999999</v>
      </c>
      <c r="F20" s="5">
        <v>51.891989459999998</v>
      </c>
      <c r="G20" s="5">
        <f t="shared" si="0"/>
        <v>102.00606823395893</v>
      </c>
      <c r="H20" s="5">
        <f t="shared" si="2"/>
        <v>63.418419581535169</v>
      </c>
      <c r="I20" s="5">
        <f t="shared" si="1"/>
        <v>0.20833495225288262</v>
      </c>
      <c r="J20" s="53"/>
    </row>
    <row r="21" spans="2:10" ht="14.1" customHeight="1">
      <c r="B21" s="210" t="str">
        <f>IF(Indice_index!$Z$1=1,"União Europeia","European Union")</f>
        <v>União Europeia</v>
      </c>
      <c r="C21" s="5">
        <v>186.58377326000004</v>
      </c>
      <c r="D21" s="5">
        <v>349.91956099999999</v>
      </c>
      <c r="E21" s="5">
        <v>125.24824419999999</v>
      </c>
      <c r="F21" s="5">
        <v>140.78001287101722</v>
      </c>
      <c r="G21" s="5">
        <f t="shared" si="0"/>
        <v>40.232107193063499</v>
      </c>
      <c r="H21" s="5">
        <f t="shared" si="2"/>
        <v>12.400787548139725</v>
      </c>
      <c r="I21" s="5">
        <f t="shared" si="1"/>
        <v>0.16068240409730236</v>
      </c>
      <c r="J21" s="53"/>
    </row>
    <row r="22" spans="2:10" ht="14.1" customHeight="1">
      <c r="B22" s="210" t="str">
        <f>IF(Indice_index!$Z$1=1,"Outras transferências","Other transfers")</f>
        <v>Outras transferências</v>
      </c>
      <c r="C22" s="5">
        <v>15.60071329999991</v>
      </c>
      <c r="D22" s="5">
        <v>20.268685000000005</v>
      </c>
      <c r="E22" s="5">
        <v>9.8046926300000337</v>
      </c>
      <c r="F22" s="5">
        <v>10.242800208982771</v>
      </c>
      <c r="G22" s="5">
        <f t="shared" si="0"/>
        <v>50.535099879359556</v>
      </c>
      <c r="H22" s="5">
        <f t="shared" si="2"/>
        <v>4.4683458779955281</v>
      </c>
      <c r="I22" s="5">
        <f t="shared" si="1"/>
        <v>4.5323994024940991E-3</v>
      </c>
      <c r="J22" s="53"/>
    </row>
    <row r="23" spans="2:10" ht="14.1" customHeight="1">
      <c r="B23" s="150" t="str">
        <f>IF(Indice_index!$Z$1=1,"Outras receitas correntes","Other current revenue")</f>
        <v>Outras receitas correntes</v>
      </c>
      <c r="C23" s="5">
        <v>9862.0194124699956</v>
      </c>
      <c r="D23" s="5">
        <v>15455.354867000002</v>
      </c>
      <c r="E23" s="5">
        <v>6877.5603565600013</v>
      </c>
      <c r="F23" s="5">
        <v>9779.1142023300017</v>
      </c>
      <c r="G23" s="5">
        <f t="shared" si="0"/>
        <v>63.27330744899421</v>
      </c>
      <c r="H23" s="5">
        <f t="shared" si="2"/>
        <v>42.188707846124835</v>
      </c>
      <c r="I23" s="5">
        <f t="shared" si="1"/>
        <v>30.017743467045975</v>
      </c>
      <c r="J23" s="53"/>
    </row>
    <row r="24" spans="2:10" ht="14.1" customHeight="1">
      <c r="B24" s="150" t="str">
        <f>IF(Indice_index!$Z$1=1,"Diferenças de consolidação","Consolidation differences")</f>
        <v>Diferenças de consolidação</v>
      </c>
      <c r="C24" s="5">
        <v>0.13910242000000017</v>
      </c>
      <c r="D24" s="5">
        <v>0.31317100000000009</v>
      </c>
      <c r="E24" s="5">
        <v>0</v>
      </c>
      <c r="F24" s="5">
        <v>20.531360259999989</v>
      </c>
      <c r="G24" s="5"/>
      <c r="H24" s="5"/>
      <c r="I24" s="5"/>
      <c r="J24" s="53"/>
    </row>
    <row r="25" spans="2:10" ht="14.1" customHeight="1">
      <c r="B25" s="212" t="str">
        <f>IF(Indice_index!$Z$1=1,"Receita de capital","Capital revenue")</f>
        <v>Receita de capital</v>
      </c>
      <c r="C25" s="161">
        <f>SUM(C26:C33)-C27</f>
        <v>2323.1049542599999</v>
      </c>
      <c r="D25" s="161">
        <f>SUM(D26:D33)-D27</f>
        <v>3035.2440329999995</v>
      </c>
      <c r="E25" s="161">
        <f>SUM(E26:E33)-E27</f>
        <v>1362.8808448399998</v>
      </c>
      <c r="F25" s="161">
        <f>SUM(F26:F33)-F27</f>
        <v>1157.1150625000002</v>
      </c>
      <c r="G25" s="161">
        <f t="shared" ref="G25:G32" si="3">IFERROR(IF(F25/D25*100&lt;-500,"-",IF(F25/D25*100&gt;500,"-",F25/D25*100)),"-")</f>
        <v>38.122636925384917</v>
      </c>
      <c r="H25" s="161">
        <f t="shared" si="2"/>
        <v>-15.097855628322087</v>
      </c>
      <c r="I25" s="161">
        <f t="shared" ref="I25:I32" si="4">IFERROR((F25-E25)/$E$34*100,"-")</f>
        <v>-2.1287299140019931</v>
      </c>
      <c r="J25" s="62"/>
    </row>
    <row r="26" spans="2:10" ht="14.1" customHeight="1">
      <c r="B26" s="150" t="str">
        <f>IF(Indice_index!$Z$1=1,"Venda de bens de investimento","Sale of investment goods")</f>
        <v>Venda de bens de investimento</v>
      </c>
      <c r="C26" s="5">
        <v>139.48138791000002</v>
      </c>
      <c r="D26" s="5">
        <v>262.78300000000002</v>
      </c>
      <c r="E26" s="5">
        <v>128.41989888000001</v>
      </c>
      <c r="F26" s="5">
        <v>55.325196820000002</v>
      </c>
      <c r="G26" s="5">
        <f t="shared" si="3"/>
        <v>21.053567704151334</v>
      </c>
      <c r="H26" s="5">
        <f t="shared" si="2"/>
        <v>-56.918517065881055</v>
      </c>
      <c r="I26" s="5">
        <f t="shared" si="4"/>
        <v>-0.7561941400591059</v>
      </c>
      <c r="J26" s="53"/>
    </row>
    <row r="27" spans="2:10" ht="14.1" customHeight="1">
      <c r="B27" s="150" t="str">
        <f>IF(Indice_index!$Z$1=1,"Transferências de capital","Capital transfers")</f>
        <v>Transferências de capital</v>
      </c>
      <c r="C27" s="5">
        <f>SUM(C28:C31)</f>
        <v>2172.35631306</v>
      </c>
      <c r="D27" s="5">
        <f>SUM(D28:D31)</f>
        <v>2752.0960669999999</v>
      </c>
      <c r="E27" s="5">
        <f>SUM(E28:E31)</f>
        <v>1224.04195688</v>
      </c>
      <c r="F27" s="5">
        <f>SUM(F28:F31)</f>
        <v>1086.8474219299999</v>
      </c>
      <c r="G27" s="5">
        <f t="shared" si="3"/>
        <v>39.491623674123723</v>
      </c>
      <c r="H27" s="5">
        <f t="shared" si="2"/>
        <v>-11.208319631436469</v>
      </c>
      <c r="I27" s="5">
        <f t="shared" si="4"/>
        <v>-1.419332734842593</v>
      </c>
      <c r="J27" s="53"/>
    </row>
    <row r="28" spans="2:10" ht="14.1" customHeight="1">
      <c r="B28" s="210" t="str">
        <f>IF(Indice_index!$Z$1=1,"Administração Central","Central Administration")</f>
        <v>Administração Central</v>
      </c>
      <c r="C28" s="5">
        <v>1270.7371326499999</v>
      </c>
      <c r="D28" s="5">
        <v>1611.824533</v>
      </c>
      <c r="E28" s="5">
        <v>717.95910892999996</v>
      </c>
      <c r="F28" s="5">
        <v>803.30365644999995</v>
      </c>
      <c r="G28" s="5">
        <f t="shared" si="3"/>
        <v>49.838157938622217</v>
      </c>
      <c r="H28" s="5">
        <f t="shared" si="2"/>
        <v>11.887104217842156</v>
      </c>
      <c r="I28" s="5">
        <f t="shared" si="4"/>
        <v>0.88292372636862881</v>
      </c>
      <c r="J28" s="53"/>
    </row>
    <row r="29" spans="2:10" ht="14.1" customHeight="1">
      <c r="B29" s="210" t="str">
        <f>IF(Indice_index!$Z$1=1,"Outros subsetores das Administrações Públicas","Other General Government subsectors")</f>
        <v>Outros subsetores das Administrações Públicas</v>
      </c>
      <c r="C29" s="5">
        <v>0.44149875</v>
      </c>
      <c r="D29" s="5">
        <v>1.7507809999999999</v>
      </c>
      <c r="E29" s="5">
        <v>2.201815E-2</v>
      </c>
      <c r="F29" s="5">
        <v>0.17002305000000001</v>
      </c>
      <c r="G29" s="5">
        <f t="shared" si="3"/>
        <v>9.7112688565845762</v>
      </c>
      <c r="H29" s="5" t="str">
        <f t="shared" si="2"/>
        <v>-</v>
      </c>
      <c r="I29" s="5">
        <f t="shared" si="4"/>
        <v>1.5311703163953488E-3</v>
      </c>
      <c r="J29" s="53"/>
    </row>
    <row r="30" spans="2:10" ht="14.1" customHeight="1">
      <c r="B30" s="210" t="str">
        <f>IF(Indice_index!$Z$1=1,"União Europeia","European Union")</f>
        <v>União Europeia</v>
      </c>
      <c r="C30" s="5">
        <v>479.63336469999985</v>
      </c>
      <c r="D30" s="5">
        <v>759.50094799999999</v>
      </c>
      <c r="E30" s="5">
        <v>338.08988984000001</v>
      </c>
      <c r="F30" s="5">
        <v>238.37565217999997</v>
      </c>
      <c r="G30" s="5">
        <f t="shared" si="3"/>
        <v>31.385826812687529</v>
      </c>
      <c r="H30" s="5">
        <f t="shared" si="2"/>
        <v>-29.493410083096389</v>
      </c>
      <c r="I30" s="5">
        <f t="shared" si="4"/>
        <v>-1.031583959902566</v>
      </c>
      <c r="J30" s="53"/>
    </row>
    <row r="31" spans="2:10" ht="14.1" customHeight="1">
      <c r="B31" s="210" t="str">
        <f>IF(Indice_index!$Z$1=1,"Outras transferências","Other transfers")</f>
        <v>Outras transferências</v>
      </c>
      <c r="C31" s="5">
        <v>421.54431696000012</v>
      </c>
      <c r="D31" s="5">
        <v>379.01980500000002</v>
      </c>
      <c r="E31" s="5">
        <v>167.97093996000007</v>
      </c>
      <c r="F31" s="5">
        <v>44.998090249999962</v>
      </c>
      <c r="G31" s="5">
        <f t="shared" si="3"/>
        <v>11.872226637338901</v>
      </c>
      <c r="H31" s="5">
        <f t="shared" si="2"/>
        <v>-73.210788568120392</v>
      </c>
      <c r="I31" s="5">
        <f t="shared" si="4"/>
        <v>-1.2722036716250513</v>
      </c>
      <c r="J31" s="53"/>
    </row>
    <row r="32" spans="2:10" ht="14.1" customHeight="1">
      <c r="B32" s="150" t="str">
        <f>IF(Indice_index!$Z$1=1,"Outras receitas de capital","Other capital revenue")</f>
        <v>Outras receitas de capital</v>
      </c>
      <c r="C32" s="5">
        <v>11.267253290000003</v>
      </c>
      <c r="D32" s="5">
        <v>20.364965999999999</v>
      </c>
      <c r="E32" s="5">
        <v>10.418989079999998</v>
      </c>
      <c r="F32" s="5">
        <v>14.665695739999999</v>
      </c>
      <c r="G32" s="5">
        <f t="shared" si="3"/>
        <v>72.014339429783476</v>
      </c>
      <c r="H32" s="5">
        <f t="shared" si="2"/>
        <v>40.759296582351368</v>
      </c>
      <c r="I32" s="5">
        <f t="shared" si="4"/>
        <v>4.3933891244346893E-2</v>
      </c>
      <c r="J32" s="53"/>
    </row>
    <row r="33" spans="2:10" ht="14.1" hidden="1" customHeight="1">
      <c r="B33" s="150" t="str">
        <f>IF(Indice_index!$Z$1=1,"Diferenças de consolidação","Consolidation differences")</f>
        <v>Diferenças de consolidação</v>
      </c>
      <c r="C33" s="5">
        <v>0</v>
      </c>
      <c r="D33" s="5">
        <v>0</v>
      </c>
      <c r="E33" s="5">
        <v>0</v>
      </c>
      <c r="F33" s="5">
        <v>0.27674800999999999</v>
      </c>
      <c r="G33" s="5"/>
      <c r="H33" s="5"/>
      <c r="I33" s="5"/>
      <c r="J33" s="53"/>
    </row>
    <row r="34" spans="2:10" ht="14.1" customHeight="1">
      <c r="B34" s="32" t="str">
        <f>IF(Indice_index!$Z$1=1,"Receita efetiva","Effective revenue")</f>
        <v>Receita efetiva</v>
      </c>
      <c r="C34" s="19">
        <f>+C12+C25</f>
        <v>14318.030485609994</v>
      </c>
      <c r="D34" s="19">
        <f>+D12+D25</f>
        <v>20764.472143000003</v>
      </c>
      <c r="E34" s="19">
        <f>+E12+E25</f>
        <v>9666.1291311100013</v>
      </c>
      <c r="F34" s="19">
        <f>+F12+F25</f>
        <v>12457.174235220004</v>
      </c>
      <c r="G34" s="19">
        <f>IFERROR(IF(F34/D34*100&lt;-500,"-",IF(F34/D34*100&gt;500,"-",F34/D34*100)),"-")</f>
        <v>59.992732535796691</v>
      </c>
      <c r="H34" s="19">
        <f>IFERROR(IF(E34=0,"-",(F34-E34)/E34*100),"-")</f>
        <v>28.874486014542772</v>
      </c>
      <c r="I34" s="19"/>
      <c r="J34" s="62"/>
    </row>
    <row r="35" spans="2:10" ht="14.1" customHeight="1">
      <c r="B35" s="212" t="str">
        <f>IF(Indice_index!$Z$1=1,"Despesa corrente","Current Expenditure")</f>
        <v>Despesa corrente</v>
      </c>
      <c r="C35" s="161">
        <f>SUM(C36:C49)-C36-C42</f>
        <v>12374.207137690004</v>
      </c>
      <c r="D35" s="161">
        <f>SUM(D36:D49)-D36-D42</f>
        <v>17331.247414000001</v>
      </c>
      <c r="E35" s="161">
        <f>SUM(E36:E49)-E36-E42</f>
        <v>7674.1110912400027</v>
      </c>
      <c r="F35" s="161">
        <f>SUM(F36:F49)-F36-F42</f>
        <v>10477.36571735</v>
      </c>
      <c r="G35" s="161">
        <f t="shared" ref="G35:G48" si="5">IFERROR(IF(F35/D35*100&lt;-500,"-",IF(F35/D35*100&gt;500,"-",F35/D35*100)),"-")</f>
        <v>60.453615755819698</v>
      </c>
      <c r="H35" s="161">
        <f t="shared" ref="H35:H57" si="6">IF(IFERROR((F35-E35)/E35*100,"")&gt;500,"-",IFERROR((F35-E35)/E35*100,""))</f>
        <v>36.528720952579278</v>
      </c>
      <c r="I35" s="161">
        <f t="shared" ref="I35:I48" si="7">IFERROR((F35-E35)/$E$59*100,"-")</f>
        <v>28.523263632670204</v>
      </c>
      <c r="J35" s="53"/>
    </row>
    <row r="36" spans="2:10" ht="14.1" customHeight="1">
      <c r="B36" s="150" t="str">
        <f>IF(Indice_index!$Z$1=1,"Despesas com o pessoal","Employees")</f>
        <v>Despesas com o pessoal</v>
      </c>
      <c r="C36" s="5">
        <f>SUM(C37:C39)</f>
        <v>5856.4791757000003</v>
      </c>
      <c r="D36" s="5">
        <f>SUM(D37:D39)</f>
        <v>7555.7421950000007</v>
      </c>
      <c r="E36" s="5">
        <f>SUM(E37:E39)</f>
        <v>4190.905974870002</v>
      </c>
      <c r="F36" s="5">
        <f>SUM(F37:F39)</f>
        <v>5456.4746545700009</v>
      </c>
      <c r="G36" s="5">
        <f t="shared" si="5"/>
        <v>72.216262992414087</v>
      </c>
      <c r="H36" s="5">
        <f t="shared" si="6"/>
        <v>30.197973595417054</v>
      </c>
      <c r="I36" s="5">
        <f t="shared" si="7"/>
        <v>12.877228047751723</v>
      </c>
      <c r="J36" s="53"/>
    </row>
    <row r="37" spans="2:10" ht="14.1" customHeight="1">
      <c r="B37" s="210" t="str">
        <f>IF(Indice_index!$Z$1=1,"Remunerações certas e permanentes","Certain and permanent wages")</f>
        <v>Remunerações certas e permanentes</v>
      </c>
      <c r="C37" s="5">
        <v>3789.5198573900016</v>
      </c>
      <c r="D37" s="5">
        <v>5045.9411630000004</v>
      </c>
      <c r="E37" s="5">
        <v>2696.7843015900016</v>
      </c>
      <c r="F37" s="5">
        <v>3633.1967574200012</v>
      </c>
      <c r="G37" s="5">
        <f t="shared" si="5"/>
        <v>72.002360710443355</v>
      </c>
      <c r="H37" s="5">
        <f t="shared" si="6"/>
        <v>34.723298236269713</v>
      </c>
      <c r="I37" s="5">
        <f t="shared" si="7"/>
        <v>9.5280461138913193</v>
      </c>
      <c r="J37" s="53"/>
    </row>
    <row r="38" spans="2:10" ht="14.1" customHeight="1">
      <c r="B38" s="210" t="str">
        <f>IF(Indice_index!$Z$1=1,"Abonos variáveis ou eventuais","Variable or contingent bonuses")</f>
        <v>Abonos variáveis ou eventuais</v>
      </c>
      <c r="C38" s="5">
        <v>964.10181865999959</v>
      </c>
      <c r="D38" s="5">
        <v>1051.5993120000001</v>
      </c>
      <c r="E38" s="5">
        <v>707.25527567999995</v>
      </c>
      <c r="F38" s="5">
        <v>821.17270960999974</v>
      </c>
      <c r="G38" s="5">
        <f t="shared" si="5"/>
        <v>78.087984676239472</v>
      </c>
      <c r="H38" s="5">
        <f t="shared" si="6"/>
        <v>16.10697549346272</v>
      </c>
      <c r="I38" s="5">
        <f t="shared" si="7"/>
        <v>1.159115896957116</v>
      </c>
      <c r="J38" s="53"/>
    </row>
    <row r="39" spans="2:10" ht="14.1" customHeight="1">
      <c r="B39" s="210" t="str">
        <f>IF(Indice_index!$Z$1=1,"Segurança Social","Social security")</f>
        <v>Segurança Social</v>
      </c>
      <c r="C39" s="5">
        <v>1102.8574996499995</v>
      </c>
      <c r="D39" s="5">
        <v>1458.20172</v>
      </c>
      <c r="E39" s="5">
        <v>786.86639760000037</v>
      </c>
      <c r="F39" s="5">
        <v>1002.1051875399996</v>
      </c>
      <c r="G39" s="5">
        <f t="shared" si="5"/>
        <v>68.721986388824149</v>
      </c>
      <c r="H39" s="5">
        <f t="shared" si="6"/>
        <v>27.353918097976127</v>
      </c>
      <c r="I39" s="5">
        <f t="shared" si="7"/>
        <v>2.1900660369032856</v>
      </c>
      <c r="J39" s="53"/>
    </row>
    <row r="40" spans="2:10" ht="14.1" customHeight="1">
      <c r="B40" s="150" t="str">
        <f>IF(Indice_index!$Z$1=1,"Aquisição de bens e serviços","Purchase of goods and services")</f>
        <v>Aquisição de bens e serviços</v>
      </c>
      <c r="C40" s="5">
        <v>5857.4746541099985</v>
      </c>
      <c r="D40" s="5">
        <v>8844.616532</v>
      </c>
      <c r="E40" s="5">
        <v>3178.0558237200016</v>
      </c>
      <c r="F40" s="5">
        <v>4709.4378986800002</v>
      </c>
      <c r="G40" s="5">
        <f t="shared" si="5"/>
        <v>53.246377405296876</v>
      </c>
      <c r="H40" s="5">
        <f t="shared" si="6"/>
        <v>48.186128875718545</v>
      </c>
      <c r="I40" s="5">
        <f t="shared" si="7"/>
        <v>15.581893360519725</v>
      </c>
      <c r="J40" s="53"/>
    </row>
    <row r="41" spans="2:10" ht="14.1" customHeight="1">
      <c r="B41" s="150" t="str">
        <f>IF(Indice_index!$Z$1=1,"Juros e outros encargos","Interests")</f>
        <v>Juros e outros encargos</v>
      </c>
      <c r="C41" s="5">
        <v>227.50778286000002</v>
      </c>
      <c r="D41" s="5">
        <v>329.63716799999997</v>
      </c>
      <c r="E41" s="5">
        <v>86.039587569999995</v>
      </c>
      <c r="F41" s="5">
        <v>94.335138220000005</v>
      </c>
      <c r="G41" s="5">
        <f t="shared" si="5"/>
        <v>28.617870609785122</v>
      </c>
      <c r="H41" s="5">
        <f t="shared" si="6"/>
        <v>9.6415509235802936</v>
      </c>
      <c r="I41" s="5">
        <f t="shared" si="7"/>
        <v>8.440766527743683E-2</v>
      </c>
      <c r="J41" s="53"/>
    </row>
    <row r="42" spans="2:10" ht="14.1" customHeight="1">
      <c r="B42" s="150" t="str">
        <f>IF(Indice_index!$Z$1=1,"Transferências correntes","Current transfers")</f>
        <v>Transferências correntes</v>
      </c>
      <c r="C42" s="5">
        <f>SUM(C43:C46)</f>
        <v>73.831428250000002</v>
      </c>
      <c r="D42" s="5">
        <f>SUM(D43:D46)</f>
        <v>80.786889000000002</v>
      </c>
      <c r="E42" s="5">
        <f>SUM(E43:E46)</f>
        <v>56.198557579999992</v>
      </c>
      <c r="F42" s="5">
        <f>SUM(F43:F46)</f>
        <v>48.143365590000016</v>
      </c>
      <c r="G42" s="5">
        <f t="shared" si="5"/>
        <v>59.593043111240505</v>
      </c>
      <c r="H42" s="5">
        <f t="shared" si="6"/>
        <v>-14.333449712714097</v>
      </c>
      <c r="I42" s="5">
        <f t="shared" si="7"/>
        <v>-8.1962003238134351E-2</v>
      </c>
      <c r="J42" s="53"/>
    </row>
    <row r="43" spans="2:10" ht="14.1" customHeight="1">
      <c r="B43" s="210" t="str">
        <f>IF(Indice_index!$Z$1=1,"Administração Central","Central Administration")</f>
        <v>Administração Central</v>
      </c>
      <c r="C43" s="5">
        <v>1.1077686300000005</v>
      </c>
      <c r="D43" s="5">
        <v>2.5836589999999999</v>
      </c>
      <c r="E43" s="5">
        <v>0.29820661000000015</v>
      </c>
      <c r="F43" s="5">
        <v>1.88317639</v>
      </c>
      <c r="G43" s="5">
        <f t="shared" si="5"/>
        <v>72.887961994984636</v>
      </c>
      <c r="H43" s="5" t="str">
        <f t="shared" si="6"/>
        <v>-</v>
      </c>
      <c r="I43" s="5">
        <f t="shared" si="7"/>
        <v>1.6127151084912313E-2</v>
      </c>
      <c r="J43" s="53"/>
    </row>
    <row r="44" spans="2:10" ht="14.1" customHeight="1">
      <c r="B44" s="210" t="str">
        <f>IF(Indice_index!$Z$1=1,"Outros subsetores das Administrações Públicas","Other General Government subsectors")</f>
        <v>Outros subsetores das Administrações Públicas</v>
      </c>
      <c r="C44" s="5">
        <v>0.75761394999999998</v>
      </c>
      <c r="D44" s="5">
        <v>4.6795999999999997E-2</v>
      </c>
      <c r="E44" s="5">
        <v>0.52308230999999994</v>
      </c>
      <c r="F44" s="5">
        <v>0.20677616999999998</v>
      </c>
      <c r="G44" s="5">
        <f t="shared" si="5"/>
        <v>441.86718950337632</v>
      </c>
      <c r="H44" s="5">
        <f t="shared" si="6"/>
        <v>-60.469668721926382</v>
      </c>
      <c r="I44" s="5">
        <f t="shared" si="7"/>
        <v>-3.2184316529148115E-3</v>
      </c>
      <c r="J44" s="53"/>
    </row>
    <row r="45" spans="2:10" ht="14.1" customHeight="1">
      <c r="B45" s="210" t="str">
        <f>IF(Indice_index!$Z$1=1,"União Europeia","European Union")</f>
        <v>União Europeia</v>
      </c>
      <c r="C45" s="5">
        <v>4.7972332400000006</v>
      </c>
      <c r="D45" s="5">
        <v>2.0168240000000002</v>
      </c>
      <c r="E45" s="5">
        <v>4.1675229999999992</v>
      </c>
      <c r="F45" s="5">
        <v>1.9438522199999997</v>
      </c>
      <c r="G45" s="5">
        <f t="shared" si="5"/>
        <v>96.381846903844831</v>
      </c>
      <c r="H45" s="5">
        <f t="shared" si="6"/>
        <v>-53.357132762074734</v>
      </c>
      <c r="I45" s="5">
        <f t="shared" si="7"/>
        <v>-2.2625967437792285E-2</v>
      </c>
      <c r="J45" s="53"/>
    </row>
    <row r="46" spans="2:10" ht="14.1" customHeight="1">
      <c r="B46" s="210" t="str">
        <f>IF(Indice_index!$Z$1=1,"Outras transferências","Other transfers")</f>
        <v>Outras transferências</v>
      </c>
      <c r="C46" s="5">
        <v>67.168812430000003</v>
      </c>
      <c r="D46" s="5">
        <v>76.139610000000005</v>
      </c>
      <c r="E46" s="5">
        <v>51.209745659999996</v>
      </c>
      <c r="F46" s="5">
        <v>44.109560810000019</v>
      </c>
      <c r="G46" s="5">
        <f t="shared" si="5"/>
        <v>57.932475369915892</v>
      </c>
      <c r="H46" s="5">
        <f t="shared" si="6"/>
        <v>-13.86490942005584</v>
      </c>
      <c r="I46" s="5">
        <f t="shared" si="7"/>
        <v>-7.2244755232339572E-2</v>
      </c>
      <c r="J46" s="53"/>
    </row>
    <row r="47" spans="2:10" ht="14.1" customHeight="1">
      <c r="B47" s="150" t="str">
        <f>IF(Indice_index!$Z$1=1,"Subsídios","Subsidies")</f>
        <v>Subsídios</v>
      </c>
      <c r="C47" s="5">
        <v>54.52937893</v>
      </c>
      <c r="D47" s="5">
        <v>45.301026999999998</v>
      </c>
      <c r="E47" s="5">
        <v>29.283227550000003</v>
      </c>
      <c r="F47" s="5">
        <v>27.649272100000001</v>
      </c>
      <c r="G47" s="5">
        <f t="shared" si="5"/>
        <v>61.034537031577671</v>
      </c>
      <c r="H47" s="5">
        <f t="shared" si="6"/>
        <v>-5.5798338731961321</v>
      </c>
      <c r="I47" s="5">
        <f t="shared" si="7"/>
        <v>-1.6625582860113532E-2</v>
      </c>
      <c r="J47" s="53"/>
    </row>
    <row r="48" spans="2:10" ht="14.1" customHeight="1">
      <c r="B48" s="150" t="str">
        <f>IF(Indice_index!$Z$1=1,"Outras despesas correntes","Other current expenditure")</f>
        <v>Outras despesas correntes</v>
      </c>
      <c r="C48" s="5">
        <v>288.46967251000001</v>
      </c>
      <c r="D48" s="5">
        <v>473.17888099999999</v>
      </c>
      <c r="E48" s="5">
        <v>133.23505774</v>
      </c>
      <c r="F48" s="5">
        <v>141.32538818999993</v>
      </c>
      <c r="G48" s="5">
        <f t="shared" si="5"/>
        <v>29.867222284166129</v>
      </c>
      <c r="H48" s="5">
        <f t="shared" si="6"/>
        <v>6.0722234727347102</v>
      </c>
      <c r="I48" s="5">
        <f t="shared" si="7"/>
        <v>8.2319538921439506E-2</v>
      </c>
      <c r="J48" s="62"/>
    </row>
    <row r="49" spans="2:10" ht="14.1" customHeight="1">
      <c r="B49" s="150" t="str">
        <f>IF(Indice_index!$Z$1=1,"Diferenças de consolidação","Consolidation differences")</f>
        <v>Diferenças de consolidação</v>
      </c>
      <c r="C49" s="5">
        <v>15.915045329999984</v>
      </c>
      <c r="D49" s="5">
        <v>1.984722000000005</v>
      </c>
      <c r="E49" s="5">
        <v>0.39286221000002036</v>
      </c>
      <c r="F49" s="5">
        <v>0</v>
      </c>
      <c r="G49" s="5"/>
      <c r="H49" s="5"/>
      <c r="I49" s="5"/>
      <c r="J49" s="53"/>
    </row>
    <row r="50" spans="2:10" ht="14.1" customHeight="1">
      <c r="B50" s="212" t="str">
        <f>IF(Indice_index!$Z$1=1,"Despesa de capital","Capital expenditure")</f>
        <v>Despesa de capital</v>
      </c>
      <c r="C50" s="161">
        <f>SUM(C51:C58)-C52</f>
        <v>3229.5296641399987</v>
      </c>
      <c r="D50" s="161">
        <f>SUM(D51:D58)-D52</f>
        <v>4972.9265500000001</v>
      </c>
      <c r="E50" s="161">
        <f>SUM(E51:E58)-E52</f>
        <v>2153.8478064899991</v>
      </c>
      <c r="F50" s="161">
        <f>SUM(F51:F58)-F52</f>
        <v>1957.2434183300008</v>
      </c>
      <c r="G50" s="161">
        <f t="shared" ref="G50:G57" si="8">IFERROR(IF(F50/D50*100&lt;-500,"-",IF(F50/D50*100&gt;500,"-",F50/D50*100)),"-")</f>
        <v>39.357979625297318</v>
      </c>
      <c r="H50" s="161">
        <f t="shared" si="6"/>
        <v>-9.1280538749111084</v>
      </c>
      <c r="I50" s="161">
        <f t="shared" ref="I50:I57" si="9">IFERROR((F50-E50)/$E$59*100,"-")</f>
        <v>-2.0004600162238031</v>
      </c>
      <c r="J50" s="53"/>
    </row>
    <row r="51" spans="2:10" ht="14.1" customHeight="1">
      <c r="B51" s="150" t="str">
        <f>IF(Indice_index!$Z$1=1,"Investimento","Investment")</f>
        <v>Investimento</v>
      </c>
      <c r="C51" s="5">
        <v>3038.0403771399988</v>
      </c>
      <c r="D51" s="5">
        <v>4644.1524399999998</v>
      </c>
      <c r="E51" s="5">
        <v>2003.9067969899995</v>
      </c>
      <c r="F51" s="5">
        <v>1900.7682443400008</v>
      </c>
      <c r="G51" s="5">
        <f t="shared" si="8"/>
        <v>40.928205283890314</v>
      </c>
      <c r="H51" s="5">
        <f t="shared" si="6"/>
        <v>-5.1468737370879536</v>
      </c>
      <c r="I51" s="5">
        <f t="shared" si="9"/>
        <v>-1.0494402115765971</v>
      </c>
      <c r="J51" s="53"/>
    </row>
    <row r="52" spans="2:10" ht="14.1" customHeight="1">
      <c r="B52" s="150" t="str">
        <f>IF(Indice_index!$Z$1=1,"Transferências de capital","Capital transfers")</f>
        <v>Transferências de capital</v>
      </c>
      <c r="C52" s="5">
        <f>SUM(C53:C56)</f>
        <v>166.37524347999999</v>
      </c>
      <c r="D52" s="5">
        <f>SUM(D53:D56)</f>
        <v>323.66584799999998</v>
      </c>
      <c r="E52" s="5">
        <f>SUM(E53:E56)</f>
        <v>149.89673035999999</v>
      </c>
      <c r="F52" s="5">
        <f>SUM(F53:F56)</f>
        <v>51.366912210000002</v>
      </c>
      <c r="G52" s="5">
        <f t="shared" si="8"/>
        <v>15.870352873930649</v>
      </c>
      <c r="H52" s="5">
        <f t="shared" si="6"/>
        <v>-65.7317994284235</v>
      </c>
      <c r="I52" s="5">
        <f t="shared" si="9"/>
        <v>-1.0025460950264837</v>
      </c>
      <c r="J52" s="53"/>
    </row>
    <row r="53" spans="2:10" ht="14.1" customHeight="1">
      <c r="B53" s="210" t="str">
        <f>IF(Indice_index!$Z$1=1,"Administração Central","Central Administration")</f>
        <v>Administração Central</v>
      </c>
      <c r="C53" s="5">
        <v>0.33391734000000001</v>
      </c>
      <c r="D53" s="5">
        <v>4.6839999999999998E-3</v>
      </c>
      <c r="E53" s="5">
        <v>0.23246140999999998</v>
      </c>
      <c r="F53" s="5">
        <v>0.32303137999999992</v>
      </c>
      <c r="G53" s="5" t="str">
        <f t="shared" si="8"/>
        <v>-</v>
      </c>
      <c r="H53" s="5">
        <f t="shared" si="6"/>
        <v>38.961292543136494</v>
      </c>
      <c r="I53" s="5">
        <f t="shared" si="9"/>
        <v>9.2155422038770645E-4</v>
      </c>
      <c r="J53" s="53"/>
    </row>
    <row r="54" spans="2:10" ht="14.1" customHeight="1">
      <c r="B54" s="210" t="str">
        <f>IF(Indice_index!$Z$1=1,"Outros subsetores das Administrações Públicas","Other General Government subsectors")</f>
        <v>Outros subsetores das Administrações Públicas</v>
      </c>
      <c r="C54" s="5">
        <v>0</v>
      </c>
      <c r="D54" s="5">
        <v>2.5493999999999999</v>
      </c>
      <c r="E54" s="5">
        <v>0</v>
      </c>
      <c r="F54" s="5">
        <v>0</v>
      </c>
      <c r="G54" s="5">
        <f t="shared" si="8"/>
        <v>0</v>
      </c>
      <c r="H54" s="5" t="str">
        <f t="shared" si="6"/>
        <v>-</v>
      </c>
      <c r="I54" s="5">
        <f t="shared" si="9"/>
        <v>0</v>
      </c>
      <c r="J54" s="53"/>
    </row>
    <row r="55" spans="2:10" ht="14.1" customHeight="1">
      <c r="B55" s="210" t="str">
        <f>IF(Indice_index!$Z$1=1,"União Europeia","European Union")</f>
        <v>União Europeia</v>
      </c>
      <c r="C55" s="5">
        <v>118.66717793000001</v>
      </c>
      <c r="D55" s="5">
        <v>252.12754100000001</v>
      </c>
      <c r="E55" s="5">
        <v>118.65586693</v>
      </c>
      <c r="F55" s="5">
        <v>12.331237269999999</v>
      </c>
      <c r="G55" s="5">
        <f t="shared" si="8"/>
        <v>4.8908727785513921</v>
      </c>
      <c r="H55" s="5">
        <f t="shared" si="6"/>
        <v>-89.60756211298451</v>
      </c>
      <c r="I55" s="5">
        <f t="shared" si="9"/>
        <v>-1.0818587131510915</v>
      </c>
      <c r="J55" s="53"/>
    </row>
    <row r="56" spans="2:10" ht="14.1" customHeight="1">
      <c r="B56" s="210" t="str">
        <f>IF(Indice_index!$Z$1=1,"Outras transferências","Other transfers")</f>
        <v>Outras transferências</v>
      </c>
      <c r="C56" s="5">
        <v>47.374148209999987</v>
      </c>
      <c r="D56" s="5">
        <v>68.984222999999986</v>
      </c>
      <c r="E56" s="5">
        <v>31.008402020000005</v>
      </c>
      <c r="F56" s="5">
        <v>38.712643560000004</v>
      </c>
      <c r="G56" s="5">
        <f t="shared" si="8"/>
        <v>56.118112050055288</v>
      </c>
      <c r="H56" s="5">
        <f t="shared" si="6"/>
        <v>24.845658073675857</v>
      </c>
      <c r="I56" s="5">
        <f t="shared" si="9"/>
        <v>7.8391063904219974E-2</v>
      </c>
      <c r="J56" s="53"/>
    </row>
    <row r="57" spans="2:10" ht="15">
      <c r="B57" s="150" t="str">
        <f>IF(Indice_index!$Z$1=1,"Outras despesas de capital","Other capital expenditure")</f>
        <v>Outras despesas de capital</v>
      </c>
      <c r="C57" s="5">
        <v>25.09835052</v>
      </c>
      <c r="D57" s="5">
        <v>5.1082619999999999</v>
      </c>
      <c r="E57" s="5">
        <v>0</v>
      </c>
      <c r="F57" s="5">
        <v>5.1082617800000003</v>
      </c>
      <c r="G57" s="5">
        <f t="shared" si="8"/>
        <v>99.999995693251449</v>
      </c>
      <c r="H57" s="5" t="str">
        <f t="shared" si="6"/>
        <v>-</v>
      </c>
      <c r="I57" s="5">
        <f t="shared" si="9"/>
        <v>5.1976832963555375E-2</v>
      </c>
      <c r="J57" s="62"/>
    </row>
    <row r="58" spans="2:10" ht="14.1" customHeight="1">
      <c r="B58" s="150" t="str">
        <f>IF(Indice_index!$Z$1=1,"Diferenças de consolidação","Consolidation differences")</f>
        <v>Diferenças de consolidação</v>
      </c>
      <c r="C58" s="5">
        <v>1.5693000000000016E-2</v>
      </c>
      <c r="D58" s="5">
        <v>0</v>
      </c>
      <c r="E58" s="5">
        <v>4.4279140000000002E-2</v>
      </c>
      <c r="F58" s="5">
        <v>0</v>
      </c>
      <c r="G58" s="5"/>
      <c r="H58" s="5"/>
      <c r="I58" s="5"/>
      <c r="J58" s="62"/>
    </row>
    <row r="59" spans="2:10" ht="14.1" customHeight="1">
      <c r="B59" s="32" t="str">
        <f>IF(Indice_index!$Z$1=1,"Despesa efetiva","Effective Expenditure")</f>
        <v>Despesa efetiva</v>
      </c>
      <c r="C59" s="19">
        <f>+C35+C50</f>
        <v>15603.736801830002</v>
      </c>
      <c r="D59" s="19">
        <f>+D35+D50</f>
        <v>22304.173964000001</v>
      </c>
      <c r="E59" s="19">
        <f>+E35+E50</f>
        <v>9827.9588977300009</v>
      </c>
      <c r="F59" s="19">
        <f>+F35+F50</f>
        <v>12434.609135680001</v>
      </c>
      <c r="G59" s="19">
        <f>IFERROR(IF(F59/D59*100&lt;-500,"-",IF(F59/D59*100&gt;500,"-",F59/D59*100)),"-")</f>
        <v>55.750144146786383</v>
      </c>
      <c r="H59" s="19">
        <f>IF(E59=0,"-",(F59-E59)/E59*100)</f>
        <v>26.522803616446417</v>
      </c>
      <c r="I59" s="19"/>
      <c r="J59" s="53"/>
    </row>
    <row r="60" spans="2:10" ht="14.1" customHeight="1">
      <c r="B60" s="32" t="str">
        <f>IF(Indice_index!$Z$1=1,"Saldo global","Overall Balance")</f>
        <v>Saldo global</v>
      </c>
      <c r="C60" s="19">
        <f>+(C12+C25)-(C35+C50)</f>
        <v>-1285.7063162200084</v>
      </c>
      <c r="D60" s="19">
        <f>+(D12+D25)-(D35+D50)</f>
        <v>-1539.7018209999987</v>
      </c>
      <c r="E60" s="19">
        <f>+(E12+E25)-(E35+E50)</f>
        <v>-161.82976661999965</v>
      </c>
      <c r="F60" s="19">
        <f>+(F12+F25)-(F35+F50)</f>
        <v>22.565099540002848</v>
      </c>
      <c r="G60" s="19"/>
      <c r="H60" s="19"/>
      <c r="I60" s="19"/>
      <c r="J60" s="53"/>
    </row>
    <row r="61" spans="2:10" ht="14.1" customHeight="1">
      <c r="B61" s="150" t="str">
        <f>IF(Indice_index!$Z$1=1,"Despesa primária","Primary Expenditure")</f>
        <v>Despesa primária</v>
      </c>
      <c r="C61" s="5">
        <f>C59-C41</f>
        <v>15376.229018970002</v>
      </c>
      <c r="D61" s="5">
        <f>D59-D41</f>
        <v>21974.536796</v>
      </c>
      <c r="E61" s="5">
        <f>E59-E41</f>
        <v>9741.9193101600013</v>
      </c>
      <c r="F61" s="5">
        <f>F59-F41</f>
        <v>12340.273997460001</v>
      </c>
      <c r="G61" s="5">
        <f>IFERROR(IF(F61/D61*100&lt;-500,"-",IF(F61/D61*100&gt;500,"-",F61/D61*100)),"-")</f>
        <v>56.157151852712936</v>
      </c>
      <c r="H61" s="5">
        <f>IF(E61=0,"-",(F61-E61)/E61*100)</f>
        <v>26.671897031523699</v>
      </c>
      <c r="I61" s="5"/>
      <c r="J61" s="288"/>
    </row>
    <row r="62" spans="2:10" ht="14.1" customHeight="1">
      <c r="B62" s="150" t="str">
        <f>IF(Indice_index!$Z$1=1,"Saldo corrente","Current balance")</f>
        <v>Saldo corrente</v>
      </c>
      <c r="C62" s="5">
        <f>+C12-C35</f>
        <v>-379.2816063400096</v>
      </c>
      <c r="D62" s="5">
        <f>+D12-D35</f>
        <v>397.98069600000235</v>
      </c>
      <c r="E62" s="5">
        <f>+E12-E35</f>
        <v>629.13719502999902</v>
      </c>
      <c r="F62" s="5">
        <f>+F12-F35</f>
        <v>822.69345537000299</v>
      </c>
      <c r="G62" s="5"/>
      <c r="H62" s="5"/>
      <c r="I62" s="5"/>
      <c r="J62" s="53"/>
    </row>
    <row r="63" spans="2:10" ht="14.1" customHeight="1">
      <c r="B63" s="150" t="str">
        <f>IF(Indice_index!$Z$1=1,"Saldo de capital","Capital balance")</f>
        <v>Saldo de capital</v>
      </c>
      <c r="C63" s="5">
        <f>C25-C50</f>
        <v>-906.42470987999877</v>
      </c>
      <c r="D63" s="5">
        <f>D25-D50</f>
        <v>-1937.6825170000006</v>
      </c>
      <c r="E63" s="5">
        <f>E25-E50</f>
        <v>-790.96696164999935</v>
      </c>
      <c r="F63" s="5">
        <f>F25-F50</f>
        <v>-800.1283558300006</v>
      </c>
      <c r="G63" s="5"/>
      <c r="H63" s="5"/>
      <c r="I63" s="5"/>
      <c r="J63" s="53"/>
    </row>
    <row r="64" spans="2:10" ht="14.1" customHeight="1">
      <c r="B64" s="150" t="str">
        <f>IF(Indice_index!$Z$1=1,"Saldo primário","Primary balance")</f>
        <v>Saldo primário</v>
      </c>
      <c r="C64" s="5">
        <f>C60+C41</f>
        <v>-1058.1985333600082</v>
      </c>
      <c r="D64" s="5">
        <f>D60+D41</f>
        <v>-1210.0646529999988</v>
      </c>
      <c r="E64" s="5">
        <f>E60+E41</f>
        <v>-75.790179049999651</v>
      </c>
      <c r="F64" s="5">
        <f>F60+F41</f>
        <v>116.90023776000285</v>
      </c>
      <c r="G64" s="5"/>
      <c r="H64" s="5"/>
      <c r="I64" s="5"/>
      <c r="J64" s="53"/>
    </row>
    <row r="65" spans="2:10" ht="14.1" customHeight="1">
      <c r="B65" s="291" t="str">
        <f>IF(Indice_index!$Z$1=1,"Ativos financeiros líquidos de reembolsos","Financial assets net of reimbursements")</f>
        <v>Ativos financeiros líquidos de reembolsos</v>
      </c>
      <c r="C65" s="5">
        <v>2029.8350246299967</v>
      </c>
      <c r="D65" s="5">
        <v>579.36897099999987</v>
      </c>
      <c r="E65" s="5">
        <v>114.02401562000036</v>
      </c>
      <c r="F65" s="5">
        <v>-454.82726625999976</v>
      </c>
      <c r="G65" s="5"/>
      <c r="H65" s="5"/>
      <c r="I65" s="5"/>
      <c r="J65" s="55"/>
    </row>
    <row r="66" spans="2:10" ht="14.1" customHeight="1">
      <c r="B66" s="294" t="str">
        <f>IF(Indice_index!$Z$1=1,"dos quais Receitas de:","of which revenue from:")</f>
        <v>dos quais Receitas de:</v>
      </c>
      <c r="C66" s="5"/>
      <c r="D66" s="5"/>
      <c r="E66" s="5"/>
      <c r="F66" s="5"/>
      <c r="G66" s="5"/>
      <c r="H66" s="5"/>
      <c r="I66" s="5"/>
      <c r="J66" s="30"/>
    </row>
    <row r="67" spans="2:10" ht="15" hidden="1">
      <c r="B67" s="210" t="str">
        <f>IF(Indice_index!$Z$1=1,"Alienação de partes de Capital","Disposal of Capital Shares")</f>
        <v>Alienação de partes de Capital</v>
      </c>
      <c r="C67" s="5">
        <v>0</v>
      </c>
      <c r="D67" s="5">
        <v>0</v>
      </c>
      <c r="E67" s="5">
        <v>0</v>
      </c>
      <c r="F67" s="5">
        <v>0</v>
      </c>
      <c r="G67" s="5"/>
      <c r="H67" s="5" t="str">
        <f>IF(IFERROR((F67-E67)/E67*100,"")&gt;500,"-",IFERROR((F67-E67)/E67*100,""))</f>
        <v>-</v>
      </c>
      <c r="I67" s="5"/>
      <c r="J67" s="55"/>
    </row>
    <row r="68" spans="2:10" ht="14.1" customHeight="1">
      <c r="B68" s="210" t="str">
        <f>IF(Indice_index!$Z$1=1,"Outros Ativos","Other Assets")</f>
        <v>Outros Ativos</v>
      </c>
      <c r="C68" s="5">
        <v>3454.2426676600003</v>
      </c>
      <c r="D68" s="5">
        <v>9173.1048880000017</v>
      </c>
      <c r="E68" s="5">
        <v>2889.08767661</v>
      </c>
      <c r="F68" s="5">
        <v>3917.0816624399995</v>
      </c>
      <c r="G68" s="5"/>
      <c r="H68" s="5">
        <f>IF(IFERROR((F68-E68)/E68*100,"")&gt;500,"-",IFERROR((F68-E68)/E68*100,""))</f>
        <v>35.581958766866769</v>
      </c>
      <c r="I68" s="5"/>
      <c r="J68" s="53"/>
    </row>
    <row r="69" spans="2:10" ht="14.1" customHeight="1">
      <c r="B69" s="291" t="str">
        <f>IF(Indice_index!$Z$1=1,"Passivos financeiros líquidos de amortizações","Financial liabilities net of amortizations")</f>
        <v>Passivos financeiros líquidos de amortizações</v>
      </c>
      <c r="C69" s="5">
        <v>2397.8939766899994</v>
      </c>
      <c r="D69" s="5">
        <v>2013.8642440000008</v>
      </c>
      <c r="E69" s="5">
        <v>1172.9728629299998</v>
      </c>
      <c r="F69" s="5">
        <v>1124.0878235299997</v>
      </c>
      <c r="G69" s="5"/>
      <c r="H69" s="5"/>
      <c r="I69" s="5"/>
      <c r="J69" s="64"/>
    </row>
    <row r="70" spans="2:10" ht="14.1" customHeight="1">
      <c r="B70" s="295" t="str">
        <f>IF(Indice_index!$Z$1=1,"Poupança (+) / Utilização (-) de saldo da gerência anterior","Saving (+) / Usage (-) of balance from previous management")</f>
        <v>Poupança (+) / Utilização (-) de saldo da gerência anterior</v>
      </c>
      <c r="C70" s="20">
        <f>C60-C65+C69</f>
        <v>-917.64736416000596</v>
      </c>
      <c r="D70" s="20">
        <f>D60-D65+D69</f>
        <v>-105.20654799999784</v>
      </c>
      <c r="E70" s="20">
        <f>E60-E65+E69</f>
        <v>897.11908068999981</v>
      </c>
      <c r="F70" s="20">
        <f>F60-F65+F69</f>
        <v>1601.4801893300023</v>
      </c>
      <c r="G70" s="20"/>
      <c r="H70" s="20"/>
      <c r="I70" s="20"/>
      <c r="J70" s="53"/>
    </row>
    <row r="71" spans="2:10" ht="15">
      <c r="B71" s="10" t="str">
        <f>IF(Indice_index!$Z$1=1,"Notas:","Notes:")</f>
        <v>Notas:</v>
      </c>
      <c r="C71" s="10"/>
      <c r="D71" s="10"/>
      <c r="E71" s="10"/>
      <c r="F71" s="10"/>
      <c r="G71" s="10"/>
      <c r="H71" s="10"/>
      <c r="I71" s="10"/>
      <c r="J71" s="53"/>
    </row>
    <row r="72" spans="2:10" ht="15">
      <c r="B72" s="379" t="str">
        <f>+'3 - Conta AC + SS'!$B$61</f>
        <v>Os dados de 2023 são mensalmente revistos e atualizados face ao publicado nas Sínteses de Execução Orçamental de 2023.</v>
      </c>
      <c r="C72" s="379"/>
      <c r="D72" s="379"/>
      <c r="E72" s="379"/>
      <c r="F72" s="379"/>
      <c r="G72" s="379"/>
      <c r="H72" s="379"/>
      <c r="I72" s="379"/>
      <c r="J72" s="30"/>
    </row>
    <row r="73" spans="2:10" ht="15">
      <c r="B73" s="384" t="str">
        <f>IF(Indice_index!$Z$1=1,"Entidades em incumprimento no reporte da execução orçamental no mês em análise:","Non reporting entities are identified below ")</f>
        <v>Entidades em incumprimento no reporte da execução orçamental no mês em análise:</v>
      </c>
      <c r="C73" s="384"/>
      <c r="D73" s="384"/>
      <c r="E73" s="384"/>
      <c r="F73" s="384"/>
      <c r="G73" s="384"/>
      <c r="H73" s="384"/>
      <c r="I73" s="384"/>
      <c r="J73" s="53"/>
    </row>
    <row r="74" spans="2:10" ht="15">
      <c r="B74" s="180" t="s">
        <v>474</v>
      </c>
      <c r="C74" s="181"/>
      <c r="D74" s="181"/>
      <c r="E74" s="182"/>
      <c r="F74" s="182"/>
      <c r="G74" s="182"/>
      <c r="H74" s="182"/>
      <c r="I74" s="182"/>
      <c r="J74" s="53"/>
    </row>
    <row r="75" spans="2:10" ht="24.75" customHeight="1">
      <c r="B75" s="390" t="s">
        <v>608</v>
      </c>
      <c r="C75" s="390"/>
      <c r="D75" s="390"/>
      <c r="E75" s="390"/>
      <c r="F75" s="390"/>
      <c r="G75" s="390"/>
      <c r="H75" s="390"/>
      <c r="I75" s="390"/>
      <c r="J75" s="296"/>
    </row>
    <row r="76" spans="2:10" ht="24.75" customHeight="1">
      <c r="B76" s="389" t="str">
        <f>IF(Indice_index!$Z$1=1,B83,B84)</f>
        <v>Para as entidades identificadas considera-se na execução orçamental uma estimativa de execução para os meses em falta, a qual corresponde a um duodécimo do orçamento aprovado abatido dos cativos previstos na lei do OE2024 ( Lei n.º 82/2023 de 29 de dezembro).</v>
      </c>
      <c r="C76" s="389"/>
      <c r="D76" s="389"/>
      <c r="E76" s="389"/>
      <c r="F76" s="389"/>
      <c r="G76" s="389"/>
      <c r="H76" s="389"/>
      <c r="I76" s="389"/>
      <c r="J76" s="53"/>
    </row>
    <row r="77" spans="2:10" ht="15">
      <c r="B77" s="384" t="str">
        <f>IF(Indice_index!$Z$1=1,B86,B87)</f>
        <v>Esta estimativa apenas é utilizada para os meses em que haja falta de reporte. Nos restantes meses, é utilizada a informação efetivamente reportada pelas entidades.</v>
      </c>
      <c r="C77" s="384"/>
      <c r="D77" s="384"/>
      <c r="E77" s="384"/>
      <c r="F77" s="384"/>
      <c r="G77" s="384"/>
      <c r="H77" s="384"/>
      <c r="I77" s="384"/>
      <c r="J77" s="53"/>
    </row>
    <row r="78" spans="2:10" ht="48" customHeight="1">
      <c r="B78" s="384" t="str">
        <f>IF(Indice_index!$Z$1=1,B89,B90)</f>
        <v>Com a entrada em vigor, em 2024, do novo modelo organizativo do Serviço Nacional de Saúde (Decreto-Lei n.º 102/2023, de 7 de novembro), englobando unidades locais de saúde, com natureza de entidades públicas empresariais, releva um impacto crescente no ano de 2024, em virtude de, no período homólogo, as entidades antecessoras não terem esta mesma natureza. Em 2023 não está incluida a execução do Instituto Oftalmológico Dr. Gama Pinto, Centro Médico de Reabilitação da Região Centro - Rovisco Pais, Hospital Arcebispo João do Crisóstomo - Cantanhede, Hospital Dr. Francisco Zagalo - Ovar e Centro Hospitalar Psiquiátrico de Lisboa.</v>
      </c>
      <c r="C78" s="384"/>
      <c r="D78" s="384"/>
      <c r="E78" s="384"/>
      <c r="F78" s="384"/>
      <c r="G78" s="384"/>
      <c r="H78" s="384"/>
      <c r="I78" s="384"/>
      <c r="J78" s="73"/>
    </row>
    <row r="79" spans="2:10" ht="36.75" customHeight="1">
      <c r="B79" s="384" t="str">
        <f>+'7 - SFA'!B78</f>
        <v>O período de setembro de 2023 encontra-se ajustado dos dados de execução do Centro Hospitalar Universitário de Santo António, E.P.E., com base em informação enviada posteriormente pela entidade, uma vez que, na sequência da sua criação em fevereiro de 2023 (Decreto-Lei n.º 7-A/2023, de 30 de janeiro), por fusão do Centro Hospitalar Universitário do Porto, E.P.E. e do Hospital Magalhães Lemos - Porto, E.P.E., não se verificou viável o respetivo reporte nos sistemas centrais.</v>
      </c>
      <c r="C79" s="384"/>
      <c r="D79" s="384"/>
      <c r="E79" s="384"/>
      <c r="F79" s="384"/>
      <c r="G79" s="384"/>
      <c r="H79" s="384"/>
      <c r="I79" s="384"/>
      <c r="J79" s="73"/>
    </row>
    <row r="80" spans="2:10" ht="15">
      <c r="B80" s="183" t="str">
        <f>IF(Indice_index!$Z$1=1,"Fonte: Direção-Geral do Orçamento.","Source: Budget General Directorate.")</f>
        <v>Fonte: Direção-Geral do Orçamento.</v>
      </c>
      <c r="C80" s="183"/>
      <c r="D80" s="183"/>
      <c r="E80" s="53"/>
      <c r="F80" s="53"/>
      <c r="J80" s="72"/>
    </row>
    <row r="81" spans="2:9" ht="14.85" customHeight="1"/>
    <row r="83" spans="2:9" s="248" customFormat="1" ht="15" hidden="1">
      <c r="B83" s="391" t="s">
        <v>475</v>
      </c>
      <c r="C83" s="392"/>
      <c r="D83" s="392"/>
      <c r="E83" s="392"/>
      <c r="F83" s="392"/>
      <c r="G83" s="392"/>
      <c r="H83" s="77"/>
      <c r="I83" s="77"/>
    </row>
    <row r="84" spans="2:9" s="248" customFormat="1" ht="15" hidden="1">
      <c r="B84" s="385" t="s">
        <v>476</v>
      </c>
      <c r="C84" s="385"/>
      <c r="D84" s="385"/>
      <c r="E84" s="385"/>
      <c r="F84" s="385"/>
      <c r="G84" s="385"/>
      <c r="H84" s="77"/>
      <c r="I84" s="77"/>
    </row>
    <row r="85" spans="2:9" s="248" customFormat="1" ht="15" hidden="1">
      <c r="B85" s="385"/>
      <c r="C85" s="385"/>
      <c r="D85" s="385"/>
      <c r="E85" s="385"/>
      <c r="F85" s="385"/>
      <c r="G85" s="385"/>
      <c r="H85" s="385"/>
      <c r="I85" s="385"/>
    </row>
    <row r="86" spans="2:9" s="248" customFormat="1" ht="15" hidden="1">
      <c r="B86" s="385" t="s">
        <v>9</v>
      </c>
      <c r="C86" s="385"/>
      <c r="D86" s="385"/>
      <c r="E86" s="385"/>
      <c r="F86" s="385"/>
      <c r="G86" s="385"/>
      <c r="H86" s="385"/>
      <c r="I86" s="385"/>
    </row>
    <row r="87" spans="2:9" s="248" customFormat="1" ht="15" hidden="1">
      <c r="B87" s="385" t="s">
        <v>10</v>
      </c>
      <c r="C87" s="385"/>
      <c r="D87" s="385"/>
      <c r="E87" s="385"/>
      <c r="F87" s="385"/>
      <c r="G87" s="385"/>
      <c r="H87" s="385"/>
      <c r="I87" s="385"/>
    </row>
    <row r="88" spans="2:9" s="248" customFormat="1" ht="15" hidden="1">
      <c r="B88" s="57"/>
      <c r="C88" s="57"/>
      <c r="D88" s="57"/>
      <c r="E88" s="74"/>
      <c r="F88" s="57"/>
      <c r="G88" s="57"/>
      <c r="H88" s="58"/>
      <c r="I88" s="58"/>
    </row>
    <row r="89" spans="2:9" s="248" customFormat="1" ht="15" hidden="1">
      <c r="B89" s="385" t="s">
        <v>539</v>
      </c>
      <c r="C89" s="385"/>
      <c r="D89" s="385"/>
      <c r="E89" s="385"/>
      <c r="F89" s="385"/>
      <c r="G89" s="385"/>
      <c r="H89" s="385"/>
      <c r="I89" s="385"/>
    </row>
    <row r="90" spans="2:9" ht="15" hidden="1">
      <c r="B90" s="385" t="s">
        <v>525</v>
      </c>
      <c r="C90" s="385"/>
      <c r="D90" s="385"/>
      <c r="E90" s="385"/>
      <c r="F90" s="385"/>
      <c r="G90" s="385"/>
      <c r="H90" s="385"/>
      <c r="I90" s="385"/>
    </row>
    <row r="91" spans="2:9" ht="15" hidden="1">
      <c r="B91" s="393"/>
      <c r="C91" s="393"/>
      <c r="D91" s="393"/>
      <c r="E91" s="393"/>
      <c r="F91" s="393"/>
      <c r="G91" s="393"/>
      <c r="H91" s="393"/>
      <c r="I91" s="393"/>
    </row>
    <row r="92" spans="2:9" ht="15" hidden="1">
      <c r="B92" s="394"/>
      <c r="C92" s="394"/>
      <c r="D92" s="395"/>
      <c r="E92" s="395"/>
      <c r="F92" s="395"/>
      <c r="G92" s="395"/>
      <c r="H92" s="395"/>
      <c r="I92" s="395"/>
    </row>
    <row r="102" spans="2:7" ht="15" hidden="1">
      <c r="B102" s="391" t="s">
        <v>11</v>
      </c>
      <c r="C102" s="392"/>
      <c r="D102" s="392"/>
      <c r="E102" s="392"/>
      <c r="F102" s="392"/>
      <c r="G102" s="392"/>
    </row>
    <row r="103" spans="2:7" ht="15" hidden="1">
      <c r="B103" s="385" t="s">
        <v>12</v>
      </c>
      <c r="C103" s="385"/>
      <c r="D103" s="385"/>
      <c r="E103" s="385"/>
      <c r="F103" s="385"/>
      <c r="G103" s="385"/>
    </row>
  </sheetData>
  <mergeCells count="21">
    <mergeCell ref="B102:G102"/>
    <mergeCell ref="B89:I89"/>
    <mergeCell ref="B77:I77"/>
    <mergeCell ref="B103:G103"/>
    <mergeCell ref="B83:G83"/>
    <mergeCell ref="B85:I85"/>
    <mergeCell ref="B78:I78"/>
    <mergeCell ref="B90:I90"/>
    <mergeCell ref="B84:G84"/>
    <mergeCell ref="B91:I91"/>
    <mergeCell ref="B92:I92"/>
    <mergeCell ref="B86:I86"/>
    <mergeCell ref="B87:I87"/>
    <mergeCell ref="B79:I79"/>
    <mergeCell ref="B76:I76"/>
    <mergeCell ref="B10:B11"/>
    <mergeCell ref="E10:F10"/>
    <mergeCell ref="H10:I10"/>
    <mergeCell ref="B72:I72"/>
    <mergeCell ref="B73:I73"/>
    <mergeCell ref="B75:I75"/>
  </mergeCells>
  <conditionalFormatting sqref="C12:I33">
    <cfRule type="cellIs" dxfId="78" priority="2" operator="equal">
      <formula>0</formula>
    </cfRule>
  </conditionalFormatting>
  <conditionalFormatting sqref="C35:I58">
    <cfRule type="cellIs" dxfId="77" priority="1" operator="equal">
      <formula>0</formula>
    </cfRule>
  </conditionalFormatting>
  <conditionalFormatting sqref="C61:I70">
    <cfRule type="cellIs" dxfId="76" priority="3"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D66:D67 C36 E18:F18 E27:F27 E42:F42 E36:F36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75" customWidth="1"/>
    <col min="2" max="2" width="43" style="75" customWidth="1"/>
    <col min="3" max="9" width="10.42578125" style="75" customWidth="1"/>
    <col min="10" max="10" width="8.5703125" style="76" customWidth="1"/>
    <col min="11" max="16384" width="8.5703125" hidden="1"/>
  </cols>
  <sheetData>
    <row r="1" spans="2:9"/>
    <row r="2" spans="2:9"/>
    <row r="3" spans="2:9"/>
    <row r="4" spans="2:9"/>
    <row r="5" spans="2:9"/>
    <row r="6" spans="2:9"/>
    <row r="7" spans="2:9" ht="50.1" customHeight="1">
      <c r="B7" s="13"/>
      <c r="C7" s="14"/>
      <c r="D7" s="12"/>
      <c r="E7" s="12"/>
      <c r="F7" s="12"/>
      <c r="G7" s="12"/>
      <c r="H7" s="12"/>
      <c r="I7" s="80"/>
    </row>
    <row r="8" spans="2:9"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2:9">
      <c r="B9" s="3" t="str">
        <f>+'3 - Conta AC + SS'!B9</f>
        <v>Período: janeiro a setembro</v>
      </c>
      <c r="C9" s="3"/>
      <c r="D9" s="3"/>
      <c r="E9" s="3"/>
      <c r="F9" s="3"/>
      <c r="G9" s="3"/>
      <c r="H9" s="3"/>
      <c r="I9" s="3" t="str">
        <f>IF(Indice_index!$Z$1=1,"€ Milhões","€ Millions")</f>
        <v>€ Milhões</v>
      </c>
    </row>
    <row r="10" spans="2:9"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24" t="str">
        <f>IF(Indice_index!$Z$1=1,"Grau de Execução (%)","Execution Rate (%)")</f>
        <v>Grau de Execução (%)</v>
      </c>
      <c r="H10" s="378" t="str">
        <f>IF(Indice_index!$Z$1=1,"Variação Homóloga Acumulada","YOY Change Rate")</f>
        <v>Variação Homóloga Acumulada</v>
      </c>
      <c r="I10" s="375"/>
    </row>
    <row r="11" spans="2:9" ht="26.85" customHeight="1">
      <c r="B11" s="376"/>
      <c r="C11" s="24">
        <v>2023</v>
      </c>
      <c r="D11" s="24">
        <v>2024</v>
      </c>
      <c r="E11" s="24">
        <v>2023</v>
      </c>
      <c r="F11" s="24">
        <v>2024</v>
      </c>
      <c r="G11" s="24">
        <v>2024</v>
      </c>
      <c r="H11" s="24" t="str">
        <f>IF(Indice_index!$Z$1=1,"Relativa (%)","Relative change (%)")</f>
        <v>Relativa (%)</v>
      </c>
      <c r="I11" s="24" t="str">
        <f>IF(Indice_index!$Z$1=1,"Contributo VHA (pp)","YOY Change Rate Contrib. (pp)")</f>
        <v>Contributo VHA (pp)</v>
      </c>
    </row>
    <row r="12" spans="2:9" ht="14.1" customHeight="1">
      <c r="B12" s="311" t="str">
        <f>IF(Indice_index!$Z$1=1,"Receita corrente","Current revenue")</f>
        <v>Receita corrente</v>
      </c>
      <c r="C12" s="312">
        <f>+C13+C18+C27</f>
        <v>11001.6</v>
      </c>
      <c r="D12" s="312">
        <f>+D13+D18+D27</f>
        <v>12061.6</v>
      </c>
      <c r="E12" s="312">
        <f>E13+E18+E27</f>
        <v>7932.6261942300007</v>
      </c>
      <c r="F12" s="312">
        <f>F13+F18+F27</f>
        <v>8698.1448309499992</v>
      </c>
      <c r="G12" s="312">
        <f>IFERROR(IF(F12/D12*100&lt;-500,"-",IF(F12/D12*100&gt;500,"-",F12/D12*100)),"-")</f>
        <v>72.114353244594412</v>
      </c>
      <c r="H12" s="312">
        <f t="shared" ref="H12:H29" si="0">IF(IFERROR((F12-E12)/E12*100,"")&gt;500,"-",IFERROR((F12-E12)/E12*100,""))</f>
        <v>9.6502547577095985</v>
      </c>
      <c r="I12" s="312">
        <f t="shared" ref="I12:I29" si="1">IFERROR((F12-E12)/$E$30*100,"-")</f>
        <v>6.9904207308073119</v>
      </c>
    </row>
    <row r="13" spans="2:9" ht="14.1" customHeight="1">
      <c r="B13" s="313" t="str">
        <f>IF(Indice_index!$Z$1=1,"Contribuições para a Caixa Geral de Aposentações","Contributions to the Public Servants Social Scheme (CGA)")</f>
        <v>Contribuições para a Caixa Geral de Aposentações</v>
      </c>
      <c r="C13" s="302">
        <f>+C14+C15</f>
        <v>4051.3</v>
      </c>
      <c r="D13" s="302">
        <f>+D14+D15</f>
        <v>3997.6</v>
      </c>
      <c r="E13" s="302">
        <f>E14+E15</f>
        <v>2848.9051277100002</v>
      </c>
      <c r="F13" s="302">
        <f>F14+F15</f>
        <v>3064.9505222500002</v>
      </c>
      <c r="G13" s="302">
        <f t="shared" ref="G13:G29" si="2">IFERROR(IF(F13/D13*100&lt;-500,"-",IF(F13/D13*100&gt;500,"-",F13/D13*100)),"-")</f>
        <v>76.669764915199124</v>
      </c>
      <c r="H13" s="302">
        <f t="shared" si="0"/>
        <v>7.5834534621256777</v>
      </c>
      <c r="I13" s="302">
        <f t="shared" si="1"/>
        <v>1.9728431580174048</v>
      </c>
    </row>
    <row r="14" spans="2:9" ht="14.1" customHeight="1">
      <c r="B14" s="330" t="str">
        <f>IF(Indice_index!$Z$1=1,"Quotas e contribuições para a CGA","Fees and contributions to the CGA")</f>
        <v>Quotas e contribuições para a CGA</v>
      </c>
      <c r="C14" s="302">
        <v>3997.9</v>
      </c>
      <c r="D14" s="302">
        <v>3925.6</v>
      </c>
      <c r="E14" s="302">
        <v>2809.9550285</v>
      </c>
      <c r="F14" s="302">
        <v>3021.7049144000002</v>
      </c>
      <c r="G14" s="302">
        <f t="shared" si="2"/>
        <v>76.974345689830855</v>
      </c>
      <c r="H14" s="302">
        <f t="shared" si="0"/>
        <v>7.5357037302136387</v>
      </c>
      <c r="I14" s="302">
        <f t="shared" si="1"/>
        <v>1.9336182310122649</v>
      </c>
    </row>
    <row r="15" spans="2:9" ht="14.1" customHeight="1">
      <c r="B15" s="330" t="str">
        <f>IF(Indice_index!$Z$1=1,"Compensação por pagamento de pensões","Pension payment compensations")</f>
        <v>Compensação por pagamento de pensões</v>
      </c>
      <c r="C15" s="302">
        <f>+C16+C17</f>
        <v>53.400000000000006</v>
      </c>
      <c r="D15" s="302">
        <f>+D16+D17</f>
        <v>72</v>
      </c>
      <c r="E15" s="302">
        <f>E16+E17</f>
        <v>38.950099209999998</v>
      </c>
      <c r="F15" s="302">
        <f>F16+F17</f>
        <v>43.245607849999999</v>
      </c>
      <c r="G15" s="302">
        <f t="shared" si="2"/>
        <v>60.063344236111107</v>
      </c>
      <c r="H15" s="302">
        <f t="shared" si="0"/>
        <v>11.028235427182629</v>
      </c>
      <c r="I15" s="302">
        <f t="shared" si="1"/>
        <v>3.922492700514222E-2</v>
      </c>
    </row>
    <row r="16" spans="2:9" ht="14.1" customHeight="1">
      <c r="B16" s="331" t="str">
        <f>IF(Indice_index!$Z$1=1,"Subsetores das Administrações Públicas","General Government subsectors")</f>
        <v>Subsetores das Administrações Públicas</v>
      </c>
      <c r="C16" s="302">
        <v>39.200000000000003</v>
      </c>
      <c r="D16" s="302">
        <v>56.4</v>
      </c>
      <c r="E16" s="302">
        <v>28.943390229999995</v>
      </c>
      <c r="F16" s="302">
        <v>32.358779479999995</v>
      </c>
      <c r="G16" s="302">
        <f t="shared" si="2"/>
        <v>57.373722482269493</v>
      </c>
      <c r="H16" s="302">
        <f t="shared" si="0"/>
        <v>11.800239097284219</v>
      </c>
      <c r="I16" s="302">
        <f t="shared" si="1"/>
        <v>3.1188016426710628E-2</v>
      </c>
    </row>
    <row r="17" spans="2:9" ht="14.1" customHeight="1">
      <c r="B17" s="331" t="str">
        <f>IF(Indice_index!$Z$1=1,"Outras entidades","Other entities")</f>
        <v>Outras entidades</v>
      </c>
      <c r="C17" s="302">
        <v>14.2</v>
      </c>
      <c r="D17" s="302">
        <v>15.6</v>
      </c>
      <c r="E17" s="302">
        <v>10.006708980000001</v>
      </c>
      <c r="F17" s="302">
        <v>10.886828370000002</v>
      </c>
      <c r="G17" s="302">
        <f t="shared" si="2"/>
        <v>69.787361346153858</v>
      </c>
      <c r="H17" s="302">
        <f t="shared" si="0"/>
        <v>8.7952931554126277</v>
      </c>
      <c r="I17" s="302">
        <f t="shared" si="1"/>
        <v>8.0369105784315956E-3</v>
      </c>
    </row>
    <row r="18" spans="2:9" ht="14.1" customHeight="1">
      <c r="B18" s="313" t="str">
        <f>IF(Indice_index!$Z$1=1,"Transferências correntes","Current transfers")</f>
        <v>Transferências correntes</v>
      </c>
      <c r="C18" s="302">
        <f>+C19+C26</f>
        <v>6805.2000000000007</v>
      </c>
      <c r="D18" s="302">
        <f>+D19+D26</f>
        <v>7721.8</v>
      </c>
      <c r="E18" s="302">
        <f>E19+E26</f>
        <v>4962.4599985599998</v>
      </c>
      <c r="F18" s="302">
        <f>F19+F26</f>
        <v>5561.7517753099992</v>
      </c>
      <c r="G18" s="302">
        <f t="shared" si="2"/>
        <v>72.026623006423364</v>
      </c>
      <c r="H18" s="302">
        <f t="shared" si="0"/>
        <v>12.076505945113936</v>
      </c>
      <c r="I18" s="302">
        <f t="shared" si="1"/>
        <v>5.4725012025120048</v>
      </c>
    </row>
    <row r="19" spans="2:9" ht="14.1" customHeight="1">
      <c r="B19" s="330" t="str">
        <f>IF(Indice_index!$Z$1=1,"Orçamento do Estado","State Budget")</f>
        <v>Orçamento do Estado</v>
      </c>
      <c r="C19" s="302">
        <f>+C20+C21</f>
        <v>6208.1</v>
      </c>
      <c r="D19" s="302">
        <f>+D20+D21</f>
        <v>7080.6</v>
      </c>
      <c r="E19" s="302">
        <f>E20+E21</f>
        <v>4538.4433570000001</v>
      </c>
      <c r="F19" s="302">
        <f>F20+F21</f>
        <v>5106.2474999999995</v>
      </c>
      <c r="G19" s="302">
        <f t="shared" si="2"/>
        <v>72.116028302686203</v>
      </c>
      <c r="H19" s="302">
        <f t="shared" si="0"/>
        <v>12.510988864149425</v>
      </c>
      <c r="I19" s="302">
        <f t="shared" si="1"/>
        <v>5.1849682840801607</v>
      </c>
    </row>
    <row r="20" spans="2:9" ht="14.1" customHeight="1">
      <c r="B20" s="331" t="str">
        <f>IF(Indice_index!$Z$1=1,"Comparticipação do Orçamento do Estado","State Budget contributions")</f>
        <v>Comparticipação do Orçamento do Estado</v>
      </c>
      <c r="C20" s="302">
        <v>5717.8</v>
      </c>
      <c r="D20" s="302">
        <v>6543.3</v>
      </c>
      <c r="E20" s="302">
        <v>4193.9439069999999</v>
      </c>
      <c r="F20" s="302">
        <v>4728.8999999999996</v>
      </c>
      <c r="G20" s="302">
        <f t="shared" si="2"/>
        <v>72.270872495529773</v>
      </c>
      <c r="H20" s="302">
        <f t="shared" si="0"/>
        <v>12.755442248693857</v>
      </c>
      <c r="I20" s="302">
        <f t="shared" si="1"/>
        <v>4.8850125695198363</v>
      </c>
    </row>
    <row r="21" spans="2:9" ht="14.1" customHeight="1">
      <c r="B21" s="331" t="str">
        <f>IF(Indice_index!$Z$1=1,"Compensação por pagamento de pensões","Pension payment compensations")</f>
        <v>Compensação por pagamento de pensões</v>
      </c>
      <c r="C21" s="302">
        <f>+C22+C23+C24+C25</f>
        <v>490.29999999999995</v>
      </c>
      <c r="D21" s="302">
        <f>+D22+D23+D24+D25</f>
        <v>537.29999999999995</v>
      </c>
      <c r="E21" s="302">
        <f>SUM(E22:E25)</f>
        <v>344.49945000000002</v>
      </c>
      <c r="F21" s="302">
        <f>SUM(F22:F25)</f>
        <v>377.34749999999997</v>
      </c>
      <c r="G21" s="302">
        <f t="shared" si="2"/>
        <v>70.230318257956441</v>
      </c>
      <c r="H21" s="302">
        <f t="shared" si="0"/>
        <v>9.5350079659052991</v>
      </c>
      <c r="I21" s="302">
        <f t="shared" si="1"/>
        <v>0.29995571456032721</v>
      </c>
    </row>
    <row r="22" spans="2:9" ht="14.1" customHeight="1">
      <c r="B22" s="332" t="str">
        <f>IF(Indice_index!$Z$1=1,"Deficientes das Forças Armadas / Invalidez","Armed Forces handicapped / disability")</f>
        <v>Deficientes das Forças Armadas / Invalidez</v>
      </c>
      <c r="C22" s="302">
        <v>175.8</v>
      </c>
      <c r="D22" s="302">
        <v>178.9</v>
      </c>
      <c r="E22" s="302">
        <v>125.83499999999999</v>
      </c>
      <c r="F22" s="302">
        <v>137.95240000000001</v>
      </c>
      <c r="G22" s="302">
        <f t="shared" si="2"/>
        <v>77.111458915595307</v>
      </c>
      <c r="H22" s="302">
        <f t="shared" si="0"/>
        <v>9.6295943100091534</v>
      </c>
      <c r="I22" s="302">
        <f t="shared" si="1"/>
        <v>0.11065141996597426</v>
      </c>
    </row>
    <row r="23" spans="2:9" ht="14.1" customHeight="1">
      <c r="B23" s="332" t="str">
        <f>IF(Indice_index!$Z$1=1,"Subvenções vitalícias","Lifetime grants")</f>
        <v>Subvenções vitalícias</v>
      </c>
      <c r="C23" s="302">
        <v>8.1999999999999993</v>
      </c>
      <c r="D23" s="302">
        <v>9.4</v>
      </c>
      <c r="E23" s="302">
        <v>6.0705</v>
      </c>
      <c r="F23" s="302">
        <v>6.3097000000000003</v>
      </c>
      <c r="G23" s="302">
        <f t="shared" si="2"/>
        <v>67.124468085106386</v>
      </c>
      <c r="H23" s="302">
        <f t="shared" si="0"/>
        <v>3.9403673503006393</v>
      </c>
      <c r="I23" s="302">
        <f t="shared" si="1"/>
        <v>2.1842820783221678E-3</v>
      </c>
    </row>
    <row r="24" spans="2:9" ht="14.1" customHeight="1">
      <c r="B24" s="332" t="str">
        <f>IF(Indice_index!$Z$1=1,"Pensões de preço de sangue","Blood price pensions")</f>
        <v>Pensões de preço de sangue</v>
      </c>
      <c r="C24" s="302">
        <v>31.1</v>
      </c>
      <c r="D24" s="302">
        <v>33</v>
      </c>
      <c r="E24" s="302">
        <v>22.213999999999999</v>
      </c>
      <c r="F24" s="302">
        <v>23.626000000000001</v>
      </c>
      <c r="G24" s="302">
        <f t="shared" si="2"/>
        <v>71.593939393939394</v>
      </c>
      <c r="H24" s="302">
        <f t="shared" si="0"/>
        <v>6.3563518501845797</v>
      </c>
      <c r="I24" s="302">
        <f t="shared" si="1"/>
        <v>1.289383902420946E-2</v>
      </c>
    </row>
    <row r="25" spans="2:9" ht="14.1" customHeight="1">
      <c r="B25" s="332" t="str">
        <f>IF(Indice_index!$Z$1=1,"Outras","Others")</f>
        <v>Outras</v>
      </c>
      <c r="C25" s="302">
        <v>275.2</v>
      </c>
      <c r="D25" s="302">
        <v>316</v>
      </c>
      <c r="E25" s="302">
        <v>190.37995000000001</v>
      </c>
      <c r="F25" s="302">
        <v>209.45939999999999</v>
      </c>
      <c r="G25" s="302">
        <f t="shared" si="2"/>
        <v>66.284620253164547</v>
      </c>
      <c r="H25" s="302">
        <f t="shared" si="0"/>
        <v>10.021774877028793</v>
      </c>
      <c r="I25" s="302">
        <f t="shared" si="1"/>
        <v>0.17422617349182185</v>
      </c>
    </row>
    <row r="26" spans="2:9" ht="14.1" customHeight="1">
      <c r="B26" s="331" t="str">
        <f>IF(Indice_index!$Z$1=1,"Outras transferências correntes","Other current transfers")</f>
        <v>Outras transferências correntes</v>
      </c>
      <c r="C26" s="302">
        <v>597.1</v>
      </c>
      <c r="D26" s="302">
        <v>641.20000000000005</v>
      </c>
      <c r="E26" s="302">
        <v>424.01664155999998</v>
      </c>
      <c r="F26" s="302">
        <v>455.50427530999997</v>
      </c>
      <c r="G26" s="302">
        <f t="shared" si="2"/>
        <v>71.03934424672488</v>
      </c>
      <c r="H26" s="302">
        <f>IF(IFERROR((F26-E26)/E26*100,"")&gt;500,"-",IFERROR((F26-E26)/E26*100,""))</f>
        <v>7.4260372503668268</v>
      </c>
      <c r="I26" s="302">
        <f t="shared" si="1"/>
        <v>0.28753291843184414</v>
      </c>
    </row>
    <row r="27" spans="2:9" ht="14.1" customHeight="1">
      <c r="B27" s="330" t="str">
        <f>IF(Indice_index!$Z$1=1,"Outras receitas correntes","Other current revenue")</f>
        <v>Outras receitas correntes</v>
      </c>
      <c r="C27" s="302">
        <v>145.1</v>
      </c>
      <c r="D27" s="302">
        <v>342.2</v>
      </c>
      <c r="E27" s="302">
        <v>121.26106795999999</v>
      </c>
      <c r="F27" s="302">
        <v>71.442533389999994</v>
      </c>
      <c r="G27" s="302">
        <f t="shared" si="2"/>
        <v>20.877420628287549</v>
      </c>
      <c r="H27" s="302">
        <f>IF(IFERROR((F27-E27)/E27*100,"")&gt;500,"-",IFERROR((F27-E27)/E27*100,""))</f>
        <v>-41.0837009834298</v>
      </c>
      <c r="I27" s="302">
        <f t="shared" si="1"/>
        <v>-0.45492362972209116</v>
      </c>
    </row>
    <row r="28" spans="2:9" ht="14.1" customHeight="1">
      <c r="B28" s="311" t="str">
        <f>IF(Indice_index!$Z$1=1,"Receita de capital","Capital revenue")</f>
        <v>Receita de capital</v>
      </c>
      <c r="C28" s="312">
        <f>+C29</f>
        <v>3018.3</v>
      </c>
      <c r="D28" s="333">
        <f>+D29</f>
        <v>0</v>
      </c>
      <c r="E28" s="312">
        <f>E29</f>
        <v>3018.3403669999998</v>
      </c>
      <c r="F28" s="312">
        <f>F29</f>
        <v>8.2210196199999999</v>
      </c>
      <c r="G28" s="312" t="str">
        <f t="shared" si="2"/>
        <v>-</v>
      </c>
      <c r="H28" s="312">
        <f>IF(IFERROR((F28-E28)/E28*100,"")&gt;500,"-",IFERROR((F28-E28)/E28*100,""))</f>
        <v>-99.727631127692504</v>
      </c>
      <c r="I28" s="312">
        <f t="shared" si="1"/>
        <v>-27.487248094034051</v>
      </c>
    </row>
    <row r="29" spans="2:9" ht="14.1" customHeight="1">
      <c r="B29" s="313" t="str">
        <f>IF(Indice_index!$Z$1=1,"Transferências de capital","Capital transfers")</f>
        <v>Transferências de capital</v>
      </c>
      <c r="C29" s="302">
        <v>3018.3</v>
      </c>
      <c r="D29" s="327">
        <v>0</v>
      </c>
      <c r="E29" s="302">
        <v>3018.3403669999998</v>
      </c>
      <c r="F29" s="302">
        <v>8.2210196199999999</v>
      </c>
      <c r="G29" s="302" t="str">
        <f t="shared" si="2"/>
        <v>-</v>
      </c>
      <c r="H29" s="302">
        <f t="shared" si="0"/>
        <v>-99.727631127692504</v>
      </c>
      <c r="I29" s="302">
        <f t="shared" si="1"/>
        <v>-27.487248094034051</v>
      </c>
    </row>
    <row r="30" spans="2:9" ht="14.1" customHeight="1">
      <c r="B30" s="32" t="str">
        <f>IF(Indice_index!$Z$1=1,"Receita efetiva","Effective revenue")</f>
        <v>Receita efetiva</v>
      </c>
      <c r="C30" s="19">
        <f>+C12+C28</f>
        <v>14019.900000000001</v>
      </c>
      <c r="D30" s="19">
        <f>+D12+D28</f>
        <v>12061.6</v>
      </c>
      <c r="E30" s="19">
        <f>+E12+E28</f>
        <v>10950.966561230001</v>
      </c>
      <c r="F30" s="19">
        <f>+F12+F28</f>
        <v>8706.3658505699987</v>
      </c>
      <c r="G30" s="19">
        <f>IFERROR(IF(F30/D30*100&lt;-500,"-",IF(F30/D30*100&gt;500,"-",F30/D30*100)),"-")</f>
        <v>72.182511860532586</v>
      </c>
      <c r="H30" s="19">
        <f>IF(E30=0,"-",(F30-E30)/E30*100)</f>
        <v>-20.496827363226753</v>
      </c>
      <c r="I30" s="19"/>
    </row>
    <row r="31" spans="2:9" ht="14.1" customHeight="1">
      <c r="B31" s="311" t="str">
        <f>IF(Indice_index!$Z$1=1,"Despesa corrente","Current expenditure")</f>
        <v>Despesa corrente</v>
      </c>
      <c r="C31" s="312">
        <f>+C32+C36+C37+C38+C44</f>
        <v>11307.1</v>
      </c>
      <c r="D31" s="312">
        <f>+D32+D36+D37+D38+D44</f>
        <v>12138.3</v>
      </c>
      <c r="E31" s="312">
        <f>E32+E36+E37+E38+E44</f>
        <v>7997.5328442499995</v>
      </c>
      <c r="F31" s="312">
        <f>F32+F36+F37+F38+F44</f>
        <v>8777.8655169199974</v>
      </c>
      <c r="G31" s="312">
        <f t="shared" ref="G31:G46" si="3">IFERROR(IF(F31/D31*100&lt;-500,"-",IF(F31/D31*100&gt;500,"-",F31/D31*100)),"-")</f>
        <v>72.315443817668026</v>
      </c>
      <c r="H31" s="312">
        <f t="shared" ref="H31:H45" si="4">IF(IFERROR((F31-E31)/E31*100,"")&gt;500,"-",IFERROR((F31-E31)/E31*100,""))</f>
        <v>9.7571674648518023</v>
      </c>
      <c r="I31" s="312">
        <f t="shared" ref="I31:I45" si="5">IFERROR((F31-E31)/$E$46*100,"-")</f>
        <v>9.7571674648518023</v>
      </c>
    </row>
    <row r="32" spans="2:9" ht="14.1" customHeight="1">
      <c r="B32" s="313" t="str">
        <f>IF(Indice_index!$Z$1=1,"Despesas com pessoal","Employees")</f>
        <v>Despesas com pessoal</v>
      </c>
      <c r="C32" s="302">
        <f>+C33+C34+C35</f>
        <v>7.6</v>
      </c>
      <c r="D32" s="302">
        <f>+D33+D34+D35</f>
        <v>8</v>
      </c>
      <c r="E32" s="302">
        <f>SUM(E33:E35)</f>
        <v>5.4523195599999994</v>
      </c>
      <c r="F32" s="302">
        <f>SUM(F33:F35)</f>
        <v>5.52513041</v>
      </c>
      <c r="G32" s="302">
        <f t="shared" si="3"/>
        <v>69.064130125000005</v>
      </c>
      <c r="H32" s="302">
        <f t="shared" si="4"/>
        <v>1.3354105385561932</v>
      </c>
      <c r="I32" s="302">
        <f t="shared" si="5"/>
        <v>9.1041639237967741E-4</v>
      </c>
    </row>
    <row r="33" spans="2:9" ht="14.1" customHeight="1">
      <c r="B33" s="330" t="str">
        <f>IF(Indice_index!$Z$1=1,"Remunerações certas e permanentes","Certain and permanent wages")</f>
        <v>Remunerações certas e permanentes</v>
      </c>
      <c r="C33" s="302">
        <v>0</v>
      </c>
      <c r="D33" s="302">
        <v>0.1</v>
      </c>
      <c r="E33" s="302">
        <v>1.0042829999999999E-2</v>
      </c>
      <c r="F33" s="302">
        <v>6.2617769999999989E-2</v>
      </c>
      <c r="G33" s="302">
        <f t="shared" si="3"/>
        <v>62.617769999999986</v>
      </c>
      <c r="H33" s="302" t="str">
        <f t="shared" si="4"/>
        <v>-</v>
      </c>
      <c r="I33" s="302">
        <f t="shared" si="5"/>
        <v>6.5738948528107496E-4</v>
      </c>
    </row>
    <row r="34" spans="2:9" ht="17.25" hidden="1" customHeight="1">
      <c r="B34" s="330" t="str">
        <f>IF(Indice_index!$Z$1=1,"Abonos variáveis ou eventuais","Variable or contingent bonuses")</f>
        <v>Abonos variáveis ou eventuais</v>
      </c>
      <c r="C34" s="302">
        <v>0</v>
      </c>
      <c r="D34" s="302">
        <v>0</v>
      </c>
      <c r="E34" s="327">
        <v>0</v>
      </c>
      <c r="F34" s="327">
        <v>0</v>
      </c>
      <c r="G34" s="302" t="str">
        <f t="shared" si="3"/>
        <v>-</v>
      </c>
      <c r="H34" s="302" t="str">
        <f t="shared" si="4"/>
        <v>-</v>
      </c>
      <c r="I34" s="302">
        <f t="shared" si="5"/>
        <v>0</v>
      </c>
    </row>
    <row r="35" spans="2:9" ht="14.1" customHeight="1">
      <c r="B35" s="330" t="str">
        <f>IF(Indice_index!$Z$1=1,"Segurança Social","Social security")</f>
        <v>Segurança Social</v>
      </c>
      <c r="C35" s="302">
        <v>7.6</v>
      </c>
      <c r="D35" s="302">
        <v>7.9</v>
      </c>
      <c r="E35" s="302">
        <v>5.4422767299999997</v>
      </c>
      <c r="F35" s="302">
        <v>5.4625126399999999</v>
      </c>
      <c r="G35" s="302">
        <f t="shared" si="3"/>
        <v>69.145729620253164</v>
      </c>
      <c r="H35" s="302">
        <f t="shared" si="4"/>
        <v>0.37182802352647448</v>
      </c>
      <c r="I35" s="302">
        <f t="shared" si="5"/>
        <v>2.5302690709859719E-4</v>
      </c>
    </row>
    <row r="36" spans="2:9" ht="14.1" customHeight="1">
      <c r="B36" s="313" t="str">
        <f>IF(Indice_index!$Z$1=1,"Aquisição de bens e serviços","Purchase of goods and services")</f>
        <v>Aquisição de bens e serviços</v>
      </c>
      <c r="C36" s="302">
        <v>20.6</v>
      </c>
      <c r="D36" s="302">
        <v>33.799999999999997</v>
      </c>
      <c r="E36" s="302">
        <v>15.722196370000001</v>
      </c>
      <c r="F36" s="302">
        <v>21.46791941</v>
      </c>
      <c r="G36" s="302">
        <f t="shared" si="3"/>
        <v>63.514554467455632</v>
      </c>
      <c r="H36" s="302">
        <f t="shared" si="4"/>
        <v>36.545294975221069</v>
      </c>
      <c r="I36" s="302">
        <f t="shared" si="5"/>
        <v>7.1843694197905192E-2</v>
      </c>
    </row>
    <row r="37" spans="2:9" ht="14.1" customHeight="1">
      <c r="B37" s="313" t="str">
        <f>IF(Indice_index!$Z$1=1,"Juros e outros encargos","Interests and other charges")</f>
        <v>Juros e outros encargos</v>
      </c>
      <c r="C37" s="302">
        <v>6.9</v>
      </c>
      <c r="D37" s="302">
        <v>2.2999999999999998</v>
      </c>
      <c r="E37" s="302">
        <v>6.8742981399999996</v>
      </c>
      <c r="F37" s="302">
        <v>0.16477628</v>
      </c>
      <c r="G37" s="302">
        <f t="shared" si="3"/>
        <v>7.1641860869565228</v>
      </c>
      <c r="H37" s="302">
        <f t="shared" si="4"/>
        <v>-97.603009403371615</v>
      </c>
      <c r="I37" s="302">
        <f t="shared" si="5"/>
        <v>-8.3894895971874078E-2</v>
      </c>
    </row>
    <row r="38" spans="2:9" ht="14.1" customHeight="1">
      <c r="B38" s="313" t="str">
        <f>IF(Indice_index!$Z$1=1,"Transferências","Transfers")</f>
        <v>Transferências</v>
      </c>
      <c r="C38" s="302">
        <f>+C40+C41+C42+C43</f>
        <v>11271.2</v>
      </c>
      <c r="D38" s="302">
        <f>+D40+D41+D42+D43</f>
        <v>12090.499999999998</v>
      </c>
      <c r="E38" s="302">
        <f>SUM(E40:E43)</f>
        <v>7968.9096346299993</v>
      </c>
      <c r="F38" s="302">
        <f>SUM(F40:F43)</f>
        <v>8750.0169585199983</v>
      </c>
      <c r="G38" s="302">
        <f t="shared" si="3"/>
        <v>72.371009954261609</v>
      </c>
      <c r="H38" s="302">
        <f t="shared" si="4"/>
        <v>9.8019347652731437</v>
      </c>
      <c r="I38" s="302">
        <f t="shared" si="5"/>
        <v>9.7668535922499284</v>
      </c>
    </row>
    <row r="39" spans="2:9" ht="14.1" customHeight="1">
      <c r="B39" s="330" t="str">
        <f>IF(Indice_index!$Z$1=1,"Pensões e abonos da responsabilidade de:","Liability for pensions and allowances from:")</f>
        <v>Pensões e abonos da responsabilidade de:</v>
      </c>
      <c r="C39" s="302"/>
      <c r="D39" s="302"/>
      <c r="E39" s="302"/>
      <c r="F39" s="302"/>
      <c r="G39" s="302"/>
      <c r="H39" s="302"/>
      <c r="I39" s="302">
        <f t="shared" si="5"/>
        <v>0</v>
      </c>
    </row>
    <row r="40" spans="2:9" ht="14.1" customHeight="1">
      <c r="B40" s="331" t="str">
        <f>IF(Indice_index!$Z$1=1,"Caixa Geral de Aposentações","Public Servants Social Scheme")</f>
        <v>Caixa Geral de Aposentações</v>
      </c>
      <c r="C40" s="302">
        <v>9931.5</v>
      </c>
      <c r="D40" s="302">
        <v>10639.8</v>
      </c>
      <c r="E40" s="302">
        <v>7022.0630432299995</v>
      </c>
      <c r="F40" s="302">
        <v>7717.9808888499992</v>
      </c>
      <c r="G40" s="302">
        <f t="shared" si="3"/>
        <v>72.538777879753383</v>
      </c>
      <c r="H40" s="302">
        <f t="shared" si="4"/>
        <v>9.9104471340646398</v>
      </c>
      <c r="I40" s="302">
        <f t="shared" si="5"/>
        <v>8.7016566130184145</v>
      </c>
    </row>
    <row r="41" spans="2:9" ht="14.1" customHeight="1">
      <c r="B41" s="331" t="str">
        <f>IF(Indice_index!$Z$1=1,"Orçamento do Estado","State Budget")</f>
        <v>Orçamento do Estado</v>
      </c>
      <c r="C41" s="302">
        <v>475.4</v>
      </c>
      <c r="D41" s="302">
        <v>520.29999999999995</v>
      </c>
      <c r="E41" s="302">
        <v>334.28580539000001</v>
      </c>
      <c r="F41" s="302">
        <v>366.37530954999994</v>
      </c>
      <c r="G41" s="302">
        <f t="shared" si="3"/>
        <v>70.416165587161245</v>
      </c>
      <c r="H41" s="302">
        <f t="shared" si="4"/>
        <v>9.5994217051969013</v>
      </c>
      <c r="I41" s="302">
        <f t="shared" si="5"/>
        <v>0.40124254298088169</v>
      </c>
    </row>
    <row r="42" spans="2:9" ht="14.1" customHeight="1">
      <c r="B42" s="331" t="str">
        <f>IF(Indice_index!$Z$1=1,"Outras entidades","Other entities")</f>
        <v>Outras entidades</v>
      </c>
      <c r="C42" s="302">
        <v>645.70000000000005</v>
      </c>
      <c r="D42" s="302">
        <v>704.3</v>
      </c>
      <c r="E42" s="302">
        <v>458.47433581999996</v>
      </c>
      <c r="F42" s="302">
        <v>492.52747962000001</v>
      </c>
      <c r="G42" s="302">
        <f t="shared" si="3"/>
        <v>69.931489368166979</v>
      </c>
      <c r="H42" s="302">
        <f t="shared" si="4"/>
        <v>7.4274918222182738</v>
      </c>
      <c r="I42" s="302">
        <f t="shared" si="5"/>
        <v>0.42579561051110026</v>
      </c>
    </row>
    <row r="43" spans="2:9" ht="14.1" customHeight="1">
      <c r="B43" s="330" t="str">
        <f>IF(Indice_index!$Z$1=1,"Outras transferências correntes","Other current transfers")</f>
        <v>Outras transferências correntes</v>
      </c>
      <c r="C43" s="302">
        <v>218.6</v>
      </c>
      <c r="D43" s="302">
        <v>226.1</v>
      </c>
      <c r="E43" s="302">
        <v>154.08645018999999</v>
      </c>
      <c r="F43" s="302">
        <v>173.13328050000004</v>
      </c>
      <c r="G43" s="302">
        <f t="shared" si="3"/>
        <v>76.573764042459118</v>
      </c>
      <c r="H43" s="302">
        <f t="shared" si="4"/>
        <v>12.361132524315991</v>
      </c>
      <c r="I43" s="302">
        <f t="shared" si="5"/>
        <v>0.23815882573954267</v>
      </c>
    </row>
    <row r="44" spans="2:9" ht="14.1" customHeight="1">
      <c r="B44" s="313" t="str">
        <f>IF(Indice_index!$Z$1=1,"Outras despesas correntes","Other current expenditure")</f>
        <v>Outras despesas correntes</v>
      </c>
      <c r="C44" s="302">
        <v>0.8</v>
      </c>
      <c r="D44" s="302">
        <v>3.7</v>
      </c>
      <c r="E44" s="302">
        <v>0.57439555000000009</v>
      </c>
      <c r="F44" s="302">
        <v>0.69073230000000008</v>
      </c>
      <c r="G44" s="302">
        <f t="shared" si="3"/>
        <v>18.668440540540544</v>
      </c>
      <c r="H44" s="302">
        <f t="shared" si="4"/>
        <v>20.25376937547653</v>
      </c>
      <c r="I44" s="302">
        <f t="shared" si="5"/>
        <v>1.454657983476027E-3</v>
      </c>
    </row>
    <row r="45" spans="2:9" ht="14.1" customHeight="1">
      <c r="B45" s="311" t="str">
        <f>IF(Indice_index!$Z$1=1,"Despesa de capital","Capital expenditure")</f>
        <v>Despesa de capital</v>
      </c>
      <c r="C45" s="312">
        <v>0</v>
      </c>
      <c r="D45" s="312">
        <v>0</v>
      </c>
      <c r="E45" s="312">
        <v>0</v>
      </c>
      <c r="F45" s="312">
        <v>0</v>
      </c>
      <c r="G45" s="312" t="str">
        <f t="shared" si="3"/>
        <v>-</v>
      </c>
      <c r="H45" s="312" t="str">
        <f t="shared" si="4"/>
        <v>-</v>
      </c>
      <c r="I45" s="312">
        <f t="shared" si="5"/>
        <v>0</v>
      </c>
    </row>
    <row r="46" spans="2:9" ht="14.1" customHeight="1">
      <c r="B46" s="32" t="str">
        <f>IF(Indice_index!$Z$1=1,"Despesa efetiva","Effective expenditure")</f>
        <v>Despesa efetiva</v>
      </c>
      <c r="C46" s="19">
        <f>+C31+C45</f>
        <v>11307.1</v>
      </c>
      <c r="D46" s="19">
        <f>+D31+D45</f>
        <v>12138.3</v>
      </c>
      <c r="E46" s="19">
        <f>+E31+E45</f>
        <v>7997.5328442499995</v>
      </c>
      <c r="F46" s="19">
        <f>+F31+F45</f>
        <v>8777.8655169199974</v>
      </c>
      <c r="G46" s="19">
        <f t="shared" si="3"/>
        <v>72.315443817668026</v>
      </c>
      <c r="H46" s="19">
        <f>IF(E46=0,"-",(F46-E46)/E46*100)</f>
        <v>9.7571674648518023</v>
      </c>
      <c r="I46" s="19"/>
    </row>
    <row r="47" spans="2:9" ht="14.1" customHeight="1">
      <c r="B47" s="32" t="str">
        <f>IF(Indice_index!$Z$1=1,"Saldo global","Overall balance")</f>
        <v>Saldo global</v>
      </c>
      <c r="C47" s="19">
        <f>+C30-C46</f>
        <v>2712.8000000000011</v>
      </c>
      <c r="D47" s="19">
        <f>+D30-D46</f>
        <v>-76.699999999998909</v>
      </c>
      <c r="E47" s="19">
        <f>+E30-E46</f>
        <v>2953.4337169800019</v>
      </c>
      <c r="F47" s="19">
        <f>+F30-F46</f>
        <v>-71.499666349998733</v>
      </c>
      <c r="G47" s="19"/>
      <c r="H47" s="19"/>
      <c r="I47" s="19"/>
    </row>
    <row r="48" spans="2:9" ht="14.1" customHeight="1">
      <c r="B48" s="313" t="str">
        <f>IF(Indice_index!$Z$1=1,"Ativos financeiros líquidos de reembolsos","Financial assets net of reimbursements")</f>
        <v>Ativos financeiros líquidos de reembolsos</v>
      </c>
      <c r="C48" s="302">
        <v>2933.37690359</v>
      </c>
      <c r="D48" s="302">
        <v>-76.6066</v>
      </c>
      <c r="E48" s="327">
        <v>2720.6373927</v>
      </c>
      <c r="F48" s="327">
        <v>-523.86992783999995</v>
      </c>
      <c r="G48" s="302"/>
      <c r="H48" s="302"/>
      <c r="I48" s="302"/>
    </row>
    <row r="49" spans="2:9" ht="13.5" customHeight="1">
      <c r="B49" s="313" t="str">
        <f>IF(Indice_index!$Z$1=1,"Passivos financeiros líquidos de amortizações","Financial liabilities net of amortizations")</f>
        <v>Passivos financeiros líquidos de amortizações</v>
      </c>
      <c r="C49" s="302">
        <v>0</v>
      </c>
      <c r="D49" s="302">
        <v>0</v>
      </c>
      <c r="E49" s="302">
        <v>0</v>
      </c>
      <c r="F49" s="302">
        <v>0</v>
      </c>
      <c r="G49" s="302"/>
      <c r="H49" s="302"/>
      <c r="I49" s="302"/>
    </row>
    <row r="50" spans="2:9" ht="14.1" customHeight="1">
      <c r="B50" s="328" t="str">
        <f>IF(Indice_index!$Z$1=1,"Poupança (+) / Utilização (-) de saldo da gerência anterior","Saving (+) / Usage (-) of balance from previous management")</f>
        <v>Poupança (+) / Utilização (-) de saldo da gerência anterior</v>
      </c>
      <c r="C50" s="329">
        <f>C47-C48+C49</f>
        <v>-220.57690358999889</v>
      </c>
      <c r="D50" s="329">
        <f>D47-D48+D49</f>
        <v>-9.3399999998908356E-2</v>
      </c>
      <c r="E50" s="329">
        <f>E47-E48+E49</f>
        <v>232.79632428000195</v>
      </c>
      <c r="F50" s="329">
        <f>F47-F48+F49</f>
        <v>452.37026149000121</v>
      </c>
      <c r="G50" s="329"/>
      <c r="H50" s="329"/>
      <c r="I50" s="329"/>
    </row>
    <row r="51" spans="2:9">
      <c r="B51" s="10" t="str">
        <f>IF(Indice_index!$Z$1=1,"Notas:","Notes:")</f>
        <v>Notas:</v>
      </c>
      <c r="C51" s="10"/>
      <c r="D51" s="10"/>
      <c r="E51" s="10"/>
      <c r="F51" s="10"/>
      <c r="G51" s="10"/>
      <c r="H51" s="10"/>
      <c r="I51" s="10"/>
    </row>
    <row r="52" spans="2:9">
      <c r="B52" s="379" t="str">
        <f>+'3 - Conta AC + SS'!$B$61</f>
        <v>Os dados de 2023 são mensalmente revistos e atualizados face ao publicado nas Sínteses de Execução Orçamental de 2023.</v>
      </c>
      <c r="C52" s="379"/>
      <c r="D52" s="379"/>
      <c r="E52" s="379"/>
      <c r="F52" s="379"/>
      <c r="G52" s="379"/>
      <c r="H52" s="379"/>
      <c r="I52" s="379"/>
    </row>
    <row r="53" spans="2:9">
      <c r="B53" s="183" t="str">
        <f>IF(Indice_index!$Z$1=1,"Fonte: Direção-Geral do Orçamento.","Source: Budget General Directorate.")</f>
        <v>Fonte: Direção-Geral do Orçamento.</v>
      </c>
      <c r="C53" s="183"/>
      <c r="D53" s="183"/>
      <c r="F53" s="197"/>
    </row>
    <row r="54" spans="2:9"/>
  </sheetData>
  <mergeCells count="4">
    <mergeCell ref="B10:B11"/>
    <mergeCell ref="E10:F10"/>
    <mergeCell ref="H10:I10"/>
    <mergeCell ref="B52:I52"/>
  </mergeCells>
  <conditionalFormatting sqref="C12:I29 C31:I45 C48:I50">
    <cfRule type="cellIs" dxfId="75"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ignoredErrors>
    <ignoredError sqref="H30 E12:E13 E31 E39 E28 E15 E18:E19 E45" formula="1"/>
    <ignoredError sqref="E32 E21 E38" formula="1" formulaRange="1"/>
    <ignoredError sqref="F32 F21 F3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08"/>
  <sheetViews>
    <sheetView showGridLines="0" zoomScaleNormal="100" workbookViewId="0"/>
  </sheetViews>
  <sheetFormatPr defaultColWidth="0" defaultRowHeight="14.85" customHeight="1" zeroHeight="1"/>
  <cols>
    <col min="1" max="1" width="8.5703125" style="75" customWidth="1"/>
    <col min="2" max="2" width="63" style="78" customWidth="1"/>
    <col min="3" max="4" width="10.42578125" style="78" customWidth="1"/>
    <col min="5" max="6" width="10.42578125" style="79" customWidth="1"/>
    <col min="7" max="8" width="10.42578125" style="78" customWidth="1"/>
    <col min="9" max="9" width="8.5703125" style="78" customWidth="1"/>
    <col min="10" max="15" width="0" hidden="1" customWidth="1"/>
    <col min="16" max="16384" width="9.42578125" hidden="1"/>
  </cols>
  <sheetData>
    <row r="1" spans="2:8" ht="14.85" customHeight="1"/>
    <row r="2" spans="2:8" ht="15"/>
    <row r="3" spans="2:8" ht="15"/>
    <row r="4" spans="2:8" ht="15"/>
    <row r="5" spans="2:8" ht="15"/>
    <row r="6" spans="2:8" ht="15"/>
    <row r="7" spans="2:8" ht="50.1" customHeight="1">
      <c r="B7" s="13"/>
      <c r="C7" s="14"/>
      <c r="D7" s="12"/>
      <c r="E7" s="12"/>
      <c r="F7" s="12"/>
      <c r="G7" s="80"/>
      <c r="H7" s="12"/>
    </row>
    <row r="8" spans="2:8" ht="15.75">
      <c r="B8" s="1" t="str">
        <f>IF(Indice_index!$Z$1=1,"Quadro 10 - Execução Orçamental da Segurança Social","10 - Social Security Budget Execution")</f>
        <v>Quadro 10 - Execução Orçamental da Segurança Social</v>
      </c>
      <c r="C8" s="2"/>
      <c r="D8" s="2"/>
      <c r="E8" s="2"/>
      <c r="F8" s="2"/>
      <c r="G8" s="2"/>
      <c r="H8" s="2"/>
    </row>
    <row r="9" spans="2:8" ht="15">
      <c r="B9" s="3" t="str">
        <f>+'3 - Conta AC + SS'!B9</f>
        <v>Período: janeiro a setembro</v>
      </c>
      <c r="C9" s="3"/>
      <c r="D9" s="3"/>
      <c r="E9" s="3"/>
      <c r="F9" s="3"/>
      <c r="G9" s="3"/>
      <c r="H9" s="3" t="str">
        <f>IF(Indice_index!$Z$1=1,"€ Milhões","€ Millions")</f>
        <v>€ Milhões</v>
      </c>
    </row>
    <row r="10" spans="2:8"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378" t="str">
        <f>IF(Indice_index!$Z$1=1,"Variação Homóloga Acumulada","YOY Change Rate")</f>
        <v>Variação Homóloga Acumulada</v>
      </c>
      <c r="H10" s="374"/>
    </row>
    <row r="11" spans="2:8" ht="26.85" customHeight="1">
      <c r="B11" s="376"/>
      <c r="C11" s="24">
        <v>2023</v>
      </c>
      <c r="D11" s="24">
        <v>2024</v>
      </c>
      <c r="E11" s="24">
        <v>2023</v>
      </c>
      <c r="F11" s="24">
        <v>2024</v>
      </c>
      <c r="G11" s="24" t="str">
        <f>IF(Indice_index!$Z$1=1,"Relativa (%)","Relative change (%)")</f>
        <v>Relativa (%)</v>
      </c>
      <c r="H11" s="24" t="str">
        <f>IF(Indice_index!$Z$1=1,"Contributo VHA (pp)","YOY Change Rate Contrib. (pp)")</f>
        <v>Contributo VHA (pp)</v>
      </c>
    </row>
    <row r="12" spans="2:8" ht="14.1" customHeight="1">
      <c r="B12" s="212" t="str">
        <f>IF(Indice_index!$Z$1=1,"Receita corrente","Current revenue")</f>
        <v>Receita corrente</v>
      </c>
      <c r="C12" s="161">
        <f>+SUM(C13:C15)+SUM(C26:C29)</f>
        <v>38331.016690729994</v>
      </c>
      <c r="D12" s="161">
        <f>+SUM(D13:D15)+SUM(D26:D29)</f>
        <v>40727.696369999998</v>
      </c>
      <c r="E12" s="161">
        <f>+SUM(E13:E15)+SUM(E26:E29)</f>
        <v>27438.334712419994</v>
      </c>
      <c r="F12" s="161">
        <f>+SUM(F13:F15)+SUM(F26:F29)</f>
        <v>30475.471298409997</v>
      </c>
      <c r="G12" s="161">
        <f>IF(IFERROR((F12-E12)/E12*100,"")&gt;500,"-",IFERROR((F12-E12)/E12*100,""))</f>
        <v>11.068953775154728</v>
      </c>
      <c r="H12" s="161">
        <f>IFERROR((F12-E12)/$E$33*100,"-")</f>
        <v>11.068810930144528</v>
      </c>
    </row>
    <row r="13" spans="2:8" ht="14.1" customHeight="1">
      <c r="B13" s="150" t="str">
        <f>IF(Indice_index!$Z$1=1,"Impostos indiretos","Indirect taxes")</f>
        <v>Impostos indiretos</v>
      </c>
      <c r="C13" s="5">
        <v>235.00856136000002</v>
      </c>
      <c r="D13" s="5">
        <v>249.00946200000001</v>
      </c>
      <c r="E13" s="5">
        <v>174.33892043</v>
      </c>
      <c r="F13" s="5">
        <v>169.91868922999998</v>
      </c>
      <c r="G13" s="5">
        <f>IF(IFERROR((F13-E13)/E13*100,"")&gt;500,"-",IFERROR((F13-E13)/E13*100,""))</f>
        <v>-2.5354242122743984</v>
      </c>
      <c r="H13" s="5">
        <f>IFERROR((F13-E13)/$E$33*100,"-")</f>
        <v>-1.6109484060091297E-2</v>
      </c>
    </row>
    <row r="14" spans="2:8" ht="14.1" customHeight="1">
      <c r="B14" s="150" t="str">
        <f>IF(Indice_index!$Z$1=1,"Contribuições e quotizações","Contributions and membership fees")</f>
        <v>Contribuições e quotizações</v>
      </c>
      <c r="C14" s="5">
        <v>25113.371414149999</v>
      </c>
      <c r="D14" s="5">
        <v>26417.742928</v>
      </c>
      <c r="E14" s="5">
        <v>18320.654412569995</v>
      </c>
      <c r="F14" s="5">
        <v>20177.280456740002</v>
      </c>
      <c r="G14" s="5">
        <f>IF(IFERROR((F14-E14)/E14*100,"")&gt;500,"-",IFERROR((F14-E14)/E14*100,""))</f>
        <v>10.134059637608557</v>
      </c>
      <c r="H14" s="5">
        <f>IFERROR((F14-E14)/$E$33*100,"-")</f>
        <v>6.7664532262717305</v>
      </c>
    </row>
    <row r="15" spans="2:8" ht="14.1" customHeight="1">
      <c r="B15" s="150" t="str">
        <f>IF(Indice_index!$Z$1=1,"Transferências correntes da Administração Central","Central Government current transfers")</f>
        <v>Transferências correntes da Administração Central</v>
      </c>
      <c r="C15" s="5">
        <v>11030.727475489999</v>
      </c>
      <c r="D15" s="5">
        <v>11191.458537</v>
      </c>
      <c r="E15" s="5">
        <v>7662.8217816299994</v>
      </c>
      <c r="F15" s="5">
        <v>8624.3724716299985</v>
      </c>
      <c r="G15" s="5">
        <f t="shared" ref="G15:G59" si="0">IF(IFERROR((F15-E15)/E15*100,"")&gt;500,"-",IFERROR((F15-E15)/E15*100,""))</f>
        <v>12.548258558030337</v>
      </c>
      <c r="H15" s="5">
        <f>IFERROR((F15-E15)/$E$33*100,"-")</f>
        <v>3.5043609287959216</v>
      </c>
    </row>
    <row r="16" spans="2:8" ht="14.1" customHeight="1">
      <c r="B16" s="293" t="str">
        <f>IF(Indice_index!$Z$1=1,"dos quais:","of which:")</f>
        <v>dos quais:</v>
      </c>
      <c r="C16" s="5"/>
      <c r="D16" s="5"/>
      <c r="E16" s="5"/>
      <c r="F16" s="5"/>
      <c r="G16" s="5"/>
      <c r="H16" s="5"/>
    </row>
    <row r="17" spans="2:8" ht="14.1" customHeight="1">
      <c r="B17" s="300" t="str">
        <f>IF(Indice_index!$Z$1=1,"Transferências do Orçamento do Estado","State Budget transfers")</f>
        <v>Transferências do Orçamento do Estado</v>
      </c>
      <c r="C17" s="5">
        <v>10645.932345790001</v>
      </c>
      <c r="D17" s="5">
        <v>10797.015246000001</v>
      </c>
      <c r="E17" s="5">
        <v>7381.8958712699996</v>
      </c>
      <c r="F17" s="5">
        <v>7695.4028294499985</v>
      </c>
      <c r="G17" s="5">
        <f t="shared" si="0"/>
        <v>4.2469707463654922</v>
      </c>
      <c r="H17" s="5">
        <f t="shared" ref="H17:H32" si="1">IFERROR((F17-E17)/$E$33*100,"-")</f>
        <v>1.1425726657755779</v>
      </c>
    </row>
    <row r="18" spans="2:8" ht="14.1" customHeight="1">
      <c r="B18" s="318" t="str">
        <f>IF(Indice_index!$Z$1=1,"Financiamento da Lei de Bases da Segurança Social","Social Security Framework Law financing")</f>
        <v>Financiamento da Lei de Bases da Segurança Social</v>
      </c>
      <c r="C18" s="5">
        <v>8598.9867315400006</v>
      </c>
      <c r="D18" s="5">
        <v>8684.2035390000001</v>
      </c>
      <c r="E18" s="5">
        <v>6183.0737556100003</v>
      </c>
      <c r="F18" s="5">
        <v>6521.4577376199986</v>
      </c>
      <c r="G18" s="5">
        <f t="shared" si="0"/>
        <v>5.4727469764205425</v>
      </c>
      <c r="H18" s="5">
        <f t="shared" si="1"/>
        <v>1.2332367058945395</v>
      </c>
    </row>
    <row r="19" spans="2:8" ht="14.1" hidden="1" customHeight="1">
      <c r="B19" s="318" t="str">
        <f>IF(Indice_index!$Z$1=1,"Medidas excecionais e temporárias (COVID-19)","Exceptional and temporary measures (COVID-19)")</f>
        <v>Medidas excecionais e temporárias (COVID-19)</v>
      </c>
      <c r="C19" s="5">
        <v>0</v>
      </c>
      <c r="D19" s="5">
        <v>0</v>
      </c>
      <c r="E19" s="5">
        <v>0</v>
      </c>
      <c r="F19" s="5">
        <v>0</v>
      </c>
      <c r="G19" s="5" t="str">
        <f t="shared" si="0"/>
        <v>-</v>
      </c>
      <c r="H19" s="5">
        <f t="shared" si="1"/>
        <v>0</v>
      </c>
    </row>
    <row r="20" spans="2:8" ht="14.1" customHeight="1">
      <c r="B20" s="318" t="str">
        <f>IF(Indice_index!$Z$1=1,"Restantes transferências","Other transfers")</f>
        <v>Restantes transferências</v>
      </c>
      <c r="C20" s="5">
        <v>2.1652380000000002E-2</v>
      </c>
      <c r="D20" s="5">
        <v>3</v>
      </c>
      <c r="E20" s="5">
        <v>1.5968900000000001E-2</v>
      </c>
      <c r="F20" s="5">
        <v>5.9661000000000002E-4</v>
      </c>
      <c r="G20" s="5">
        <f t="shared" si="0"/>
        <v>-96.263925505200731</v>
      </c>
      <c r="H20" s="5">
        <f t="shared" si="1"/>
        <v>-5.6024142067975959E-5</v>
      </c>
    </row>
    <row r="21" spans="2:8" ht="14.1" customHeight="1">
      <c r="B21" s="318" t="str">
        <f>IF(Indice_index!$Z$1=1,"IVA Social","Social tax")</f>
        <v>IVA Social</v>
      </c>
      <c r="C21" s="5">
        <v>1028.4846289999998</v>
      </c>
      <c r="D21" s="5">
        <v>1085.0512839999999</v>
      </c>
      <c r="E21" s="5">
        <v>771.36347177999994</v>
      </c>
      <c r="F21" s="5">
        <v>813.78846297000018</v>
      </c>
      <c r="G21" s="5">
        <f t="shared" si="0"/>
        <v>5.5000000313860138</v>
      </c>
      <c r="H21" s="5">
        <f t="shared" si="1"/>
        <v>0.15461741442954835</v>
      </c>
    </row>
    <row r="22" spans="2:8" ht="14.1" customHeight="1">
      <c r="B22" s="318" t="str">
        <f>IF(Indice_index!$Z$1=1,"Adicional ao IMI","Additional to the real estate municipal tax")</f>
        <v>Adicional ao IMI</v>
      </c>
      <c r="C22" s="5">
        <v>145</v>
      </c>
      <c r="D22" s="5">
        <v>147.9</v>
      </c>
      <c r="E22" s="5">
        <v>32.187190000000001</v>
      </c>
      <c r="F22" s="5">
        <v>5.9946330000000003</v>
      </c>
      <c r="G22" s="5">
        <f t="shared" si="0"/>
        <v>-81.375718104003496</v>
      </c>
      <c r="H22" s="5">
        <f t="shared" si="1"/>
        <v>-9.5458486308257137E-2</v>
      </c>
    </row>
    <row r="23" spans="2:8" ht="14.1" customHeight="1">
      <c r="B23" s="318" t="str">
        <f>IF(Indice_index!$Z$1=1,"Consignação do IRC","Assignment of Corporate Income Tax")</f>
        <v>Consignação do IRC</v>
      </c>
      <c r="C23" s="5">
        <v>440.15657800000002</v>
      </c>
      <c r="D23" s="5">
        <v>448.95970999999997</v>
      </c>
      <c r="E23" s="5">
        <v>75.997765000000001</v>
      </c>
      <c r="F23" s="5">
        <v>75.997765000000001</v>
      </c>
      <c r="G23" s="5">
        <f t="shared" si="0"/>
        <v>0</v>
      </c>
      <c r="H23" s="5">
        <f t="shared" si="1"/>
        <v>0</v>
      </c>
    </row>
    <row r="24" spans="2:8" ht="14.1" customHeight="1">
      <c r="B24" s="318" t="str">
        <f>IF(Indice_index!$Z$1=1,"Adicional à contribuição do setor bancário","Additional contribution on the Banking sector")</f>
        <v>Adicional à contribuição do setor bancário</v>
      </c>
      <c r="C24" s="5">
        <v>38</v>
      </c>
      <c r="D24" s="5">
        <v>38.76</v>
      </c>
      <c r="E24" s="5">
        <v>35.678294999999999</v>
      </c>
      <c r="F24" s="5">
        <v>3.8602910000000001</v>
      </c>
      <c r="G24" s="5">
        <f t="shared" si="0"/>
        <v>-89.180281737117767</v>
      </c>
      <c r="H24" s="5">
        <f t="shared" si="1"/>
        <v>-0.11596036611431525</v>
      </c>
    </row>
    <row r="25" spans="2:8" ht="14.1" customHeight="1">
      <c r="B25" s="318" t="str">
        <f>IF(Indice_index!$Z$1=1,"Pensões bancários","Old age pension scheme from Banking regime")</f>
        <v>Pensões bancários</v>
      </c>
      <c r="C25" s="5">
        <v>395.28275486999996</v>
      </c>
      <c r="D25" s="5">
        <v>389.14071300000001</v>
      </c>
      <c r="E25" s="5">
        <v>283.57942497999994</v>
      </c>
      <c r="F25" s="5">
        <v>274.30334325000001</v>
      </c>
      <c r="G25" s="5">
        <f t="shared" si="0"/>
        <v>-3.2710700822720642</v>
      </c>
      <c r="H25" s="5">
        <f t="shared" si="1"/>
        <v>-3.3806577983870476E-2</v>
      </c>
    </row>
    <row r="26" spans="2:8" ht="14.1" customHeight="1">
      <c r="B26" s="150" t="str">
        <f>IF(Indice_index!$Z$1=1,"Transferências da UE  - Programas Operacionais (PO)","Transferências da UE  - Programas Operacionais (PO)")</f>
        <v>Transferências da UE  - Programas Operacionais (PO)</v>
      </c>
      <c r="C26" s="5">
        <v>895.79728796000006</v>
      </c>
      <c r="D26" s="5">
        <f>1531013742/10^6</f>
        <v>1531.0137420000001</v>
      </c>
      <c r="E26" s="5">
        <v>657.17029529999991</v>
      </c>
      <c r="F26" s="5">
        <v>550.14741176999996</v>
      </c>
      <c r="G26" s="5">
        <f t="shared" si="0"/>
        <v>-16.285410995508208</v>
      </c>
      <c r="H26" s="5">
        <f t="shared" si="1"/>
        <v>-0.39004372357073419</v>
      </c>
    </row>
    <row r="27" spans="2:8" ht="14.1" customHeight="1">
      <c r="B27" s="150" t="str">
        <f>IF(Indice_index!$Z$1=1,"Transferências da União Europeia - Plano de Recuperação e Resiliência","Recovery and Resilience Plan")</f>
        <v>Transferências da União Europeia - Plano de Recuperação e Resiliência</v>
      </c>
      <c r="C27" s="5">
        <v>66.245086259999994</v>
      </c>
      <c r="D27" s="5">
        <v>456.54206399999998</v>
      </c>
      <c r="E27" s="5">
        <v>20.627924769999996</v>
      </c>
      <c r="F27" s="5">
        <v>108.14051059000001</v>
      </c>
      <c r="G27" s="5">
        <f t="shared" si="0"/>
        <v>424.24328571952623</v>
      </c>
      <c r="H27" s="5">
        <f t="shared" si="1"/>
        <v>0.31893865785225356</v>
      </c>
    </row>
    <row r="28" spans="2:8" ht="14.1" customHeight="1">
      <c r="B28" s="150" t="str">
        <f>IF(Indice_index!$Z$1=1,"Outras transferências","Other transfers")</f>
        <v>Outras transferências</v>
      </c>
      <c r="C28" s="5">
        <v>2.4738304400000004</v>
      </c>
      <c r="D28" s="5">
        <v>2</v>
      </c>
      <c r="E28" s="5">
        <v>1.6975600600000003</v>
      </c>
      <c r="F28" s="5">
        <v>2.17694951</v>
      </c>
      <c r="G28" s="5">
        <f t="shared" si="0"/>
        <v>28.239910993193355</v>
      </c>
      <c r="H28" s="5">
        <f t="shared" si="1"/>
        <v>1.7471295852920317E-3</v>
      </c>
    </row>
    <row r="29" spans="2:8" ht="14.1" customHeight="1">
      <c r="B29" s="150" t="str">
        <f>IF(Indice_index!$Z$1=1,"Restantes receitas correntes","Other current revenue")</f>
        <v>Restantes receitas correntes</v>
      </c>
      <c r="C29" s="5">
        <v>987.39303507000022</v>
      </c>
      <c r="D29" s="5">
        <v>879.92963699999996</v>
      </c>
      <c r="E29" s="5">
        <v>601.02381765999996</v>
      </c>
      <c r="F29" s="5">
        <v>843.43480893999993</v>
      </c>
      <c r="G29" s="5">
        <f t="shared" si="0"/>
        <v>40.333009134944504</v>
      </c>
      <c r="H29" s="5">
        <f t="shared" si="1"/>
        <v>0.88346419527016462</v>
      </c>
    </row>
    <row r="30" spans="2:8" ht="14.1" customHeight="1">
      <c r="B30" s="212" t="str">
        <f>IF(Indice_index!$Z$1=1,"Receita de capital","Capital revenue")</f>
        <v>Receita de capital</v>
      </c>
      <c r="C30" s="161">
        <f>+C31+C32</f>
        <v>0.84759982</v>
      </c>
      <c r="D30" s="161">
        <f>+D31+D32</f>
        <v>3.9711220000000003</v>
      </c>
      <c r="E30" s="161">
        <f>+E31+E32</f>
        <v>0.35409668000000005</v>
      </c>
      <c r="F30" s="161">
        <f>+F31+F32</f>
        <v>0.66149791999999996</v>
      </c>
      <c r="G30" s="161">
        <f t="shared" si="0"/>
        <v>86.812799261489786</v>
      </c>
      <c r="H30" s="161">
        <f t="shared" si="1"/>
        <v>1.1203204429289305E-3</v>
      </c>
    </row>
    <row r="31" spans="2:8" ht="14.1" customHeight="1">
      <c r="B31" s="150" t="str">
        <f>IF(Indice_index!$Z$1=1,"Transferências do Orçamento do Estado","State Budget transfers")</f>
        <v>Transferências do Orçamento do Estado</v>
      </c>
      <c r="C31" s="5">
        <v>0.35</v>
      </c>
      <c r="D31" s="5">
        <v>1.159127</v>
      </c>
      <c r="E31" s="5">
        <v>0</v>
      </c>
      <c r="F31" s="5">
        <v>0</v>
      </c>
      <c r="G31" s="5" t="str">
        <f t="shared" si="0"/>
        <v>-</v>
      </c>
      <c r="H31" s="5">
        <f t="shared" si="1"/>
        <v>0</v>
      </c>
    </row>
    <row r="32" spans="2:8" ht="14.1" customHeight="1">
      <c r="B32" s="150" t="str">
        <f>IF(Indice_index!$Z$1=1,"Restantes receitas de capital","Other capital revenue")</f>
        <v>Restantes receitas de capital</v>
      </c>
      <c r="C32" s="5">
        <v>0.49759982000000003</v>
      </c>
      <c r="D32" s="5">
        <v>2.811995</v>
      </c>
      <c r="E32" s="5">
        <v>0.35409668000000005</v>
      </c>
      <c r="F32" s="5">
        <v>0.66149791999999996</v>
      </c>
      <c r="G32" s="5">
        <f t="shared" si="0"/>
        <v>86.812799261489786</v>
      </c>
      <c r="H32" s="5">
        <f t="shared" si="1"/>
        <v>1.1203204429289305E-3</v>
      </c>
    </row>
    <row r="33" spans="2:8" ht="14.1" customHeight="1">
      <c r="B33" s="32" t="str">
        <f>IF(Indice_index!$Z$1=1,"Receita efetiva","Effective revenue")</f>
        <v>Receita efetiva</v>
      </c>
      <c r="C33" s="19">
        <f>+C12+C30</f>
        <v>38331.864290549995</v>
      </c>
      <c r="D33" s="19">
        <f>+D12+D30</f>
        <v>40731.667492</v>
      </c>
      <c r="E33" s="19">
        <f>+E12+E30</f>
        <v>27438.688809099993</v>
      </c>
      <c r="F33" s="19">
        <f>+F12+F30</f>
        <v>30476.132796329995</v>
      </c>
      <c r="G33" s="19">
        <f t="shared" si="0"/>
        <v>11.069931250587455</v>
      </c>
      <c r="H33" s="19"/>
    </row>
    <row r="34" spans="2:8" ht="14.1" customHeight="1">
      <c r="B34" s="212" t="str">
        <f>IF(Indice_index!$Z$1=1,"Despesa corrente","Current expenditure")</f>
        <v>Despesa corrente</v>
      </c>
      <c r="C34" s="161">
        <f>+C35+C56+C57+C58+C59+C62</f>
        <v>32800.116004089992</v>
      </c>
      <c r="D34" s="161">
        <f>+D35+D56+D57+D58+D59+D62</f>
        <v>35631.872709000003</v>
      </c>
      <c r="E34" s="161">
        <f>+E35+E56+E57+E58+E59+E62</f>
        <v>23522.826993530005</v>
      </c>
      <c r="F34" s="161">
        <f>+F35+F56+F57+F58+F59+F62</f>
        <v>26126.5030654</v>
      </c>
      <c r="G34" s="161">
        <f t="shared" si="0"/>
        <v>11.068720917711723</v>
      </c>
      <c r="H34" s="161">
        <f t="shared" ref="H34:H59" si="2">IFERROR((F34-E34)/$E$66*100,"-")</f>
        <v>11.054716923188904</v>
      </c>
    </row>
    <row r="35" spans="2:8" ht="14.1" customHeight="1">
      <c r="B35" s="150" t="str">
        <f>IF(Indice_index!$Z$1=1,"Prestações sociais","Social Benefits")</f>
        <v>Prestações sociais</v>
      </c>
      <c r="C35" s="5">
        <f>+C36+SUM(C43:C55)</f>
        <v>29560.397661880001</v>
      </c>
      <c r="D35" s="5">
        <f>+D36+SUM(D43:D55)</f>
        <v>31545.424353000002</v>
      </c>
      <c r="E35" s="5">
        <f>+E36+SUM(E43:E55)</f>
        <v>21103.959515300001</v>
      </c>
      <c r="F35" s="5">
        <f>+F36+SUM(F43:F55)</f>
        <v>23657.446156400001</v>
      </c>
      <c r="G35" s="5">
        <f t="shared" si="0"/>
        <v>12.099561881971804</v>
      </c>
      <c r="H35" s="5">
        <f t="shared" si="2"/>
        <v>10.841622077907404</v>
      </c>
    </row>
    <row r="36" spans="2:8" ht="14.1" customHeight="1">
      <c r="B36" s="210" t="str">
        <f>IF(Indice_index!$Z$1=1,"      Pensões","      Pensions")</f>
        <v xml:space="preserve">      Pensões</v>
      </c>
      <c r="C36" s="5">
        <f>(SUM(C37:C42))</f>
        <v>20569.07925911</v>
      </c>
      <c r="D36" s="5">
        <f>(SUM(D37:D42))</f>
        <v>22118.176405000002</v>
      </c>
      <c r="E36" s="5">
        <f>(SUM(E37:E42))</f>
        <v>14525.077033400001</v>
      </c>
      <c r="F36" s="5">
        <f>(SUM(F37:F42))</f>
        <v>16284.243832240001</v>
      </c>
      <c r="G36" s="5">
        <f t="shared" si="0"/>
        <v>12.111239030229214</v>
      </c>
      <c r="H36" s="5">
        <f t="shared" si="2"/>
        <v>7.4690900269638538</v>
      </c>
    </row>
    <row r="37" spans="2:8" ht="14.1" customHeight="1">
      <c r="B37" s="210" t="str">
        <f>IF(Indice_index!$Z$1=1,"            Sobrevivência","            Survival")</f>
        <v xml:space="preserve">            Sobrevivência</v>
      </c>
      <c r="C37" s="5">
        <v>2848.5586603099996</v>
      </c>
      <c r="D37" s="5">
        <v>3053.051473</v>
      </c>
      <c r="E37" s="5">
        <v>2013.5862363900001</v>
      </c>
      <c r="F37" s="5">
        <v>2230.5044268100005</v>
      </c>
      <c r="G37" s="5">
        <f t="shared" si="0"/>
        <v>10.772729098948149</v>
      </c>
      <c r="H37" s="5">
        <f t="shared" si="2"/>
        <v>0.92099367371043139</v>
      </c>
    </row>
    <row r="38" spans="2:8" ht="14.1" customHeight="1">
      <c r="B38" s="210" t="str">
        <f>IF(Indice_index!$Z$1=1,"            Invalidez","            Disability")</f>
        <v xml:space="preserve">            Invalidez</v>
      </c>
      <c r="C38" s="5">
        <v>1208.9871850699999</v>
      </c>
      <c r="D38" s="5">
        <v>1276.3967210000001</v>
      </c>
      <c r="E38" s="5">
        <v>860.02645694</v>
      </c>
      <c r="F38" s="5">
        <v>924.39229840000007</v>
      </c>
      <c r="G38" s="5">
        <f t="shared" si="0"/>
        <v>7.4841699276340492</v>
      </c>
      <c r="H38" s="5">
        <f t="shared" si="2"/>
        <v>0.27328520799905603</v>
      </c>
    </row>
    <row r="39" spans="2:8" ht="14.1" customHeight="1">
      <c r="B39" s="210" t="str">
        <f>IF(Indice_index!$Z$1=1,"            Velhice","            Old-age")</f>
        <v xml:space="preserve">            Velhice</v>
      </c>
      <c r="C39" s="5">
        <v>15523.30694448</v>
      </c>
      <c r="D39" s="5">
        <v>16759.436193000001</v>
      </c>
      <c r="E39" s="5">
        <v>10981.299712510001</v>
      </c>
      <c r="F39" s="5">
        <v>12421.102167760002</v>
      </c>
      <c r="G39" s="5">
        <f t="shared" si="0"/>
        <v>13.111402957245256</v>
      </c>
      <c r="H39" s="5">
        <f t="shared" si="2"/>
        <v>6.1131293328165812</v>
      </c>
    </row>
    <row r="40" spans="2:8" ht="14.1" customHeight="1">
      <c r="B40" s="210" t="str">
        <f>IF(Indice_index!$Z$1=1,"            Beneficiários dos antigos combatentes","            War veteran beneficiaries")</f>
        <v xml:space="preserve">            Beneficiários dos antigos combatentes</v>
      </c>
      <c r="C40" s="5">
        <v>47.685632590000004</v>
      </c>
      <c r="D40" s="5">
        <v>53.273043999999999</v>
      </c>
      <c r="E40" s="5">
        <v>0.57229713000000004</v>
      </c>
      <c r="F40" s="5">
        <v>0.59818093000000006</v>
      </c>
      <c r="G40" s="5">
        <f t="shared" si="0"/>
        <v>4.5227904602631872</v>
      </c>
      <c r="H40" s="5">
        <f t="shared" si="2"/>
        <v>1.0989772690537839E-4</v>
      </c>
    </row>
    <row r="41" spans="2:8" ht="14.1" customHeight="1">
      <c r="B41" s="210" t="str">
        <f>IF(Indice_index!$Z$1=1,"            Parcela de atualização extraordinária de pensões","            Portion of extraordinary pensions update")</f>
        <v xml:space="preserve">            Parcela de atualização extraordinária de pensões</v>
      </c>
      <c r="C41" s="5">
        <v>935.13547896999989</v>
      </c>
      <c r="D41" s="5">
        <v>976.01897399999996</v>
      </c>
      <c r="E41" s="5">
        <v>664.18697283999995</v>
      </c>
      <c r="F41" s="5">
        <v>707.16081626999994</v>
      </c>
      <c r="G41" s="5">
        <f t="shared" si="0"/>
        <v>6.4701424730220083</v>
      </c>
      <c r="H41" s="5">
        <f t="shared" si="2"/>
        <v>0.18245882402678992</v>
      </c>
    </row>
    <row r="42" spans="2:8" ht="14.1" customHeight="1">
      <c r="B42" s="210" t="str">
        <f>IF(Indice_index!$Z$1=1,"            Complemento excecional de pensão","              32 / 160
Traduzir
inglês
Exceptional pension supplement")</f>
        <v xml:space="preserve">            Complemento excecional de pensão</v>
      </c>
      <c r="C42" s="5">
        <v>5.4053576899999998</v>
      </c>
      <c r="D42" s="5">
        <v>0</v>
      </c>
      <c r="E42" s="5">
        <v>5.4053575899999995</v>
      </c>
      <c r="F42" s="5">
        <v>0.48594207</v>
      </c>
      <c r="G42" s="5">
        <f t="shared" si="0"/>
        <v>-91.009992180739332</v>
      </c>
      <c r="H42" s="5">
        <f t="shared" si="2"/>
        <v>-2.0886909315905689E-2</v>
      </c>
    </row>
    <row r="43" spans="2:8" ht="14.1" customHeight="1">
      <c r="B43" s="210" t="str">
        <f>IF(Indice_index!$Z$1=1,"Subsídio familiar a crianças e jovens","Family benefit")</f>
        <v>Subsídio familiar a crianças e jovens</v>
      </c>
      <c r="C43" s="5">
        <v>985.31518748000019</v>
      </c>
      <c r="D43" s="5">
        <v>1319.30819</v>
      </c>
      <c r="E43" s="5">
        <v>741.00849595</v>
      </c>
      <c r="F43" s="5">
        <v>1013.6207994499999</v>
      </c>
      <c r="G43" s="5">
        <f t="shared" si="0"/>
        <v>36.789362738749844</v>
      </c>
      <c r="H43" s="5">
        <f t="shared" si="2"/>
        <v>1.1574603605764651</v>
      </c>
    </row>
    <row r="44" spans="2:8" ht="14.1" customHeight="1">
      <c r="B44" s="210" t="str">
        <f>IF(Indice_index!$Z$1=1,"Subsídio por doença","Illness benefit")</f>
        <v>Subsídio por doença</v>
      </c>
      <c r="C44" s="5">
        <v>881.88500498999986</v>
      </c>
      <c r="D44" s="5">
        <v>845.35612900000001</v>
      </c>
      <c r="E44" s="5">
        <v>681.65327175999994</v>
      </c>
      <c r="F44" s="5">
        <v>692.50590212999987</v>
      </c>
      <c r="G44" s="5">
        <f t="shared" si="0"/>
        <v>1.5921042001278591</v>
      </c>
      <c r="H44" s="5">
        <f t="shared" si="2"/>
        <v>4.6078219141210616E-2</v>
      </c>
    </row>
    <row r="45" spans="2:8" ht="14.1" customHeight="1">
      <c r="B45" s="210" t="str">
        <f>IF(Indice_index!$Z$1=1,"Prestações de desemprego","Unemployment benefits")</f>
        <v>Prestações de desemprego</v>
      </c>
      <c r="C45" s="5">
        <v>1356.6712503599999</v>
      </c>
      <c r="D45" s="5">
        <v>1401.9958630000001</v>
      </c>
      <c r="E45" s="5">
        <v>1002.4857115399999</v>
      </c>
      <c r="F45" s="5">
        <v>1187.11436583</v>
      </c>
      <c r="G45" s="5">
        <f t="shared" si="0"/>
        <v>18.417085866129405</v>
      </c>
      <c r="H45" s="5">
        <f t="shared" si="2"/>
        <v>0.78389840085574514</v>
      </c>
    </row>
    <row r="46" spans="2:8" ht="14.1" customHeight="1">
      <c r="B46" s="210" t="str">
        <f>IF(Indice_index!$Z$1=1,"Complemento Solidário para Idosos","Elderly pension supplement")</f>
        <v>Complemento Solidário para Idosos</v>
      </c>
      <c r="C46" s="5">
        <v>235.15374288999999</v>
      </c>
      <c r="D46" s="5">
        <v>287.33080200000001</v>
      </c>
      <c r="E46" s="5">
        <v>177.22744274999999</v>
      </c>
      <c r="F46" s="5">
        <v>278.11559388000001</v>
      </c>
      <c r="G46" s="5">
        <f t="shared" si="0"/>
        <v>56.925806502954813</v>
      </c>
      <c r="H46" s="5">
        <f t="shared" si="2"/>
        <v>0.42835203798798005</v>
      </c>
    </row>
    <row r="47" spans="2:8" ht="14.1" customHeight="1">
      <c r="B47" s="210" t="str">
        <f>IF(Indice_index!$Z$1=1,"Prestação Social para a Inclusão","Social benefits for inclusion")</f>
        <v>Prestação Social para a Inclusão</v>
      </c>
      <c r="C47" s="5">
        <v>593.21839811999996</v>
      </c>
      <c r="D47" s="5">
        <v>620.53745300000003</v>
      </c>
      <c r="E47" s="5">
        <v>439.65760205000004</v>
      </c>
      <c r="F47" s="5">
        <v>528.63660444000004</v>
      </c>
      <c r="G47" s="5">
        <f t="shared" si="0"/>
        <v>20.238249486672331</v>
      </c>
      <c r="H47" s="5">
        <f t="shared" si="2"/>
        <v>0.37778804136058952</v>
      </c>
    </row>
    <row r="48" spans="2:8" ht="14.1" customHeight="1">
      <c r="B48" s="210" t="str">
        <f>IF(Indice_index!$Z$1=1,"Prestações de parentalidade","Parenthood benefits")</f>
        <v>Prestações de parentalidade</v>
      </c>
      <c r="C48" s="5">
        <v>802.07380403000002</v>
      </c>
      <c r="D48" s="5">
        <v>807.05752299999995</v>
      </c>
      <c r="E48" s="5">
        <v>597.99670013999992</v>
      </c>
      <c r="F48" s="5">
        <v>660.84573883000007</v>
      </c>
      <c r="G48" s="5">
        <f t="shared" si="0"/>
        <v>10.509930686120219</v>
      </c>
      <c r="H48" s="5">
        <f t="shared" si="2"/>
        <v>0.26684514987054431</v>
      </c>
    </row>
    <row r="49" spans="2:8" ht="14.1" customHeight="1">
      <c r="B49" s="210" t="str">
        <f>IF(Indice_index!$Z$1=1,"Medidas excecionais e temporárias (COVID-19)","Exceptional and temporary measures (COVID-19)")</f>
        <v>Medidas excecionais e temporárias (COVID-19)</v>
      </c>
      <c r="C49" s="5">
        <v>3.2997188600000005</v>
      </c>
      <c r="D49" s="5">
        <v>0.345831</v>
      </c>
      <c r="E49" s="5">
        <v>1.4825297800000001</v>
      </c>
      <c r="F49" s="5">
        <v>1.6968548700000001</v>
      </c>
      <c r="G49" s="5">
        <f t="shared" si="0"/>
        <v>14.45671398250091</v>
      </c>
      <c r="H49" s="5">
        <f t="shared" si="2"/>
        <v>9.0998385900797538E-4</v>
      </c>
    </row>
    <row r="50" spans="2:8" ht="14.1" customHeight="1">
      <c r="B50" s="210" t="str">
        <f>IF(Indice_index!$Z$1=1,"Garantia Infância","European Child Guarantee")</f>
        <v>Garantia Infância</v>
      </c>
      <c r="C50" s="5">
        <v>85.694045320000001</v>
      </c>
      <c r="D50" s="5">
        <v>104.243387</v>
      </c>
      <c r="E50" s="5">
        <v>63.304057619999995</v>
      </c>
      <c r="F50" s="5">
        <v>60.933647390000012</v>
      </c>
      <c r="G50" s="5">
        <f t="shared" si="0"/>
        <v>-3.7444838753133682</v>
      </c>
      <c r="H50" s="5">
        <f t="shared" si="2"/>
        <v>-1.0064314208510852E-2</v>
      </c>
    </row>
    <row r="51" spans="2:8" ht="14.1" customHeight="1">
      <c r="B51" s="210" t="str">
        <f>IF(Indice_index!$Z$1=1,"Complemento ao apoio extraordinário para crianças e jovens","Complement to the extraordinary support for children and young people")</f>
        <v>Complemento ao apoio extraordinário para crianças e jovens</v>
      </c>
      <c r="C51" s="5">
        <v>199.29812555999999</v>
      </c>
      <c r="D51" s="5">
        <v>5.9557799999999999</v>
      </c>
      <c r="E51" s="5">
        <v>149.72318344999999</v>
      </c>
      <c r="F51" s="5">
        <v>1.8659659899999999</v>
      </c>
      <c r="G51" s="5">
        <f>IF(IFERROR((F51-E51)/E51*100,"")&gt;500,"-",IFERROR((F51-E51)/E51*100,""))</f>
        <v>-98.753722738854847</v>
      </c>
      <c r="H51" s="5">
        <f t="shared" si="2"/>
        <v>-0.62777382399061255</v>
      </c>
    </row>
    <row r="52" spans="2:8" ht="14.1" customHeight="1">
      <c r="B52" s="210" t="str">
        <f>IF(Indice_index!$Z$1=1,"Outras prestações","Other benefits")</f>
        <v>Outras prestações</v>
      </c>
      <c r="C52" s="5">
        <v>1002.0122857399999</v>
      </c>
      <c r="D52" s="5">
        <v>417.74835899999999</v>
      </c>
      <c r="E52" s="5">
        <v>694.50593052000011</v>
      </c>
      <c r="F52" s="5">
        <v>538.39724022000019</v>
      </c>
      <c r="G52" s="5">
        <f>IF(IFERROR((F52-E52)/E52*100,"")&gt;500,"-",IFERROR((F52-E52)/E52*100,""))</f>
        <v>-22.477661232225341</v>
      </c>
      <c r="H52" s="5">
        <f t="shared" si="2"/>
        <v>-0.662808019461813</v>
      </c>
    </row>
    <row r="53" spans="2:8" ht="14.1" customHeight="1">
      <c r="B53" s="210" t="str">
        <f>IF(Indice_index!$Z$1=1,"Ação social","Social assistance")</f>
        <v>Ação social</v>
      </c>
      <c r="C53" s="5">
        <v>2497.2839022100002</v>
      </c>
      <c r="D53" s="5">
        <v>3227.3623470000002</v>
      </c>
      <c r="E53" s="5">
        <v>1764.0722245999993</v>
      </c>
      <c r="F53" s="5">
        <v>2120.6684731599998</v>
      </c>
      <c r="G53" s="5">
        <f t="shared" si="0"/>
        <v>20.214379183984839</v>
      </c>
      <c r="H53" s="5">
        <f t="shared" si="2"/>
        <v>1.5140403317800843</v>
      </c>
    </row>
    <row r="54" spans="2:8" ht="14.1" customHeight="1">
      <c r="B54" s="210" t="str">
        <f>IF(Indice_index!$Z$1=1,"Rendimento Social de Inserção","Social Integration Income")</f>
        <v>Rendimento Social de Inserção</v>
      </c>
      <c r="C54" s="5">
        <v>331.82309770000001</v>
      </c>
      <c r="D54" s="5">
        <v>361.34510599999999</v>
      </c>
      <c r="E54" s="5">
        <v>253.05843280999997</v>
      </c>
      <c r="F54" s="5">
        <v>270.07868538999998</v>
      </c>
      <c r="G54" s="5">
        <f t="shared" si="0"/>
        <v>6.7258191679306982</v>
      </c>
      <c r="H54" s="5">
        <f t="shared" si="2"/>
        <v>7.2264778351609937E-2</v>
      </c>
    </row>
    <row r="55" spans="2:8" ht="14.1" customHeight="1">
      <c r="B55" s="210" t="str">
        <f>IF(Indice_index!$Z$1=1,"Subsídio de Apoio ao Cuidador Informal","Social Benefit for Informal Caregivers")</f>
        <v>Subsídio de Apoio ao Cuidador Informal</v>
      </c>
      <c r="C55" s="5">
        <v>17.589839509999997</v>
      </c>
      <c r="D55" s="5">
        <v>28.661178</v>
      </c>
      <c r="E55" s="5">
        <v>12.706898929999999</v>
      </c>
      <c r="F55" s="5">
        <v>18.722452579999999</v>
      </c>
      <c r="G55" s="5">
        <f t="shared" si="0"/>
        <v>47.340847543831053</v>
      </c>
      <c r="H55" s="5">
        <f t="shared" si="2"/>
        <v>2.5540904821253131E-2</v>
      </c>
    </row>
    <row r="56" spans="2:8" ht="14.1" customHeight="1">
      <c r="B56" s="150" t="str">
        <f>IF(Indice_index!$Z$1=1,"Pensão velhice do regime substitutivo dos bancários","Old age pension scheme from Banking regime")</f>
        <v>Pensão velhice do regime substitutivo dos bancários</v>
      </c>
      <c r="C56" s="5">
        <v>403.61613340999997</v>
      </c>
      <c r="D56" s="5">
        <v>396.54644300000001</v>
      </c>
      <c r="E56" s="5">
        <v>288.94487178999992</v>
      </c>
      <c r="F56" s="5">
        <v>280.62095325000001</v>
      </c>
      <c r="G56" s="5">
        <f t="shared" si="0"/>
        <v>-2.8807981565596315</v>
      </c>
      <c r="H56" s="5">
        <f t="shared" si="2"/>
        <v>-3.5341786232760478E-2</v>
      </c>
    </row>
    <row r="57" spans="2:8" ht="14.1" customHeight="1">
      <c r="B57" s="150" t="str">
        <f>IF(Indice_index!$Z$1=1,"Administração","Administration")</f>
        <v>Administração</v>
      </c>
      <c r="C57" s="5">
        <v>356.24013228000001</v>
      </c>
      <c r="D57" s="5">
        <v>439.441168</v>
      </c>
      <c r="E57" s="5">
        <v>248.42081260000003</v>
      </c>
      <c r="F57" s="5">
        <v>274.96601550000003</v>
      </c>
      <c r="G57" s="5">
        <f t="shared" si="0"/>
        <v>10.685579288697644</v>
      </c>
      <c r="H57" s="5">
        <f t="shared" si="2"/>
        <v>0.11270591871951011</v>
      </c>
    </row>
    <row r="58" spans="2:8" ht="14.1" customHeight="1">
      <c r="B58" s="150" t="str">
        <f>IF(Indice_index!$Z$1=1,"Transferências correntes","Current transfers")</f>
        <v>Transferências correntes</v>
      </c>
      <c r="C58" s="5">
        <v>1496.3378277299939</v>
      </c>
      <c r="D58" s="5">
        <v>1672.887422</v>
      </c>
      <c r="E58" s="5">
        <v>1159.9031606100007</v>
      </c>
      <c r="F58" s="5">
        <v>1285.8547085200005</v>
      </c>
      <c r="G58" s="5">
        <f>IF(IFERROR((F58-E58)/E58*100,"")&gt;500,"-",IFERROR((F58-E58)/E58*100,""))</f>
        <v>10.85879857795724</v>
      </c>
      <c r="H58" s="5">
        <f t="shared" si="2"/>
        <v>0.5347664877461128</v>
      </c>
    </row>
    <row r="59" spans="2:8" ht="14.1" customHeight="1">
      <c r="B59" s="150" t="str">
        <f>IF(Indice_index!$Z$1=1,"Ações de Formação Profissional","Vocational Training Programs")</f>
        <v>Ações de Formação Profissional</v>
      </c>
      <c r="C59" s="5">
        <v>792.54906574000006</v>
      </c>
      <c r="D59" s="5">
        <v>1371.4997539999999</v>
      </c>
      <c r="E59" s="5">
        <v>581.71859186999984</v>
      </c>
      <c r="F59" s="5">
        <v>573.67570636000016</v>
      </c>
      <c r="G59" s="5">
        <f t="shared" si="0"/>
        <v>-1.3826076082844314</v>
      </c>
      <c r="H59" s="5">
        <f t="shared" si="2"/>
        <v>-3.4148573057633316E-2</v>
      </c>
    </row>
    <row r="60" spans="2:8" ht="14.1" customHeight="1">
      <c r="B60" s="293" t="str">
        <f>IF(Indice_index!$Z$1=1,"dos quais:","of which:")</f>
        <v>dos quais:</v>
      </c>
      <c r="C60" s="5">
        <v>0</v>
      </c>
      <c r="D60" s="5">
        <v>0</v>
      </c>
      <c r="E60" s="5">
        <v>0</v>
      </c>
      <c r="F60" s="5">
        <v>0</v>
      </c>
      <c r="G60" s="5"/>
      <c r="H60" s="5"/>
    </row>
    <row r="61" spans="2:8" ht="14.1" customHeight="1">
      <c r="B61" s="210" t="str">
        <f>IF(Indice_index!$Z$1=1,"Com suporte no Fundo Social Europeu","Supported by the European Social Fund")</f>
        <v>Com suporte no Fundo Social Europeu</v>
      </c>
      <c r="C61" s="5">
        <v>723.62995315000001</v>
      </c>
      <c r="D61" s="5">
        <v>1258.3162669999999</v>
      </c>
      <c r="E61" s="5">
        <v>526.28085731999988</v>
      </c>
      <c r="F61" s="5">
        <v>547.72625830000004</v>
      </c>
      <c r="G61" s="5">
        <f t="shared" ref="G61:G65" si="3">IF(IFERROR((F61-E61)/E61*100,"")&gt;500,"-",IFERROR((F61-E61)/E61*100,""))</f>
        <v>4.074896641539917</v>
      </c>
      <c r="H61" s="5">
        <f>IFERROR((F61-E61)/$E$66*100,"-")</f>
        <v>9.1053122813357784E-2</v>
      </c>
    </row>
    <row r="62" spans="2:8" ht="14.1" customHeight="1">
      <c r="B62" s="150" t="str">
        <f>IF(Indice_index!$Z$1=1,"Subsídios Correntes - Programas Operacionais (PO)","Subsídios Correntes - Programas Operacionais (PO)")</f>
        <v>Subsídios Correntes - Programas Operacionais (PO)</v>
      </c>
      <c r="C62" s="5">
        <v>190.97518305</v>
      </c>
      <c r="D62" s="5">
        <v>206.07356899999999</v>
      </c>
      <c r="E62" s="5">
        <v>139.88004135999998</v>
      </c>
      <c r="F62" s="5">
        <v>53.939525370000005</v>
      </c>
      <c r="G62" s="5">
        <f t="shared" si="3"/>
        <v>-61.438726464786043</v>
      </c>
      <c r="H62" s="5">
        <f>IFERROR((F62-E62)/$E$66*100,"-")</f>
        <v>-0.36488720189370633</v>
      </c>
    </row>
    <row r="63" spans="2:8" ht="14.1" customHeight="1">
      <c r="B63" s="212" t="str">
        <f>IF(Indice_index!$Z$1=1,"Despesa de Capital","Capital expenditure")</f>
        <v>Despesa de Capital</v>
      </c>
      <c r="C63" s="161">
        <f>+C64+C65</f>
        <v>54.342751670000006</v>
      </c>
      <c r="D63" s="161">
        <f>+D64+D65</f>
        <v>119.301939</v>
      </c>
      <c r="E63" s="161">
        <f>+E64+E65</f>
        <v>29.798460030000001</v>
      </c>
      <c r="F63" s="161">
        <f>+F64+F65</f>
        <v>41.294173430000001</v>
      </c>
      <c r="G63" s="161">
        <f t="shared" si="3"/>
        <v>38.5782130634487</v>
      </c>
      <c r="H63" s="161">
        <f>IFERROR((F63-E63)/$E$66*100,"-")</f>
        <v>4.8808628246845447E-2</v>
      </c>
    </row>
    <row r="64" spans="2:8" ht="14.1" customHeight="1">
      <c r="B64" s="150" t="str">
        <f>IF(Indice_index!$Z$1=1,"PIDDAC","PIDDAC - Central Admin. Invest. and Expend. Develop. Program")</f>
        <v>PIDDAC</v>
      </c>
      <c r="C64" s="5">
        <v>0.35</v>
      </c>
      <c r="D64" s="5">
        <v>1.159127</v>
      </c>
      <c r="E64" s="5">
        <v>0</v>
      </c>
      <c r="F64" s="5">
        <v>0.13553826999999999</v>
      </c>
      <c r="G64" s="5" t="str">
        <f t="shared" si="3"/>
        <v>-</v>
      </c>
      <c r="H64" s="5">
        <f>IFERROR((F64-E64)/$E$66*100,"-")</f>
        <v>5.7546989938445797E-4</v>
      </c>
    </row>
    <row r="65" spans="2:8" ht="14.1" customHeight="1">
      <c r="B65" s="150" t="str">
        <f>IF(Indice_index!$Z$1=1,"Outras","Others")</f>
        <v>Outras</v>
      </c>
      <c r="C65" s="5">
        <v>53.992751670000004</v>
      </c>
      <c r="D65" s="5">
        <v>118.14281200000001</v>
      </c>
      <c r="E65" s="5">
        <v>29.798460030000001</v>
      </c>
      <c r="F65" s="5">
        <v>41.158635160000003</v>
      </c>
      <c r="G65" s="5">
        <f t="shared" si="3"/>
        <v>38.123363148843907</v>
      </c>
      <c r="H65" s="5">
        <f>IFERROR((F65-E65)/$E$66*100,"-")</f>
        <v>4.8233158347461003E-2</v>
      </c>
    </row>
    <row r="66" spans="2:8" ht="14.1" customHeight="1">
      <c r="B66" s="32" t="str">
        <f>IF(Indice_index!$Z$1=1,"Despesa efetiva","Effective expenditure")</f>
        <v>Despesa efetiva</v>
      </c>
      <c r="C66" s="19">
        <f>+C34+C63</f>
        <v>32854.458755759995</v>
      </c>
      <c r="D66" s="19">
        <f>+D34+D63</f>
        <v>35751.174648</v>
      </c>
      <c r="E66" s="19">
        <f>+E34+E63</f>
        <v>23552.625453560006</v>
      </c>
      <c r="F66" s="19">
        <f>+F34+F63</f>
        <v>26167.79723883</v>
      </c>
      <c r="G66" s="19">
        <f>IF(IFERROR((F66-E66)/E66*100,"")&gt;500,"-",IFERROR((F66-E66)/E66*100,""))</f>
        <v>11.103525551435748</v>
      </c>
      <c r="H66" s="19"/>
    </row>
    <row r="67" spans="2:8" ht="14.1" customHeight="1">
      <c r="B67" s="32" t="str">
        <f>IF(Indice_index!$Z$1=1,"Saldo global","Overall balance")</f>
        <v>Saldo global</v>
      </c>
      <c r="C67" s="19">
        <f>+C33-C66</f>
        <v>5477.4055347899994</v>
      </c>
      <c r="D67" s="19">
        <f>+D33-D66</f>
        <v>4980.4928440000003</v>
      </c>
      <c r="E67" s="19">
        <f>+E33-E66</f>
        <v>3886.0633555399872</v>
      </c>
      <c r="F67" s="19">
        <f>+F33-F66</f>
        <v>4308.335557499995</v>
      </c>
      <c r="G67" s="19"/>
      <c r="H67" s="19"/>
    </row>
    <row r="68" spans="2:8" ht="14.1" customHeight="1">
      <c r="B68" s="150" t="str">
        <f>IF(Indice_index!$Z$1=1,"Ativos financeiros líquidos de reembolsos","Financial assets net of reimbursements")</f>
        <v>Ativos financeiros líquidos de reembolsos</v>
      </c>
      <c r="C68" s="334">
        <v>9558.3885027600027</v>
      </c>
      <c r="D68" s="5">
        <v>456.72743300000002</v>
      </c>
      <c r="E68" s="336">
        <v>3704.2421545100019</v>
      </c>
      <c r="F68" s="334">
        <v>-971.62021021000101</v>
      </c>
      <c r="G68" s="5"/>
      <c r="H68" s="5"/>
    </row>
    <row r="69" spans="2:8" ht="12.75" hidden="1" customHeight="1">
      <c r="B69" s="150" t="str">
        <f>IF(Indice_index!$Z$1=1,"Alienação de partes de capital","Disposal of Capital Shares")</f>
        <v>Alienação de partes de capital</v>
      </c>
      <c r="C69" s="255">
        <v>0</v>
      </c>
      <c r="D69" s="5">
        <v>0</v>
      </c>
      <c r="E69" s="5">
        <v>0</v>
      </c>
      <c r="F69" s="255">
        <v>0</v>
      </c>
      <c r="G69" s="5"/>
      <c r="H69" s="5"/>
    </row>
    <row r="70" spans="2:8" ht="14.1" customHeight="1">
      <c r="B70" s="150" t="str">
        <f>IF(Indice_index!$Z$1=1,"Passivos financeiros líquidos de amortizações","Financial liabilities net of amortizations")</f>
        <v>Passivos financeiros líquidos de amortizações</v>
      </c>
      <c r="C70" s="255">
        <v>0</v>
      </c>
      <c r="D70" s="5">
        <v>-40</v>
      </c>
      <c r="E70" s="5">
        <v>0</v>
      </c>
      <c r="F70" s="255">
        <v>0</v>
      </c>
      <c r="G70" s="5"/>
      <c r="H70" s="5"/>
    </row>
    <row r="71" spans="2:8" ht="14.1" customHeight="1">
      <c r="B71" s="211" t="str">
        <f>IF(Indice_index!$Z$1=1,"Poupança (+) / Utilização (-) de saldo da gerência anterior","Saving (+) / Usage (-) of balance from previous management")</f>
        <v>Poupança (+) / Utilização (-) de saldo da gerência anterior</v>
      </c>
      <c r="C71" s="335">
        <v>-4080.9829679699897</v>
      </c>
      <c r="D71" s="20">
        <f>(+D67-D68+D70)</f>
        <v>4483.7654110000003</v>
      </c>
      <c r="E71" s="20">
        <f>(+E67-E68+E70)</f>
        <v>181.82120102998533</v>
      </c>
      <c r="F71" s="20">
        <f>(+F67-F68+F70)</f>
        <v>5279.9557677099965</v>
      </c>
      <c r="G71" s="20"/>
      <c r="H71" s="20"/>
    </row>
    <row r="72" spans="2:8" ht="15">
      <c r="B72" s="10" t="str">
        <f>IF(Indice_index!$Z$1=1,"Notas:","Notes:")</f>
        <v>Notas:</v>
      </c>
      <c r="C72" s="10"/>
      <c r="D72" s="10"/>
      <c r="E72" s="10"/>
      <c r="F72" s="10"/>
      <c r="G72" s="10"/>
      <c r="H72" s="10"/>
    </row>
    <row r="73" spans="2:8" ht="15">
      <c r="B73" s="397" t="str">
        <f>IF(Indice_index!$Z$1=1,"Valores consolidados - são excluídas transferências intra-setoriais.","Consolidated data - transfers within the subsector are excluded.")</f>
        <v>Valores consolidados - são excluídas transferências intra-setoriais.</v>
      </c>
      <c r="C73" s="397"/>
      <c r="D73" s="397"/>
      <c r="E73" s="397"/>
      <c r="F73" s="397"/>
      <c r="G73" s="397"/>
      <c r="H73" s="397"/>
    </row>
    <row r="74" spans="2:8" ht="15">
      <c r="B74" s="39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4" s="397"/>
      <c r="D74" s="397"/>
      <c r="E74" s="397"/>
      <c r="F74" s="397"/>
      <c r="G74" s="397"/>
      <c r="H74" s="397"/>
    </row>
    <row r="75" spans="2:8" ht="15">
      <c r="B75" s="379" t="str">
        <f>+'3 - Conta AC + SS'!$B$61</f>
        <v>Os dados de 2023 são mensalmente revistos e atualizados face ao publicado nas Sínteses de Execução Orçamental de 2023.</v>
      </c>
      <c r="C75" s="379"/>
      <c r="D75" s="379"/>
      <c r="E75" s="379"/>
      <c r="F75" s="379"/>
      <c r="G75" s="379"/>
      <c r="H75" s="379"/>
    </row>
    <row r="76" spans="2:8" ht="57.75" customHeight="1">
      <c r="B76" s="396" t="str">
        <f>IF(Indice_index!$Z$1=1,B107,B108)</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6" s="396"/>
      <c r="D76" s="396"/>
      <c r="E76" s="396"/>
      <c r="F76" s="396"/>
      <c r="G76" s="396"/>
      <c r="H76" s="396"/>
    </row>
    <row r="77" spans="2:8" ht="15">
      <c r="B77" s="78" t="str">
        <f>IF(Indice_index!$Z$1=1,"Fonte: Instituto de Gestão Financeira da Segurança Social, I.P.","Souce: Social Security Finance Management Institute.")</f>
        <v>Fonte: Instituto de Gestão Financeira da Segurança Social, I.P.</v>
      </c>
      <c r="E77" s="81"/>
      <c r="F77" s="81"/>
    </row>
    <row r="78" spans="2:8" ht="14.85" customHeight="1"/>
    <row r="107" spans="2:2" ht="102" hidden="1">
      <c r="B107" s="199" t="s">
        <v>457</v>
      </c>
    </row>
    <row r="108" spans="2:2" ht="79.5" hidden="1">
      <c r="B108" s="199" t="s">
        <v>456</v>
      </c>
    </row>
  </sheetData>
  <mergeCells count="7">
    <mergeCell ref="B76:H76"/>
    <mergeCell ref="B10:B11"/>
    <mergeCell ref="E10:F10"/>
    <mergeCell ref="G10:H10"/>
    <mergeCell ref="B73:H73"/>
    <mergeCell ref="B74:H74"/>
    <mergeCell ref="B75:H75"/>
  </mergeCells>
  <conditionalFormatting sqref="C12:H32 C34:H65">
    <cfRule type="cellIs" dxfId="74" priority="3" operator="equal">
      <formula>0</formula>
    </cfRule>
  </conditionalFormatting>
  <conditionalFormatting sqref="C68:H71">
    <cfRule type="cellIs" dxfId="73" priority="2"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D12 E63:F63 E12:F12 E30:F30 E33:F33 E66:F67 F36 E36 D35 D36 E35:F35 C35:C36" formulaRange="1"/>
    <ignoredError sqref="B73:H76"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82" customWidth="1"/>
    <col min="2" max="2" width="43.5703125" style="83" customWidth="1"/>
    <col min="3" max="6" width="10.42578125" style="84" customWidth="1"/>
    <col min="7" max="7" width="10.42578125" style="85" customWidth="1"/>
    <col min="8" max="8" width="10.42578125" style="84" customWidth="1"/>
    <col min="9" max="9" width="8.5703125" style="82" customWidth="1"/>
    <col min="10" max="16384" width="9.42578125" hidden="1"/>
  </cols>
  <sheetData>
    <row r="1" spans="2:8" ht="14.85" customHeight="1"/>
    <row r="2" spans="2:8" ht="15"/>
    <row r="3" spans="2:8" ht="15"/>
    <row r="4" spans="2:8" ht="15"/>
    <row r="5" spans="2:8" ht="15"/>
    <row r="6" spans="2:8" ht="15">
      <c r="H6" s="160"/>
    </row>
    <row r="7" spans="2:8" ht="50.1" customHeight="1">
      <c r="B7" s="13"/>
      <c r="C7" s="14"/>
      <c r="D7" s="12"/>
      <c r="E7" s="12"/>
      <c r="F7" s="12"/>
      <c r="G7" s="12"/>
      <c r="H7" s="12"/>
    </row>
    <row r="8" spans="2:8"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2:8" ht="15">
      <c r="B9" s="3" t="str">
        <f>+'3 - Conta AC + SS'!B9</f>
        <v>Período: janeiro a setembro</v>
      </c>
      <c r="C9" s="3"/>
      <c r="D9" s="3"/>
      <c r="E9" s="3"/>
      <c r="F9" s="3"/>
      <c r="G9" s="3"/>
      <c r="H9" s="3" t="str">
        <f>IF(Indice_index!$Z$1=1,"€ Milhões","€ Millions")</f>
        <v>€ Milhões</v>
      </c>
    </row>
    <row r="10" spans="2:8"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378" t="str">
        <f>IF(Indice_index!$Z$1=1,"Variação Homóloga Acumulada","YOY Change Rate")</f>
        <v>Variação Homóloga Acumulada</v>
      </c>
      <c r="H10" s="374"/>
    </row>
    <row r="11" spans="2:8" ht="26.85" customHeight="1">
      <c r="B11" s="376"/>
      <c r="C11" s="24">
        <v>2023</v>
      </c>
      <c r="D11" s="24">
        <v>2024</v>
      </c>
      <c r="E11" s="24">
        <v>2023</v>
      </c>
      <c r="F11" s="24">
        <v>2024</v>
      </c>
      <c r="G11" s="24" t="str">
        <f>IF(Indice_index!$Z$1=1,"Relativa (%)","Relative change (%)")</f>
        <v>Relativa (%)</v>
      </c>
      <c r="H11" s="24" t="str">
        <f>IF(Indice_index!$Z$1=1,"Contributo VHA (pp)","YOY Change Rate Contrib. (pp)")</f>
        <v>Contributo VHA (pp)</v>
      </c>
    </row>
    <row r="12" spans="2:8" ht="14.1" customHeight="1">
      <c r="B12" s="212" t="str">
        <f>IF(Indice_index!$Z$1=1,"Receita corrente","Current revenue")</f>
        <v>Receita corrente</v>
      </c>
      <c r="C12" s="161">
        <f>+C13+C16+C17+C18+C23</f>
        <v>38331.016690729994</v>
      </c>
      <c r="D12" s="161">
        <f>+D13+D16+D17+D18+D23</f>
        <v>40727.69657</v>
      </c>
      <c r="E12" s="161">
        <f>+E13+E16+E17+E18+E23</f>
        <v>27438.334712419997</v>
      </c>
      <c r="F12" s="161">
        <f>+F13+F16+F17+F18+F23</f>
        <v>30475.477298410002</v>
      </c>
      <c r="G12" s="161">
        <f t="shared" ref="G12:G55" si="0">IF(IFERROR((F12-E12)/E12*100,"")&gt;500,"-",IFERROR((F12-E12)/E12*100,""))</f>
        <v>11.068975642371029</v>
      </c>
      <c r="H12" s="161">
        <f t="shared" ref="H12:H31" si="1">IFERROR((F12-E12)/$E$32*100,"-")</f>
        <v>11.068832797078631</v>
      </c>
    </row>
    <row r="13" spans="2:8" ht="14.1" customHeight="1">
      <c r="B13" s="150" t="str">
        <f>IF(Indice_index!$Z$1=1,"Receitas fiscais","Tax revenue")</f>
        <v>Receitas fiscais</v>
      </c>
      <c r="C13" s="5">
        <f>+C14+C15</f>
        <v>235.00856136000002</v>
      </c>
      <c r="D13" s="5">
        <f>+D14+D15</f>
        <v>249.00946200000001</v>
      </c>
      <c r="E13" s="5">
        <f>+E14+E15</f>
        <v>174.33892042999997</v>
      </c>
      <c r="F13" s="5">
        <f>+F14+F15</f>
        <v>169.91868922999998</v>
      </c>
      <c r="G13" s="5">
        <f t="shared" si="0"/>
        <v>-2.5354242122743824</v>
      </c>
      <c r="H13" s="5">
        <f t="shared" si="1"/>
        <v>-1.6109484060091189E-2</v>
      </c>
    </row>
    <row r="14" spans="2:8" ht="15" hidden="1">
      <c r="B14" s="210" t="str">
        <f>IF(Indice_index!$Z$1=1,"Impostos diretos","Direct taxes")</f>
        <v>Impostos diretos</v>
      </c>
      <c r="C14" s="5">
        <v>0</v>
      </c>
      <c r="D14" s="5">
        <v>0</v>
      </c>
      <c r="E14" s="5">
        <v>0</v>
      </c>
      <c r="F14" s="5">
        <v>0</v>
      </c>
      <c r="G14" s="5" t="str">
        <f t="shared" si="0"/>
        <v>-</v>
      </c>
      <c r="H14" s="5">
        <f t="shared" si="1"/>
        <v>0</v>
      </c>
    </row>
    <row r="15" spans="2:8" ht="14.1" customHeight="1">
      <c r="B15" s="210" t="str">
        <f>IF(Indice_index!$Z$1=1,"Impostos indiretos","Indirect taxes")</f>
        <v>Impostos indiretos</v>
      </c>
      <c r="C15" s="5">
        <v>235.00856136000002</v>
      </c>
      <c r="D15" s="5">
        <f>249009462/10^6</f>
        <v>249.00946200000001</v>
      </c>
      <c r="E15" s="5">
        <v>174.33892042999997</v>
      </c>
      <c r="F15" s="5">
        <v>169.91868922999998</v>
      </c>
      <c r="G15" s="5">
        <f t="shared" si="0"/>
        <v>-2.5354242122743824</v>
      </c>
      <c r="H15" s="5">
        <f t="shared" si="1"/>
        <v>-1.6109484060091189E-2</v>
      </c>
    </row>
    <row r="16" spans="2:8" ht="14.1" customHeight="1">
      <c r="B16" s="150" t="str">
        <f>IF(Indice_index!$Z$1=1,"Contribuições para Segurança Social, CGA e ADSE","Contributions to the Social Security, Public Servants Social and ADSE")</f>
        <v>Contribuições para Segurança Social, CGA e ADSE</v>
      </c>
      <c r="C16" s="5">
        <v>25113.371414149999</v>
      </c>
      <c r="D16" s="5">
        <f>26417742928/10^6</f>
        <v>26417.742928</v>
      </c>
      <c r="E16" s="5">
        <v>18320.654412569995</v>
      </c>
      <c r="F16" s="5">
        <v>20177.280456740002</v>
      </c>
      <c r="G16" s="5">
        <f t="shared" si="0"/>
        <v>10.134059637608557</v>
      </c>
      <c r="H16" s="5">
        <f t="shared" si="1"/>
        <v>6.7664532262717305</v>
      </c>
    </row>
    <row r="17" spans="2:8" ht="14.1" customHeight="1">
      <c r="B17" s="150" t="str">
        <f>IF(Indice_index!$Z$1=1,"Taxas, multas e outras penalidades","Taxes, fines and other penalties")</f>
        <v>Taxas, multas e outras penalidades</v>
      </c>
      <c r="C17" s="5">
        <v>104.48062607000001</v>
      </c>
      <c r="D17" s="5">
        <f>89931373/10^6</f>
        <v>89.931372999999994</v>
      </c>
      <c r="E17" s="5">
        <v>76.834030510000005</v>
      </c>
      <c r="F17" s="5">
        <v>99.301334060000002</v>
      </c>
      <c r="G17" s="5">
        <f t="shared" si="0"/>
        <v>29.2413444939295</v>
      </c>
      <c r="H17" s="5">
        <f t="shared" si="1"/>
        <v>8.1881841024957255E-2</v>
      </c>
    </row>
    <row r="18" spans="2:8" ht="14.1" customHeight="1">
      <c r="B18" s="150" t="str">
        <f>IF(Indice_index!$Z$1=1,"Transferências correntes","Current transfers")</f>
        <v>Transferências correntes</v>
      </c>
      <c r="C18" s="5">
        <f>SUM(C19:C22)</f>
        <v>11995.243680149999</v>
      </c>
      <c r="D18" s="5">
        <f>SUM(D19:D22)</f>
        <v>13181.014343000001</v>
      </c>
      <c r="E18" s="5">
        <f>SUM(E19:E22)</f>
        <v>8342.3175617600009</v>
      </c>
      <c r="F18" s="5">
        <f>SUM(F19:F22)</f>
        <v>9284.8373434999994</v>
      </c>
      <c r="G18" s="5">
        <f t="shared" si="0"/>
        <v>11.298056862044852</v>
      </c>
      <c r="H18" s="5">
        <f t="shared" si="1"/>
        <v>3.4350029926627301</v>
      </c>
    </row>
    <row r="19" spans="2:8" ht="13.5" customHeight="1">
      <c r="B19" s="210" t="str">
        <f>IF(Indice_index!$Z$1=1,"Administração Central","Central Administration")</f>
        <v>Administração Central</v>
      </c>
      <c r="C19" s="5">
        <v>11030.727475489999</v>
      </c>
      <c r="D19" s="5">
        <f>11191458537/10^6</f>
        <v>11191.458537</v>
      </c>
      <c r="E19" s="5">
        <v>7662.8217816300003</v>
      </c>
      <c r="F19" s="5">
        <v>8624.3724716300003</v>
      </c>
      <c r="G19" s="5">
        <f t="shared" si="0"/>
        <v>12.548258558030348</v>
      </c>
      <c r="H19" s="5">
        <f t="shared" si="1"/>
        <v>3.5043609287959243</v>
      </c>
    </row>
    <row r="20" spans="2:8" ht="15" hidden="1">
      <c r="B20" s="210" t="str">
        <f>IF(Indice_index!$Z$1=1,"Outros subsectores das AP","Other General Government subsectors")</f>
        <v>Outros subsectores das AP</v>
      </c>
      <c r="C20" s="5">
        <v>0</v>
      </c>
      <c r="D20" s="5">
        <v>0</v>
      </c>
      <c r="E20" s="5">
        <v>0</v>
      </c>
      <c r="F20" s="5">
        <v>0</v>
      </c>
      <c r="G20" s="5" t="str">
        <f t="shared" si="0"/>
        <v>-</v>
      </c>
      <c r="H20" s="5">
        <f t="shared" si="1"/>
        <v>0</v>
      </c>
    </row>
    <row r="21" spans="2:8" ht="14.1" customHeight="1">
      <c r="B21" s="210" t="str">
        <f>IF(Indice_index!$Z$1=1,"União Europeia","European Union")</f>
        <v>União Europeia</v>
      </c>
      <c r="C21" s="5">
        <v>962.04237422000006</v>
      </c>
      <c r="D21" s="5">
        <f>1987555806/10^6</f>
        <v>1987.5558060000001</v>
      </c>
      <c r="E21" s="5">
        <v>677.79822007000007</v>
      </c>
      <c r="F21" s="5">
        <v>658.28792236000004</v>
      </c>
      <c r="G21" s="5">
        <f t="shared" si="0"/>
        <v>-2.8784816973973602</v>
      </c>
      <c r="H21" s="5">
        <f t="shared" si="1"/>
        <v>-7.1105065718480964E-2</v>
      </c>
    </row>
    <row r="22" spans="2:8" ht="14.1" customHeight="1">
      <c r="B22" s="210" t="str">
        <f>IF(Indice_index!$Z$1=1,"Outras transferências","Other transfers")</f>
        <v>Outras transferências</v>
      </c>
      <c r="C22" s="5">
        <v>2.4738304400000004</v>
      </c>
      <c r="D22" s="5">
        <f>2000000/10^6</f>
        <v>2</v>
      </c>
      <c r="E22" s="5">
        <v>1.6975600600000003</v>
      </c>
      <c r="F22" s="5">
        <v>2.17694951</v>
      </c>
      <c r="G22" s="5">
        <f t="shared" si="0"/>
        <v>28.239910993193355</v>
      </c>
      <c r="H22" s="5">
        <f t="shared" si="1"/>
        <v>1.7471295852920315E-3</v>
      </c>
    </row>
    <row r="23" spans="2:8" ht="14.1" customHeight="1">
      <c r="B23" s="150" t="str">
        <f>IF(Indice_index!$Z$1=1,"Outras receitas correntes","Other current revenue")</f>
        <v>Outras receitas correntes</v>
      </c>
      <c r="C23" s="5">
        <v>882.91240900000003</v>
      </c>
      <c r="D23" s="5">
        <f>789998464/10^6</f>
        <v>789.99846400000001</v>
      </c>
      <c r="E23" s="5">
        <v>524.18978715000003</v>
      </c>
      <c r="F23" s="5">
        <v>744.13947487999997</v>
      </c>
      <c r="G23" s="5">
        <f t="shared" si="0"/>
        <v>41.959933810587579</v>
      </c>
      <c r="H23" s="5">
        <f t="shared" si="1"/>
        <v>0.80160422117930785</v>
      </c>
    </row>
    <row r="24" spans="2:8" ht="14.1" customHeight="1">
      <c r="B24" s="212" t="str">
        <f>IF(Indice_index!$Z$1=1,"Receita de capital","Capital revenue")</f>
        <v>Receita de capital</v>
      </c>
      <c r="C24" s="161">
        <f>+C25+C26+C31</f>
        <v>0.84759982</v>
      </c>
      <c r="D24" s="161">
        <f>+D25+D26+D31</f>
        <v>3.9709219999999998</v>
      </c>
      <c r="E24" s="161">
        <f>+E25+E26+E31</f>
        <v>0.35409668000000005</v>
      </c>
      <c r="F24" s="161">
        <f>+F25+F26+F31</f>
        <v>0.65549792000000029</v>
      </c>
      <c r="G24" s="161">
        <f t="shared" si="0"/>
        <v>85.118346774671878</v>
      </c>
      <c r="H24" s="161">
        <f t="shared" si="1"/>
        <v>1.0984535088281661E-3</v>
      </c>
    </row>
    <row r="25" spans="2:8" ht="14.1" customHeight="1">
      <c r="B25" s="150" t="str">
        <f>IF(Indice_index!$Z$1=1,"Venda de bens de investimento","Sale of investment goods")</f>
        <v>Venda de bens de investimento</v>
      </c>
      <c r="C25" s="5">
        <v>0.48255718000000003</v>
      </c>
      <c r="D25" s="5">
        <f>2786695/10^6</f>
        <v>2.7866949999999999</v>
      </c>
      <c r="E25" s="5">
        <v>0.34012648000000006</v>
      </c>
      <c r="F25" s="5">
        <v>0.64746896000000032</v>
      </c>
      <c r="G25" s="5">
        <f t="shared" si="0"/>
        <v>90.361232680266525</v>
      </c>
      <c r="H25" s="5">
        <f t="shared" si="1"/>
        <v>1.1201062927543048E-3</v>
      </c>
    </row>
    <row r="26" spans="2:8" ht="14.1" customHeight="1">
      <c r="B26" s="150" t="str">
        <f>IF(Indice_index!$Z$1=1,"Transferências de capital","Capital transfers")</f>
        <v>Transferências de capital</v>
      </c>
      <c r="C26" s="5">
        <f t="shared" ref="C26" si="2">+SUM(C27:C30)</f>
        <v>0.35</v>
      </c>
      <c r="D26" s="5">
        <f>+SUM(D27:D30)</f>
        <v>1.159127</v>
      </c>
      <c r="E26" s="5">
        <f t="shared" ref="E26:F26" si="3">+SUM(E27:E30)</f>
        <v>0</v>
      </c>
      <c r="F26" s="5">
        <f t="shared" si="3"/>
        <v>0</v>
      </c>
      <c r="G26" s="5" t="str">
        <f t="shared" si="0"/>
        <v>-</v>
      </c>
      <c r="H26" s="5">
        <f t="shared" si="1"/>
        <v>0</v>
      </c>
    </row>
    <row r="27" spans="2:8" ht="14.1" customHeight="1">
      <c r="B27" s="210" t="str">
        <f>IF(Indice_index!$Z$1=1,"Administração Central","Central Administration")</f>
        <v>Administração Central</v>
      </c>
      <c r="C27" s="5">
        <v>0.35</v>
      </c>
      <c r="D27" s="5">
        <f>1159127/10^6</f>
        <v>1.159127</v>
      </c>
      <c r="E27" s="5">
        <v>0</v>
      </c>
      <c r="F27" s="5">
        <v>0</v>
      </c>
      <c r="G27" s="5" t="str">
        <f t="shared" si="0"/>
        <v>-</v>
      </c>
      <c r="H27" s="5">
        <f t="shared" si="1"/>
        <v>0</v>
      </c>
    </row>
    <row r="28" spans="2:8" ht="15" hidden="1">
      <c r="B28" s="210" t="str">
        <f>IF(Indice_index!$Z$1=1,"Outros subsectores das AP","Other General Government subsectors")</f>
        <v>Outros subsectores das AP</v>
      </c>
      <c r="C28" s="5">
        <v>0</v>
      </c>
      <c r="D28" s="5">
        <v>0</v>
      </c>
      <c r="E28" s="5">
        <v>0</v>
      </c>
      <c r="F28" s="5">
        <v>0</v>
      </c>
      <c r="G28" s="5" t="str">
        <f t="shared" si="0"/>
        <v>-</v>
      </c>
      <c r="H28" s="5">
        <f t="shared" si="1"/>
        <v>0</v>
      </c>
    </row>
    <row r="29" spans="2:8" ht="15" hidden="1">
      <c r="B29" s="210" t="str">
        <f>IF(Indice_index!$Z$1=1,"União Europeia","European Union")</f>
        <v>União Europeia</v>
      </c>
      <c r="C29" s="5">
        <v>0</v>
      </c>
      <c r="D29" s="5">
        <v>0</v>
      </c>
      <c r="E29" s="5">
        <v>0</v>
      </c>
      <c r="F29" s="5">
        <v>0</v>
      </c>
      <c r="G29" s="5" t="str">
        <f t="shared" si="0"/>
        <v>-</v>
      </c>
      <c r="H29" s="5">
        <f t="shared" si="1"/>
        <v>0</v>
      </c>
    </row>
    <row r="30" spans="2:8" ht="15" hidden="1">
      <c r="B30" s="210" t="str">
        <f>IF(Indice_index!$Z$1=1,"Outras transferências","Other transfers")</f>
        <v>Outras transferências</v>
      </c>
      <c r="C30" s="5">
        <v>0</v>
      </c>
      <c r="D30" s="5">
        <v>0</v>
      </c>
      <c r="E30" s="5">
        <v>0</v>
      </c>
      <c r="F30" s="5">
        <v>0</v>
      </c>
      <c r="G30" s="5" t="str">
        <f t="shared" si="0"/>
        <v>-</v>
      </c>
      <c r="H30" s="5">
        <f t="shared" si="1"/>
        <v>0</v>
      </c>
    </row>
    <row r="31" spans="2:8" ht="14.1" customHeight="1">
      <c r="B31" s="150" t="str">
        <f>IF(Indice_index!$Z$1=1,"Outras receitas de capital","Other capital revenue")</f>
        <v>Outras receitas de capital</v>
      </c>
      <c r="C31" s="5">
        <v>1.5042639999999998E-2</v>
      </c>
      <c r="D31" s="5">
        <f>25100/10^6</f>
        <v>2.5100000000000001E-2</v>
      </c>
      <c r="E31" s="5">
        <v>1.3970199999999999E-2</v>
      </c>
      <c r="F31" s="5">
        <v>8.0289599999999999E-3</v>
      </c>
      <c r="G31" s="5">
        <f t="shared" si="0"/>
        <v>-42.527952355728615</v>
      </c>
      <c r="H31" s="5">
        <f t="shared" si="1"/>
        <v>-2.1652783926138612E-5</v>
      </c>
    </row>
    <row r="32" spans="2:8" ht="14.1" customHeight="1">
      <c r="B32" s="32" t="str">
        <f>IF(Indice_index!$Z$1=1,"Receita efetiva","Effective revenue")</f>
        <v>Receita efetiva</v>
      </c>
      <c r="C32" s="19">
        <f>+C12+C24</f>
        <v>38331.864290549995</v>
      </c>
      <c r="D32" s="19">
        <f>+D12+D24</f>
        <v>40731.667492</v>
      </c>
      <c r="E32" s="19">
        <f>+E12+E24</f>
        <v>27438.688809099996</v>
      </c>
      <c r="F32" s="19">
        <f>+F12+F24</f>
        <v>30476.132796330003</v>
      </c>
      <c r="G32" s="19">
        <f t="shared" si="0"/>
        <v>11.069931250587466</v>
      </c>
      <c r="H32" s="19"/>
    </row>
    <row r="33" spans="2:8" ht="14.1" customHeight="1">
      <c r="B33" s="212" t="str">
        <f>IF(Indice_index!$Z$1=1,"Despesa corrente","Current Expenditure")</f>
        <v>Despesa corrente</v>
      </c>
      <c r="C33" s="161">
        <f>+C34+C38+C39+C40+C45+C46</f>
        <v>32758.928869539992</v>
      </c>
      <c r="D33" s="161">
        <f>+D34+D38+D39+D40+D45+D46</f>
        <v>35570.620873995009</v>
      </c>
      <c r="E33" s="161">
        <f>+E34+E38+E39+E40+E45+E46</f>
        <v>23501.3292573</v>
      </c>
      <c r="F33" s="161">
        <f>+F34+F38+F39+F40+F45+F46</f>
        <v>26062.394221620005</v>
      </c>
      <c r="G33" s="161">
        <f t="shared" si="0"/>
        <v>10.897532374788907</v>
      </c>
      <c r="H33" s="161">
        <f t="shared" ref="H33:H54" si="4">IFERROR((F33-E33)/$E$55*100,"-")</f>
        <v>10.873798207209626</v>
      </c>
    </row>
    <row r="34" spans="2:8" ht="14.1" customHeight="1">
      <c r="B34" s="150" t="str">
        <f>IF(Indice_index!$Z$1=1,"Despesas com pessoal","Employees")</f>
        <v>Despesas com pessoal</v>
      </c>
      <c r="C34" s="5">
        <f>+C35+C36+C37</f>
        <v>321.76637911000006</v>
      </c>
      <c r="D34" s="5">
        <f>+D35+D36+D37</f>
        <v>356.03085999999996</v>
      </c>
      <c r="E34" s="5">
        <f>+E35+E36+E37</f>
        <v>228.75785070000006</v>
      </c>
      <c r="F34" s="5">
        <f>+F35+F36+F37</f>
        <v>247.94424283000006</v>
      </c>
      <c r="G34" s="5">
        <f t="shared" si="0"/>
        <v>8.3872059784132222</v>
      </c>
      <c r="H34" s="5">
        <f t="shared" si="4"/>
        <v>8.1461797827298968E-2</v>
      </c>
    </row>
    <row r="35" spans="2:8" ht="14.1" customHeight="1">
      <c r="B35" s="210" t="str">
        <f>IF(Indice_index!$Z$1=1,"Remunerações certas e permanentes","Certain and permanent wages")</f>
        <v>Remunerações certas e permanentes</v>
      </c>
      <c r="C35" s="5">
        <v>257.85675339000005</v>
      </c>
      <c r="D35" s="5">
        <f>281806115/10^6</f>
        <v>281.80611499999998</v>
      </c>
      <c r="E35" s="5">
        <v>183.78001808000005</v>
      </c>
      <c r="F35" s="5">
        <v>198.83684093000005</v>
      </c>
      <c r="G35" s="5">
        <f t="shared" si="0"/>
        <v>8.1928508916816618</v>
      </c>
      <c r="H35" s="5">
        <f t="shared" si="4"/>
        <v>6.3928426491935544E-2</v>
      </c>
    </row>
    <row r="36" spans="2:8" ht="14.1" customHeight="1">
      <c r="B36" s="210" t="str">
        <f>IF(Indice_index!$Z$1=1,"Abonos variáveis ou eventuais","Variable or contingent bonuses")</f>
        <v>Abonos variáveis ou eventuais</v>
      </c>
      <c r="C36" s="5">
        <v>5.2122051700000007</v>
      </c>
      <c r="D36" s="5">
        <f>6523715/10^6</f>
        <v>6.5237150000000002</v>
      </c>
      <c r="E36" s="5">
        <v>3.7671811499999999</v>
      </c>
      <c r="F36" s="5">
        <v>5.205014929999999</v>
      </c>
      <c r="G36" s="5">
        <f t="shared" si="0"/>
        <v>38.167365007122086</v>
      </c>
      <c r="H36" s="5">
        <f t="shared" si="4"/>
        <v>6.1047707094695446E-3</v>
      </c>
    </row>
    <row r="37" spans="2:8" ht="14.1" customHeight="1">
      <c r="B37" s="210" t="str">
        <f>IF(Indice_index!$Z$1=1,"Segurança Social","Social security")</f>
        <v>Segurança Social</v>
      </c>
      <c r="C37" s="5">
        <v>58.697420550000011</v>
      </c>
      <c r="D37" s="5">
        <f>67701030/10^6</f>
        <v>67.701030000000003</v>
      </c>
      <c r="E37" s="5">
        <v>41.210651470000002</v>
      </c>
      <c r="F37" s="5">
        <v>43.902386969999995</v>
      </c>
      <c r="G37" s="5">
        <f t="shared" si="0"/>
        <v>6.5316499593787976</v>
      </c>
      <c r="H37" s="5">
        <f t="shared" si="4"/>
        <v>1.1428600625893853E-2</v>
      </c>
    </row>
    <row r="38" spans="2:8" ht="14.1" customHeight="1">
      <c r="B38" s="150" t="str">
        <f>IF(Indice_index!$Z$1=1,"Aquisição de bens e serviços","Purchase of goods and services")</f>
        <v>Aquisição de bens e serviços</v>
      </c>
      <c r="C38" s="5">
        <v>97.180642359999993</v>
      </c>
      <c r="D38" s="5">
        <f>248790520.995/10^6</f>
        <v>248.79052099500001</v>
      </c>
      <c r="E38" s="5">
        <v>55.540717260000001</v>
      </c>
      <c r="F38" s="5">
        <v>62.472549269999995</v>
      </c>
      <c r="G38" s="5">
        <f t="shared" si="0"/>
        <v>12.480631061263313</v>
      </c>
      <c r="H38" s="5">
        <f t="shared" si="4"/>
        <v>2.9431249707884442E-2</v>
      </c>
    </row>
    <row r="39" spans="2:8" ht="14.1" customHeight="1">
      <c r="B39" s="150" t="str">
        <f>IF(Indice_index!$Z$1=1,"Juros e outros encargos","Interests")</f>
        <v>Juros e outros encargos</v>
      </c>
      <c r="C39" s="5">
        <v>6.1266796799999979</v>
      </c>
      <c r="D39" s="5">
        <f>12227735/10^6</f>
        <v>12.227734999999999</v>
      </c>
      <c r="E39" s="5">
        <v>4.8043320399999994</v>
      </c>
      <c r="F39" s="5">
        <v>5.4025475500000004</v>
      </c>
      <c r="G39" s="5">
        <f t="shared" si="0"/>
        <v>12.451585465354329</v>
      </c>
      <c r="H39" s="5">
        <f t="shared" si="4"/>
        <v>2.5399100884932568E-3</v>
      </c>
    </row>
    <row r="40" spans="2:8" ht="14.1" customHeight="1">
      <c r="B40" s="150" t="str">
        <f>IF(Indice_index!$Z$1=1,"Transferências correntes","Current transfers")</f>
        <v>Transferências correntes</v>
      </c>
      <c r="C40" s="5">
        <f>+C41+C42+C43+C44</f>
        <v>31496.605966919993</v>
      </c>
      <c r="D40" s="5">
        <f>+D41+D42+D43+D44</f>
        <v>33693.409843000001</v>
      </c>
      <c r="E40" s="5">
        <f>+E41+E42+E43+E44</f>
        <v>22595.864387819998</v>
      </c>
      <c r="F40" s="5">
        <f>+F41+F42+F43+F44</f>
        <v>25334.080437450004</v>
      </c>
      <c r="G40" s="5">
        <f t="shared" si="0"/>
        <v>12.118217752740652</v>
      </c>
      <c r="H40" s="5">
        <f t="shared" si="4"/>
        <v>11.625948262239792</v>
      </c>
    </row>
    <row r="41" spans="2:8" ht="14.1" customHeight="1">
      <c r="B41" s="210" t="str">
        <f>IF(Indice_index!$Z$1=1,"Administração Central","Central Administration")</f>
        <v>Administração Central</v>
      </c>
      <c r="C41" s="5">
        <v>1606.96227929</v>
      </c>
      <c r="D41" s="5">
        <f>1971132431/10^6</f>
        <v>1971.132431</v>
      </c>
      <c r="E41" s="5">
        <v>1254.9806866999998</v>
      </c>
      <c r="F41" s="5">
        <v>1528.1880194600001</v>
      </c>
      <c r="G41" s="5">
        <f t="shared" si="0"/>
        <v>21.769843604398822</v>
      </c>
      <c r="H41" s="5">
        <f t="shared" si="4"/>
        <v>1.1599867424491515</v>
      </c>
    </row>
    <row r="42" spans="2:8" ht="14.1" customHeight="1">
      <c r="B42" s="210" t="str">
        <f>IF(Indice_index!$Z$1=1,"Outros subsetores das Administrações Públicas","Other General Government subsectors")</f>
        <v>Outros subsetores das Administrações Públicas</v>
      </c>
      <c r="C42" s="5">
        <v>110.73555331999999</v>
      </c>
      <c r="D42" s="5">
        <f>177577680/10^6</f>
        <v>177.57767999999999</v>
      </c>
      <c r="E42" s="5">
        <v>64.615900060000001</v>
      </c>
      <c r="F42" s="5">
        <v>63.366929090000006</v>
      </c>
      <c r="G42" s="5">
        <f t="shared" si="0"/>
        <v>-1.9329158439954335</v>
      </c>
      <c r="H42" s="5">
        <f t="shared" si="4"/>
        <v>-5.3028948830467302E-3</v>
      </c>
    </row>
    <row r="43" spans="2:8" ht="13.5" customHeight="1">
      <c r="B43" s="210" t="str">
        <f>IF(Indice_index!$Z$1=1,"União Europeia","European Union")</f>
        <v>União Europeia</v>
      </c>
      <c r="C43" s="5">
        <v>0</v>
      </c>
      <c r="D43" s="5">
        <v>0</v>
      </c>
      <c r="E43" s="5">
        <v>0</v>
      </c>
      <c r="F43" s="5">
        <v>0.15</v>
      </c>
      <c r="G43" s="5" t="str">
        <f t="shared" si="0"/>
        <v>-</v>
      </c>
      <c r="H43" s="5">
        <f t="shared" si="4"/>
        <v>6.3687167401257753E-4</v>
      </c>
    </row>
    <row r="44" spans="2:8" ht="14.1" customHeight="1">
      <c r="B44" s="210" t="str">
        <f>IF(Indice_index!$Z$1=1,"Outras transferências","Other transfers")</f>
        <v>Outras transferências</v>
      </c>
      <c r="C44" s="5">
        <v>29778.908134309993</v>
      </c>
      <c r="D44" s="5">
        <f>31544699732/10^6</f>
        <v>31544.699732000001</v>
      </c>
      <c r="E44" s="5">
        <v>21276.267801059999</v>
      </c>
      <c r="F44" s="5">
        <v>23742.375488900005</v>
      </c>
      <c r="G44" s="5">
        <f t="shared" si="0"/>
        <v>11.590884787214147</v>
      </c>
      <c r="H44" s="5">
        <f t="shared" si="4"/>
        <v>10.470627542999674</v>
      </c>
    </row>
    <row r="45" spans="2:8" ht="14.1" customHeight="1">
      <c r="B45" s="150" t="str">
        <f>IF(Indice_index!$Z$1=1,"Subsídios","Subsidies")</f>
        <v>Subsídios</v>
      </c>
      <c r="C45" s="5">
        <v>831.42759567000007</v>
      </c>
      <c r="D45" s="5">
        <f>1246386141/10^6</f>
        <v>1246.386141</v>
      </c>
      <c r="E45" s="5">
        <v>610.97177686000009</v>
      </c>
      <c r="F45" s="5">
        <v>405.33850922000005</v>
      </c>
      <c r="G45" s="5">
        <f t="shared" si="0"/>
        <v>-33.656753949719594</v>
      </c>
      <c r="H45" s="5">
        <f t="shared" si="4"/>
        <v>-0.8730800226304215</v>
      </c>
    </row>
    <row r="46" spans="2:8" ht="14.1" customHeight="1">
      <c r="B46" s="150" t="str">
        <f>IF(Indice_index!$Z$1=1,"Outras despesas correntes","Other current expenditure")</f>
        <v>Outras despesas correntes</v>
      </c>
      <c r="C46" s="5">
        <v>5.8216057999999986</v>
      </c>
      <c r="D46" s="5">
        <f>13775774/10^6</f>
        <v>13.775774</v>
      </c>
      <c r="E46" s="5">
        <v>5.3901926199999988</v>
      </c>
      <c r="F46" s="5">
        <v>7.1559352999999994</v>
      </c>
      <c r="G46" s="5">
        <f t="shared" si="0"/>
        <v>32.758433779310856</v>
      </c>
      <c r="H46" s="5">
        <f t="shared" si="4"/>
        <v>7.4970099765803702E-3</v>
      </c>
    </row>
    <row r="47" spans="2:8" ht="14.1" customHeight="1">
      <c r="B47" s="212" t="str">
        <f>IF(Indice_index!$Z$1=1,"Despesa de capital","Capital expenditure")</f>
        <v>Despesa de capital</v>
      </c>
      <c r="C47" s="161">
        <f>+C48+C49+C54</f>
        <v>95.529886220000009</v>
      </c>
      <c r="D47" s="161">
        <f>+D48+D49+D54</f>
        <v>180.553774</v>
      </c>
      <c r="E47" s="161">
        <f>+E48+E49+E54</f>
        <v>51.296196260000002</v>
      </c>
      <c r="F47" s="161">
        <f>+F48+F49+F54</f>
        <v>105.40301720999997</v>
      </c>
      <c r="G47" s="161">
        <f t="shared" si="0"/>
        <v>105.47920683193357</v>
      </c>
      <c r="H47" s="161">
        <f t="shared" si="4"/>
        <v>0.22972734422616856</v>
      </c>
    </row>
    <row r="48" spans="2:8" ht="14.1" customHeight="1">
      <c r="B48" s="150" t="str">
        <f>IF(Indice_index!$Z$1=1,"Investimento","Investment")</f>
        <v>Investimento</v>
      </c>
      <c r="C48" s="5">
        <v>51.056749140000001</v>
      </c>
      <c r="D48" s="5">
        <f>116607701/10^6</f>
        <v>116.60770100000001</v>
      </c>
      <c r="E48" s="5">
        <v>27.851989110000002</v>
      </c>
      <c r="F48" s="5">
        <v>39.495837649999991</v>
      </c>
      <c r="G48" s="5">
        <f t="shared" si="0"/>
        <v>41.806165060646862</v>
      </c>
      <c r="H48" s="5">
        <f t="shared" si="4"/>
        <v>4.9437582077458006E-2</v>
      </c>
    </row>
    <row r="49" spans="2:8" ht="14.1" customHeight="1">
      <c r="B49" s="150" t="str">
        <f>IF(Indice_index!$Z$1=1,"Transferências de capital","Capital transfers")</f>
        <v>Transferências de capital</v>
      </c>
      <c r="C49" s="5">
        <f>(+C51+C53+C50+C52)</f>
        <v>44.473137080000001</v>
      </c>
      <c r="D49" s="5">
        <f>(+D51+D53+D50+D52)</f>
        <v>63.946072999999998</v>
      </c>
      <c r="E49" s="5">
        <f>(+E51+E53+E50+E52)</f>
        <v>23.44420715</v>
      </c>
      <c r="F49" s="5">
        <f>(+F51+F53+F50+F52)</f>
        <v>65.907179559999989</v>
      </c>
      <c r="G49" s="5">
        <f t="shared" si="0"/>
        <v>181.12351651866371</v>
      </c>
      <c r="H49" s="5">
        <f t="shared" si="4"/>
        <v>0.18028976214871062</v>
      </c>
    </row>
    <row r="50" spans="2:8" ht="15" hidden="1">
      <c r="B50" s="210" t="str">
        <f>IF(Indice_index!$Z$1=1,"Administração Central","Central Administration")</f>
        <v>Administração Central</v>
      </c>
      <c r="C50" s="5">
        <v>0</v>
      </c>
      <c r="D50" s="5">
        <v>0</v>
      </c>
      <c r="E50" s="5">
        <v>0</v>
      </c>
      <c r="F50" s="5">
        <v>0</v>
      </c>
      <c r="G50" s="5" t="str">
        <f t="shared" si="0"/>
        <v>-</v>
      </c>
      <c r="H50" s="5">
        <f t="shared" si="4"/>
        <v>0</v>
      </c>
    </row>
    <row r="51" spans="2:8" ht="15" hidden="1">
      <c r="B51" s="210" t="str">
        <f>IF(Indice_index!$Z$1=1,"Outros subsectores das AP","Other General Government subsectors")</f>
        <v>Outros subsectores das AP</v>
      </c>
      <c r="C51" s="5">
        <v>0</v>
      </c>
      <c r="D51" s="5">
        <v>0</v>
      </c>
      <c r="E51" s="5">
        <v>0</v>
      </c>
      <c r="F51" s="5">
        <v>0</v>
      </c>
      <c r="G51" s="5" t="str">
        <f t="shared" si="0"/>
        <v>-</v>
      </c>
      <c r="H51" s="5">
        <f t="shared" si="4"/>
        <v>0</v>
      </c>
    </row>
    <row r="52" spans="2:8" ht="14.1" customHeight="1">
      <c r="B52" s="210" t="str">
        <f>IF(Indice_index!$Z$1=1,"União Europeia","European Union")</f>
        <v>União Europeia</v>
      </c>
      <c r="C52" s="5">
        <v>0.44887357999999999</v>
      </c>
      <c r="D52" s="5">
        <f>881200/10^6</f>
        <v>0.88119999999999998</v>
      </c>
      <c r="E52" s="5">
        <v>9.9254990000000001E-2</v>
      </c>
      <c r="F52" s="5">
        <v>0</v>
      </c>
      <c r="G52" s="5">
        <f t="shared" si="0"/>
        <v>-100</v>
      </c>
      <c r="H52" s="5">
        <f t="shared" si="4"/>
        <v>-4.2141794423601099E-4</v>
      </c>
    </row>
    <row r="53" spans="2:8" ht="14.1" customHeight="1">
      <c r="B53" s="210" t="str">
        <f>IF(Indice_index!$Z$1=1,"Outras transferências","Other transfers")</f>
        <v>Outras transferências</v>
      </c>
      <c r="C53" s="5">
        <v>44.024263500000004</v>
      </c>
      <c r="D53" s="5">
        <f>63064873/10^6</f>
        <v>63.064872999999999</v>
      </c>
      <c r="E53" s="5">
        <v>23.344952160000002</v>
      </c>
      <c r="F53" s="5">
        <v>65.907179559999989</v>
      </c>
      <c r="G53" s="5">
        <f t="shared" si="0"/>
        <v>182.31876042533719</v>
      </c>
      <c r="H53" s="5">
        <f t="shared" si="4"/>
        <v>0.18071118009294657</v>
      </c>
    </row>
    <row r="54" spans="2:8" ht="15" hidden="1">
      <c r="B54" s="150" t="str">
        <f>IF(Indice_index!$Z$1=1,"Outras despesas de capital","Other capital expenditure")</f>
        <v>Outras despesas de capital</v>
      </c>
      <c r="C54" s="5">
        <v>0</v>
      </c>
      <c r="D54" s="5">
        <v>0</v>
      </c>
      <c r="E54" s="5">
        <v>0</v>
      </c>
      <c r="F54" s="5">
        <v>0</v>
      </c>
      <c r="G54" s="5" t="str">
        <f t="shared" si="0"/>
        <v>-</v>
      </c>
      <c r="H54" s="5">
        <f t="shared" si="4"/>
        <v>0</v>
      </c>
    </row>
    <row r="55" spans="2:8" ht="14.1" customHeight="1">
      <c r="B55" s="32" t="str">
        <f>IF(Indice_index!$Z$1=1,"Despesa efetiva","Effective Expenditure")</f>
        <v>Despesa efetiva</v>
      </c>
      <c r="C55" s="19">
        <f>+C47+C33</f>
        <v>32854.458755759995</v>
      </c>
      <c r="D55" s="19">
        <f>+D47+D33</f>
        <v>35751.174647995009</v>
      </c>
      <c r="E55" s="19">
        <f>+E47+E33</f>
        <v>23552.625453559998</v>
      </c>
      <c r="F55" s="19">
        <f>+F47+F33</f>
        <v>26167.797238830004</v>
      </c>
      <c r="G55" s="19">
        <f t="shared" si="0"/>
        <v>11.103525551435798</v>
      </c>
      <c r="H55" s="19"/>
    </row>
    <row r="56" spans="2:8" ht="14.1" customHeight="1">
      <c r="B56" s="32" t="str">
        <f>IF(Indice_index!$Z$1=1,"Saldo global","Overall Balance")</f>
        <v>Saldo global</v>
      </c>
      <c r="C56" s="19">
        <f>+C32-C55</f>
        <v>5477.4055347899994</v>
      </c>
      <c r="D56" s="19">
        <f>+D32-D55</f>
        <v>4980.4928440049916</v>
      </c>
      <c r="E56" s="19">
        <f>+E32-E55</f>
        <v>3886.0633555399982</v>
      </c>
      <c r="F56" s="19">
        <f>+F32-F55</f>
        <v>4308.3355574999987</v>
      </c>
      <c r="G56" s="19"/>
      <c r="H56" s="19"/>
    </row>
    <row r="57" spans="2:8" ht="14.1" customHeight="1">
      <c r="B57" s="150" t="str">
        <f>IF(Indice_index!$Z$1=1,"Despesa primária","Primary Expenditure")</f>
        <v>Despesa primária</v>
      </c>
      <c r="C57" s="5">
        <f>+C55-C39</f>
        <v>32848.332076079998</v>
      </c>
      <c r="D57" s="5">
        <f>+D55-D39</f>
        <v>35738.946912995008</v>
      </c>
      <c r="E57" s="5">
        <f>+E55-E39</f>
        <v>23547.821121519999</v>
      </c>
      <c r="F57" s="5">
        <f>+F55-F39</f>
        <v>26162.394691280006</v>
      </c>
      <c r="G57" s="5">
        <f>IF(IFERROR((F57-E57)/E57*100,"")&gt;500,"-",IFERROR((F57-E57)/E57*100,""))</f>
        <v>11.103250514208243</v>
      </c>
      <c r="H57" s="5"/>
    </row>
    <row r="58" spans="2:8" ht="14.1" customHeight="1">
      <c r="B58" s="150" t="str">
        <f>IF(Indice_index!$Z$1=1,"Saldo primário","Primary balance")</f>
        <v>Saldo primário</v>
      </c>
      <c r="C58" s="5">
        <f>+C56+C39</f>
        <v>5483.5322144699994</v>
      </c>
      <c r="D58" s="5">
        <f>+D56+D39</f>
        <v>4992.720579004992</v>
      </c>
      <c r="E58" s="5">
        <f>+E56+E39</f>
        <v>3890.8676875799983</v>
      </c>
      <c r="F58" s="5">
        <f>+F56+F39</f>
        <v>4313.7381050499989</v>
      </c>
      <c r="G58" s="5"/>
      <c r="H58" s="5"/>
    </row>
    <row r="59" spans="2:8" ht="14.1" customHeight="1">
      <c r="B59" s="150" t="str">
        <f>IF(Indice_index!$Z$1=1,"Saldo corrente","Current balance")</f>
        <v>Saldo corrente</v>
      </c>
      <c r="C59" s="5">
        <f>+C12-C33</f>
        <v>5572.0878211900017</v>
      </c>
      <c r="D59" s="5">
        <f>+D12-D33</f>
        <v>5157.0756960049912</v>
      </c>
      <c r="E59" s="5">
        <f>+E12-E33</f>
        <v>3937.0054551199974</v>
      </c>
      <c r="F59" s="5">
        <f>+F12-F33</f>
        <v>4413.083076789997</v>
      </c>
      <c r="G59" s="5"/>
      <c r="H59" s="5"/>
    </row>
    <row r="60" spans="2:8" ht="14.1" customHeight="1">
      <c r="B60" s="150" t="str">
        <f>IF(Indice_index!$Z$1=1,"Saldo de capital","Capital balance")</f>
        <v>Saldo de capital</v>
      </c>
      <c r="C60" s="5">
        <f>+C24-C47</f>
        <v>-94.68228640000001</v>
      </c>
      <c r="D60" s="5">
        <f>+D24-D47</f>
        <v>-176.582852</v>
      </c>
      <c r="E60" s="5">
        <f>+E24-E47</f>
        <v>-50.942099580000004</v>
      </c>
      <c r="F60" s="5">
        <f>+F24-F47</f>
        <v>-104.74751928999997</v>
      </c>
      <c r="G60" s="5"/>
      <c r="H60" s="5"/>
    </row>
    <row r="61" spans="2:8" ht="14.1" customHeight="1">
      <c r="B61" s="150" t="str">
        <f>IF(Indice_index!$Z$1=1,"Ativos financeiros líquidos de reembolsos","Financial assets net of reimbursements")</f>
        <v>Ativos financeiros líquidos de reembolsos</v>
      </c>
      <c r="C61" s="5">
        <v>9558.3885027599972</v>
      </c>
      <c r="D61" s="5">
        <f>456727433/10^6</f>
        <v>456.72743300000002</v>
      </c>
      <c r="E61" s="5">
        <v>3704.2421545100019</v>
      </c>
      <c r="F61" s="5">
        <v>-971.62021021000101</v>
      </c>
      <c r="G61" s="5"/>
      <c r="H61" s="5"/>
    </row>
    <row r="62" spans="2:8" ht="14.1" customHeight="1">
      <c r="B62" s="293" t="str">
        <f>IF(Indice_index!$Z$1=1,"dos quais Receitas de:","of which revenue from:")</f>
        <v>dos quais Receitas de:</v>
      </c>
      <c r="C62" s="5">
        <v>0</v>
      </c>
      <c r="D62" s="5">
        <v>0</v>
      </c>
      <c r="E62" s="5"/>
      <c r="F62" s="5"/>
      <c r="G62" s="5"/>
      <c r="H62" s="5"/>
    </row>
    <row r="63" spans="2:8" ht="15" hidden="1">
      <c r="B63" s="210" t="str">
        <f>IF(Indice_index!$Z$1=1,"Alienação de partes de Capital","Disposal of Capital Shares")</f>
        <v>Alienação de partes de Capital</v>
      </c>
      <c r="C63" s="5">
        <v>0</v>
      </c>
      <c r="D63" s="5">
        <v>0</v>
      </c>
      <c r="E63" s="5">
        <v>0</v>
      </c>
      <c r="F63" s="5">
        <v>0</v>
      </c>
      <c r="G63" s="5"/>
      <c r="H63" s="5"/>
    </row>
    <row r="64" spans="2:8" ht="14.1" customHeight="1">
      <c r="B64" s="210" t="str">
        <f>IF(Indice_index!$Z$1=1,"Outros ativos","Other Assets")</f>
        <v>Outros ativos</v>
      </c>
      <c r="C64" s="5">
        <v>13220.625387739999</v>
      </c>
      <c r="D64" s="5">
        <f>27892419032/10^6</f>
        <v>27892.419032000002</v>
      </c>
      <c r="E64" s="5">
        <v>11063.346617649999</v>
      </c>
      <c r="F64" s="5">
        <v>12780.984460689999</v>
      </c>
      <c r="G64" s="5"/>
      <c r="H64" s="5"/>
    </row>
    <row r="65" spans="2:8" ht="14.1" customHeight="1">
      <c r="B65" s="150" t="str">
        <f>IF(Indice_index!$Z$1=1,"Passivos financeiros líquidos de amortizações","Financial liabilities net of amortizations")</f>
        <v>Passivos financeiros líquidos de amortizações</v>
      </c>
      <c r="C65" s="5">
        <v>0</v>
      </c>
      <c r="D65" s="5">
        <f>-40000000/10^6</f>
        <v>-40</v>
      </c>
      <c r="E65" s="5">
        <v>0</v>
      </c>
      <c r="F65" s="5">
        <v>0</v>
      </c>
      <c r="G65" s="5"/>
      <c r="H65" s="5"/>
    </row>
    <row r="66" spans="2:8" ht="14.1" customHeight="1">
      <c r="B66" s="211" t="str">
        <f>IF(Indice_index!$Z$1=1,"Poupança (+) / Utilização (-) de saldo da gerência anterior","Saving (+) / Usage (-) of balance from previous management")</f>
        <v>Poupança (+) / Utilização (-) de saldo da gerência anterior</v>
      </c>
      <c r="C66" s="20">
        <f>+C56-C61+C65</f>
        <v>-4080.9829679699978</v>
      </c>
      <c r="D66" s="20">
        <f>+D56-D61+D65</f>
        <v>4483.7654110049916</v>
      </c>
      <c r="E66" s="20">
        <f>+E56-E61+E65</f>
        <v>181.82120102999625</v>
      </c>
      <c r="F66" s="20">
        <f>+F56-F61+F65</f>
        <v>5279.9557677100001</v>
      </c>
      <c r="G66" s="20"/>
      <c r="H66" s="20"/>
    </row>
    <row r="67" spans="2:8" ht="15">
      <c r="B67" s="10" t="str">
        <f>IF(Indice_index!$Z$1=1,"Notas:","Notes:")</f>
        <v>Notas:</v>
      </c>
      <c r="C67" s="10"/>
      <c r="D67" s="10"/>
      <c r="E67" s="10"/>
      <c r="F67" s="10"/>
      <c r="G67" s="10"/>
      <c r="H67" s="10"/>
    </row>
    <row r="68" spans="2:8" ht="15">
      <c r="B68" s="397" t="str">
        <f>IF(Indice_index!$Z$1=1,"Valores consolidados - são excluídas transferências intra-setoriais.","Consolidated data - transfers within the subsector are excluded.")</f>
        <v>Valores consolidados - são excluídas transferências intra-setoriais.</v>
      </c>
      <c r="C68" s="397"/>
      <c r="D68" s="397"/>
      <c r="E68" s="397"/>
      <c r="F68" s="397"/>
      <c r="G68" s="397"/>
      <c r="H68" s="397"/>
    </row>
    <row r="69" spans="2:8" ht="15">
      <c r="B69" s="39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397"/>
      <c r="D69" s="397"/>
      <c r="E69" s="397"/>
      <c r="F69" s="397"/>
      <c r="G69" s="397"/>
      <c r="H69" s="397"/>
    </row>
    <row r="70" spans="2:8" ht="15">
      <c r="B70" s="379" t="str">
        <f>+'3 - Conta AC + SS'!$B$61</f>
        <v>Os dados de 2023 são mensalmente revistos e atualizados face ao publicado nas Sínteses de Execução Orçamental de 2023.</v>
      </c>
      <c r="C70" s="379"/>
      <c r="D70" s="379"/>
      <c r="E70" s="379"/>
      <c r="F70" s="379"/>
      <c r="G70" s="379"/>
      <c r="H70" s="379"/>
    </row>
    <row r="71" spans="2:8" ht="15">
      <c r="B71" s="78" t="str">
        <f>IF(Indice_index!$Z$1=1,"Fonte: Instituto de Gestão Financeira da Segurança Social, I.P.","Souce: Social Security Finance Management Institute")</f>
        <v>Fonte: Instituto de Gestão Financeira da Segurança Social, I.P.</v>
      </c>
      <c r="C71" s="81"/>
      <c r="D71" s="81"/>
      <c r="E71" s="81"/>
      <c r="F71" s="200"/>
      <c r="G71" s="78"/>
      <c r="H71" s="78"/>
    </row>
    <row r="72" spans="2:8" ht="14.85" customHeight="1"/>
  </sheetData>
  <mergeCells count="6">
    <mergeCell ref="B70:H70"/>
    <mergeCell ref="B10:B11"/>
    <mergeCell ref="E10:F10"/>
    <mergeCell ref="G10:H10"/>
    <mergeCell ref="B68:H68"/>
    <mergeCell ref="B69:H69"/>
  </mergeCells>
  <conditionalFormatting sqref="C33:C54">
    <cfRule type="cellIs" dxfId="72" priority="2" operator="equal">
      <formula>0</formula>
    </cfRule>
  </conditionalFormatting>
  <conditionalFormatting sqref="C12:H31">
    <cfRule type="cellIs" dxfId="71" priority="3" operator="equal">
      <formula>0</formula>
    </cfRule>
  </conditionalFormatting>
  <conditionalFormatting sqref="C57:H66">
    <cfRule type="cellIs" dxfId="70" priority="1" operator="equal">
      <formula>0</formula>
    </cfRule>
  </conditionalFormatting>
  <conditionalFormatting sqref="D33:D48">
    <cfRule type="cellIs" dxfId="69" priority="207" operator="equal">
      <formula>0</formula>
    </cfRule>
  </conditionalFormatting>
  <conditionalFormatting sqref="D49:E54">
    <cfRule type="cellIs" dxfId="68" priority="20" operator="equal">
      <formula>0</formula>
    </cfRule>
  </conditionalFormatting>
  <conditionalFormatting sqref="E33:E34">
    <cfRule type="cellIs" dxfId="67" priority="291" operator="equal">
      <formula>0</formula>
    </cfRule>
  </conditionalFormatting>
  <conditionalFormatting sqref="E36:E48">
    <cfRule type="cellIs" dxfId="66" priority="24" operator="equal">
      <formula>0</formula>
    </cfRule>
  </conditionalFormatting>
  <conditionalFormatting sqref="E35:F39">
    <cfRule type="cellIs" dxfId="65" priority="237" operator="equal">
      <formula>0</formula>
    </cfRule>
  </conditionalFormatting>
  <conditionalFormatting sqref="F33:H54">
    <cfRule type="cellIs" dxfId="64" priority="19"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E24:F24 E40:F40 E47:F47 E55:F60 E66:F66 E32:F33 C18:F18 C26:D26 F34 E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7" customWidth="1"/>
    <col min="2" max="2" width="42.42578125" style="87" customWidth="1"/>
    <col min="3" max="7" width="8.42578125" style="87" customWidth="1"/>
    <col min="8" max="11" width="8.42578125" style="88" customWidth="1"/>
    <col min="12" max="12" width="8.42578125" style="46" customWidth="1"/>
    <col min="13" max="13" width="8.5703125" style="87" customWidth="1"/>
    <col min="14" max="16384" width="8.5703125" hidden="1"/>
  </cols>
  <sheetData>
    <row r="1" spans="2:12"/>
    <row r="2" spans="2:12"/>
    <row r="3" spans="2:12"/>
    <row r="4" spans="2:12"/>
    <row r="5" spans="2:12"/>
    <row r="6" spans="2:12"/>
    <row r="7" spans="2:12" ht="50.1" customHeight="1">
      <c r="B7" s="13"/>
      <c r="C7" s="14"/>
      <c r="D7" s="12"/>
      <c r="E7" s="12"/>
      <c r="F7" s="12"/>
      <c r="G7" s="12"/>
      <c r="H7" s="12"/>
      <c r="I7" s="12"/>
      <c r="J7" s="12"/>
      <c r="K7" s="12"/>
      <c r="L7" s="11"/>
    </row>
    <row r="8" spans="2:12"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2:12">
      <c r="B9" s="3" t="str">
        <f>+'3 - Conta AC + SS'!B9</f>
        <v>Período: janeiro a setembro</v>
      </c>
      <c r="C9" s="3"/>
      <c r="D9" s="3"/>
      <c r="E9" s="3"/>
      <c r="F9" s="3"/>
      <c r="G9" s="3"/>
      <c r="H9" s="3"/>
      <c r="I9" s="3"/>
      <c r="J9" s="3"/>
      <c r="K9" s="3"/>
      <c r="L9" s="3" t="str">
        <f>IF(Indice_index!$Z$1=1,"€ Milhões","€ Millions")</f>
        <v>€ Milhões</v>
      </c>
    </row>
    <row r="10" spans="2:12" ht="16.350000000000001" customHeight="1">
      <c r="B10" s="398"/>
      <c r="C10" s="399" t="str">
        <f>IF(Indice_index!$Z$1=1,"R. Autónoma dos Açores","Azores Autonomous Region")</f>
        <v>R. Autónoma dos Açores</v>
      </c>
      <c r="D10" s="400"/>
      <c r="E10" s="401"/>
      <c r="F10" s="399" t="str">
        <f>IF(Indice_index!$Z$1=1,"R. Autónoma da Madeira","Madeira Autonomous Region")</f>
        <v>R. Autónoma da Madeira</v>
      </c>
      <c r="G10" s="400"/>
      <c r="H10" s="401"/>
      <c r="I10" s="399" t="str">
        <f>IF(Indice_index!$Z$1=1,"Administração Regional","Regional Government")</f>
        <v>Administração Regional</v>
      </c>
      <c r="J10" s="400"/>
      <c r="K10" s="400"/>
      <c r="L10" s="401"/>
    </row>
    <row r="11" spans="2:12" ht="16.350000000000001" customHeight="1">
      <c r="B11" s="347"/>
      <c r="C11" s="402" t="str">
        <f>IF(Indice_index!$Z$1=1,"Execução Acumulada","Accumulated Execution")</f>
        <v>Execução Acumulada</v>
      </c>
      <c r="D11" s="403"/>
      <c r="E11" s="404"/>
      <c r="F11" s="402" t="str">
        <f>IF(Indice_index!$Z$1=1,"Execução Acumulada","Accumulated Execution")</f>
        <v>Execução Acumulada</v>
      </c>
      <c r="G11" s="403"/>
      <c r="H11" s="404"/>
      <c r="I11" s="402" t="str">
        <f>IF(Indice_index!$Z$1=1,"Execução Acumulada","Accumulated Execution")</f>
        <v>Execução Acumulada</v>
      </c>
      <c r="J11" s="403"/>
      <c r="K11" s="403"/>
      <c r="L11" s="404"/>
    </row>
    <row r="12" spans="2:12" ht="26.85" customHeight="1">
      <c r="B12" s="347"/>
      <c r="C12" s="24">
        <v>2023</v>
      </c>
      <c r="D12" s="24">
        <v>2024</v>
      </c>
      <c r="E12" s="24" t="str">
        <f>IF(Indice_index!$Z$1=1,"TVHA (%)","YOY Change Rate (%)")</f>
        <v>TVHA (%)</v>
      </c>
      <c r="F12" s="24">
        <v>2023</v>
      </c>
      <c r="G12" s="24">
        <v>2024</v>
      </c>
      <c r="H12" s="24" t="str">
        <f>IF(Indice_index!$Z$1=1,"TVHA (%)","YOY Change Rate (%)")</f>
        <v>TVHA (%)</v>
      </c>
      <c r="I12" s="24">
        <v>2023</v>
      </c>
      <c r="J12" s="24">
        <v>2024</v>
      </c>
      <c r="K12" s="24" t="str">
        <f>IF(Indice_index!$Z$1=1,"TVHA (%)","YOY Change Rate (%)")</f>
        <v>TVHA (%)</v>
      </c>
      <c r="L12" s="24" t="str">
        <f>IF(Indice_index!$Z$1=1,"Contributo VHA (pp)","YOY Change Contrib. (pp)")</f>
        <v>Contributo VHA (pp)</v>
      </c>
    </row>
    <row r="13" spans="2:12" ht="14.1" customHeight="1">
      <c r="B13" s="212" t="str">
        <f>IF(Indice_index!$Z$1=1,"Receita corrente","Current revenue")</f>
        <v>Receita corrente</v>
      </c>
      <c r="C13" s="161">
        <f>+C14+C22+C23+C30+C31</f>
        <v>812.3799091300001</v>
      </c>
      <c r="D13" s="161">
        <f>+D14+D22+D23+D30+D31</f>
        <v>889.03477768999994</v>
      </c>
      <c r="E13" s="161">
        <f t="shared" ref="E13:E24" si="0">IFERROR(IF(ABS((D13-C13)/C13)*100&gt;500,"-",((D13-C13)/C13)*100),0)</f>
        <v>9.435840017522299</v>
      </c>
      <c r="F13" s="161">
        <f>+F14+F22+F23+F30+F31</f>
        <v>1060.00596939</v>
      </c>
      <c r="G13" s="161">
        <f>+G14+G22+G23+G30+G31</f>
        <v>1237.52183053</v>
      </c>
      <c r="H13" s="161">
        <f t="shared" ref="H13:H24" si="1">IFERROR(IF(ABS((G13-F13)/F13)*100&gt;500,"-",((G13-F13)/F13)*100),0)</f>
        <v>16.746685043873359</v>
      </c>
      <c r="I13" s="161">
        <f>+I14+I22+I23+I30+I31</f>
        <v>1871.8858785200002</v>
      </c>
      <c r="J13" s="161">
        <f>+J14+J22+J23+J30+J31</f>
        <v>2125.8692725399997</v>
      </c>
      <c r="K13" s="161">
        <f t="shared" ref="K13:K24" si="2">IFERROR(IF(ABS((J13-I13)/I13)*100&gt;500,"-",((J13-I13)/I13)*100),0)</f>
        <v>13.568316152948942</v>
      </c>
      <c r="L13" s="161">
        <f t="shared" ref="L13:L24" si="3">IFERROR((J13-I13)/$I$43*100,"-")</f>
        <v>12.11524886310683</v>
      </c>
    </row>
    <row r="14" spans="2:12" ht="14.1" customHeight="1">
      <c r="B14" s="150" t="str">
        <f>IF(Indice_index!$Z$1=1,"Receita fiscal","Tax revenue")</f>
        <v>Receita fiscal</v>
      </c>
      <c r="C14" s="5">
        <f>+C15+C19</f>
        <v>579.98873330000004</v>
      </c>
      <c r="D14" s="5">
        <f>+D15+D19</f>
        <v>641.82212437999999</v>
      </c>
      <c r="E14" s="5">
        <f t="shared" si="0"/>
        <v>10.661136592806285</v>
      </c>
      <c r="F14" s="5">
        <f>+F15+F19</f>
        <v>801.80905185999995</v>
      </c>
      <c r="G14" s="5">
        <f>+G15+G19</f>
        <v>932.16343944999994</v>
      </c>
      <c r="H14" s="5">
        <f t="shared" si="1"/>
        <v>16.25753504373764</v>
      </c>
      <c r="I14" s="5">
        <f>+I15+I19</f>
        <v>1381.7977851599999</v>
      </c>
      <c r="J14" s="5">
        <f>+J15+J19</f>
        <v>1573.98556383</v>
      </c>
      <c r="K14" s="5">
        <f t="shared" si="2"/>
        <v>13.908531388168822</v>
      </c>
      <c r="L14" s="5">
        <f t="shared" si="3"/>
        <v>9.1675393819306201</v>
      </c>
    </row>
    <row r="15" spans="2:12" ht="14.1" customHeight="1">
      <c r="B15" s="210" t="str">
        <f>IF(Indice_index!$Z$1=1,"Impostos diretos","Direct taxes")</f>
        <v>Impostos diretos</v>
      </c>
      <c r="C15" s="5">
        <f>+C16+C17</f>
        <v>200.12896843999999</v>
      </c>
      <c r="D15" s="5">
        <f t="shared" ref="D15" si="4">+D16+D17</f>
        <v>210.66372443999998</v>
      </c>
      <c r="E15" s="5">
        <f t="shared" si="0"/>
        <v>5.2639835612595869</v>
      </c>
      <c r="F15" s="5">
        <f>+F16+F17</f>
        <v>288.50372451999999</v>
      </c>
      <c r="G15" s="5">
        <f t="shared" ref="G15" si="5">+G16+G17</f>
        <v>362.24966744999995</v>
      </c>
      <c r="H15" s="5">
        <f t="shared" si="1"/>
        <v>25.56152197088452</v>
      </c>
      <c r="I15" s="5">
        <f>+I16+I17</f>
        <v>488.63269295999999</v>
      </c>
      <c r="J15" s="5">
        <f t="shared" ref="J15" si="6">+J16+J17</f>
        <v>572.91339188999996</v>
      </c>
      <c r="K15" s="5">
        <f t="shared" si="2"/>
        <v>17.248272607272984</v>
      </c>
      <c r="L15" s="5">
        <f t="shared" si="3"/>
        <v>4.0202693008076276</v>
      </c>
    </row>
    <row r="16" spans="2:12" ht="14.1" customHeight="1">
      <c r="B16" s="300" t="str">
        <f>IF(Indice_index!$Z$1=1,"Imposto s/ Rendimento Pessoas Singulares (IRS)","Personal income tax")</f>
        <v>Imposto s/ Rendimento Pessoas Singulares (IRS)</v>
      </c>
      <c r="C16" s="5">
        <v>153.16915397999998</v>
      </c>
      <c r="D16" s="5">
        <v>157.49550468999999</v>
      </c>
      <c r="E16" s="5">
        <f t="shared" si="0"/>
        <v>2.8245574239868989</v>
      </c>
      <c r="F16" s="5">
        <v>159.14253251</v>
      </c>
      <c r="G16" s="5">
        <v>174.18953615999999</v>
      </c>
      <c r="H16" s="5">
        <f t="shared" si="1"/>
        <v>9.4550485107144375</v>
      </c>
      <c r="I16" s="5">
        <v>312.31168649</v>
      </c>
      <c r="J16" s="5">
        <v>331.68504085000001</v>
      </c>
      <c r="K16" s="5">
        <f t="shared" si="2"/>
        <v>6.2032114704808938</v>
      </c>
      <c r="L16" s="5">
        <f t="shared" si="3"/>
        <v>0.92412738356458779</v>
      </c>
    </row>
    <row r="17" spans="2:12" ht="14.1" customHeight="1">
      <c r="B17" s="300" t="str">
        <f>IF(Indice_index!$Z$1=1,"Imposto s/ Rendimento Pessoas Colectivas (IRC)","Corporate income tax")</f>
        <v>Imposto s/ Rendimento Pessoas Colectivas (IRC)</v>
      </c>
      <c r="C17" s="5">
        <v>46.959814460000004</v>
      </c>
      <c r="D17" s="5">
        <v>53.168219749999999</v>
      </c>
      <c r="E17" s="5">
        <f t="shared" si="0"/>
        <v>13.22067678799767</v>
      </c>
      <c r="F17" s="5">
        <v>129.36119201</v>
      </c>
      <c r="G17" s="5">
        <v>188.06013128999999</v>
      </c>
      <c r="H17" s="5">
        <f t="shared" si="1"/>
        <v>45.376003705549032</v>
      </c>
      <c r="I17" s="5">
        <v>176.32100646999999</v>
      </c>
      <c r="J17" s="5">
        <v>241.22835103999998</v>
      </c>
      <c r="K17" s="5">
        <f t="shared" si="2"/>
        <v>36.81203157211084</v>
      </c>
      <c r="L17" s="5">
        <f t="shared" si="3"/>
        <v>3.0961419172430409</v>
      </c>
    </row>
    <row r="18" spans="2:12" ht="14.1" customHeight="1">
      <c r="B18" s="300" t="str">
        <f>IF(Indice_index!$Z$1=1,"Outros","Others")</f>
        <v>Outros</v>
      </c>
      <c r="C18" s="5">
        <v>0</v>
      </c>
      <c r="D18" s="5">
        <v>0</v>
      </c>
      <c r="E18" s="5">
        <f t="shared" si="0"/>
        <v>0</v>
      </c>
      <c r="F18" s="5">
        <v>0</v>
      </c>
      <c r="G18" s="5">
        <v>0</v>
      </c>
      <c r="H18" s="5">
        <f t="shared" si="1"/>
        <v>0</v>
      </c>
      <c r="I18" s="5">
        <v>0</v>
      </c>
      <c r="J18" s="5">
        <v>0</v>
      </c>
      <c r="K18" s="5">
        <f t="shared" si="2"/>
        <v>0</v>
      </c>
      <c r="L18" s="5">
        <f t="shared" si="3"/>
        <v>0</v>
      </c>
    </row>
    <row r="19" spans="2:12" ht="14.1" customHeight="1">
      <c r="B19" s="210" t="str">
        <f>IF(Indice_index!$Z$1=1,"Impostos indiretos","Indirect taxes")</f>
        <v>Impostos indiretos</v>
      </c>
      <c r="C19" s="5">
        <f>+C20+C21</f>
        <v>379.85976486000004</v>
      </c>
      <c r="D19" s="5">
        <f>+D20+D21</f>
        <v>431.15839994000004</v>
      </c>
      <c r="E19" s="5">
        <f t="shared" si="0"/>
        <v>13.504624555039795</v>
      </c>
      <c r="F19" s="5">
        <f t="shared" ref="F19:G19" si="7">+F20+F21</f>
        <v>513.30532733999996</v>
      </c>
      <c r="G19" s="5">
        <f t="shared" si="7"/>
        <v>569.91377199999999</v>
      </c>
      <c r="H19" s="5">
        <f t="shared" si="1"/>
        <v>11.02822075768251</v>
      </c>
      <c r="I19" s="5">
        <f>+I20+I21</f>
        <v>893.1650922</v>
      </c>
      <c r="J19" s="5">
        <f>+J20+J21</f>
        <v>1001.0721719400001</v>
      </c>
      <c r="K19" s="5">
        <f t="shared" si="2"/>
        <v>12.081426007616209</v>
      </c>
      <c r="L19" s="5">
        <f t="shared" si="3"/>
        <v>5.1472700811229872</v>
      </c>
    </row>
    <row r="20" spans="2:12" ht="14.1" customHeight="1">
      <c r="B20" s="300" t="str">
        <f>IF(Indice_index!$Z$1=1,"Imposto sobre Valor Acrescentado (IVA)","Value-added tax")</f>
        <v>Imposto sobre Valor Acrescentado (IVA)</v>
      </c>
      <c r="C20" s="5">
        <v>265.59886108000001</v>
      </c>
      <c r="D20" s="5">
        <v>301.86574743</v>
      </c>
      <c r="E20" s="5">
        <f t="shared" si="0"/>
        <v>13.654759739002111</v>
      </c>
      <c r="F20" s="5">
        <v>405.82750176999997</v>
      </c>
      <c r="G20" s="5">
        <v>456.87292123999998</v>
      </c>
      <c r="H20" s="5">
        <f t="shared" si="1"/>
        <v>12.578107508083486</v>
      </c>
      <c r="I20" s="5">
        <v>671.42636285000003</v>
      </c>
      <c r="J20" s="5">
        <v>758.73866867000004</v>
      </c>
      <c r="K20" s="5">
        <f t="shared" si="2"/>
        <v>13.00400321628509</v>
      </c>
      <c r="L20" s="5">
        <f t="shared" si="3"/>
        <v>4.1648798257168567</v>
      </c>
    </row>
    <row r="21" spans="2:12" ht="14.1" customHeight="1">
      <c r="B21" s="300" t="str">
        <f>IF(Indice_index!$Z$1=1,"Outros","Others")</f>
        <v>Outros</v>
      </c>
      <c r="C21" s="5">
        <v>114.26090378000001</v>
      </c>
      <c r="D21" s="5">
        <v>129.29265251000004</v>
      </c>
      <c r="E21" s="5">
        <f t="shared" si="0"/>
        <v>13.155636121120162</v>
      </c>
      <c r="F21" s="5">
        <v>107.47782556999999</v>
      </c>
      <c r="G21" s="5">
        <v>113.04085075999998</v>
      </c>
      <c r="H21" s="5">
        <f t="shared" si="1"/>
        <v>5.1759748213149406</v>
      </c>
      <c r="I21" s="5">
        <v>221.73872935</v>
      </c>
      <c r="J21" s="5">
        <v>242.33350327000005</v>
      </c>
      <c r="K21" s="5">
        <f t="shared" si="2"/>
        <v>9.2878560188249999</v>
      </c>
      <c r="L21" s="5">
        <f t="shared" si="3"/>
        <v>0.98239025540612945</v>
      </c>
    </row>
    <row r="22" spans="2:12" ht="14.1" customHeight="1">
      <c r="B22" s="150" t="str">
        <f>IF(Indice_index!$Z$1=1,"Contribuições para Segurança Social, CGA e ADSE","Social security, CGA and ADSE contributions")</f>
        <v>Contribuições para Segurança Social, CGA e ADSE</v>
      </c>
      <c r="C22" s="5">
        <v>0</v>
      </c>
      <c r="D22" s="5">
        <v>0</v>
      </c>
      <c r="E22" s="5">
        <f t="shared" si="0"/>
        <v>0</v>
      </c>
      <c r="F22" s="5">
        <v>0</v>
      </c>
      <c r="G22" s="5">
        <v>0</v>
      </c>
      <c r="H22" s="5">
        <f t="shared" si="1"/>
        <v>0</v>
      </c>
      <c r="I22" s="5">
        <v>0</v>
      </c>
      <c r="J22" s="5">
        <v>0</v>
      </c>
      <c r="K22" s="5">
        <f t="shared" si="2"/>
        <v>0</v>
      </c>
      <c r="L22" s="5">
        <f t="shared" si="3"/>
        <v>0</v>
      </c>
    </row>
    <row r="23" spans="2:12" ht="14.1" customHeight="1">
      <c r="B23" s="150" t="str">
        <f>IF(Indice_index!$Z$1=1,"Transferências correntes","Current transfers")</f>
        <v>Transferências correntes</v>
      </c>
      <c r="C23" s="5">
        <f>+C24+C27+C28+C29</f>
        <v>189.33000461000003</v>
      </c>
      <c r="D23" s="5">
        <f>+D24+D27+D28+D29</f>
        <v>204.81974741999997</v>
      </c>
      <c r="E23" s="5">
        <f t="shared" si="0"/>
        <v>8.1813460269581597</v>
      </c>
      <c r="F23" s="5">
        <f>+F24+F27+F28+F29</f>
        <v>171.65569083999998</v>
      </c>
      <c r="G23" s="5">
        <f>+G24+G27+G28+G29</f>
        <v>191.65608643999997</v>
      </c>
      <c r="H23" s="5">
        <f t="shared" si="1"/>
        <v>11.651460841250135</v>
      </c>
      <c r="I23" s="5">
        <f>+I24+I27+I28+I29</f>
        <v>360.98569545000004</v>
      </c>
      <c r="J23" s="5">
        <f>+J24+J27+J28+J29</f>
        <v>396.47583385999997</v>
      </c>
      <c r="K23" s="5">
        <f t="shared" si="2"/>
        <v>9.831452840744392</v>
      </c>
      <c r="L23" s="5">
        <f t="shared" si="3"/>
        <v>1.6929132736504748</v>
      </c>
    </row>
    <row r="24" spans="2:12" ht="14.1" customHeight="1">
      <c r="B24" s="210" t="str">
        <f>IF(Indice_index!$Z$1=1,"Administração Central","Central Administration")</f>
        <v>Administração Central</v>
      </c>
      <c r="C24" s="5">
        <v>148.01969233000003</v>
      </c>
      <c r="D24" s="5">
        <v>160.68406533999999</v>
      </c>
      <c r="E24" s="5">
        <f t="shared" si="0"/>
        <v>8.5558703782234513</v>
      </c>
      <c r="F24" s="5">
        <v>136.98752963999999</v>
      </c>
      <c r="G24" s="5">
        <v>147.59770878999998</v>
      </c>
      <c r="H24" s="5">
        <f t="shared" si="1"/>
        <v>7.7453613317090202</v>
      </c>
      <c r="I24" s="5">
        <v>285.00722197000005</v>
      </c>
      <c r="J24" s="5">
        <v>308.28177412999997</v>
      </c>
      <c r="K24" s="5">
        <f t="shared" si="2"/>
        <v>8.1663025937110518</v>
      </c>
      <c r="L24" s="5">
        <f t="shared" si="3"/>
        <v>1.1102182199106925</v>
      </c>
    </row>
    <row r="25" spans="2:12" ht="14.1" customHeight="1">
      <c r="B25" s="317" t="str">
        <f>IF(Indice_index!$Z$1=1,"dos quais:","of which:")</f>
        <v>dos quais:</v>
      </c>
      <c r="C25" s="5"/>
      <c r="D25" s="5"/>
      <c r="E25" s="5"/>
      <c r="F25" s="5"/>
      <c r="G25" s="5"/>
      <c r="H25" s="5"/>
      <c r="I25" s="5"/>
      <c r="J25" s="5"/>
      <c r="K25" s="5"/>
      <c r="L25" s="5"/>
    </row>
    <row r="26" spans="2:12" ht="14.1" customHeight="1">
      <c r="B26" s="318" t="str">
        <f>IF(Indice_index!$Z$1=1,"Transferências do Orçamento do Estado","State Budget tranfers")</f>
        <v>Transferências do Orçamento do Estado</v>
      </c>
      <c r="C26" s="5">
        <v>139.82498417000002</v>
      </c>
      <c r="D26" s="5">
        <v>152.4813345</v>
      </c>
      <c r="E26" s="5">
        <f>IFERROR(IF(ABS((D26-C26)/C26)*100&gt;500,"-",((D26-C26)/C26)*100),0)</f>
        <v>9.0515657163331529</v>
      </c>
      <c r="F26" s="5">
        <v>136.67006505000001</v>
      </c>
      <c r="G26" s="5">
        <v>147.53415899999999</v>
      </c>
      <c r="H26" s="5">
        <f t="shared" ref="H26:H35" si="8">IFERROR(IF(ABS((G26-F26)/F26)*100&gt;500,"-",((G26-F26)/F26)*100),0)</f>
        <v>7.9491393715408076</v>
      </c>
      <c r="I26" s="5">
        <v>276.49504922</v>
      </c>
      <c r="J26" s="5">
        <v>300.01549349999999</v>
      </c>
      <c r="K26" s="5">
        <f t="shared" ref="K26:K35" si="9">IFERROR(IF(ABS((J26-I26)/I26)*100&gt;500,"-",((J26-I26)/I26)*100),0)</f>
        <v>8.5066421067399958</v>
      </c>
      <c r="L26" s="5">
        <f>(J26-I26)/I24*100</f>
        <v>8.2525783443044691</v>
      </c>
    </row>
    <row r="27" spans="2:12" ht="14.1" customHeight="1">
      <c r="B27" s="210" t="str">
        <f>IF(Indice_index!$Z$1=1,"Outros subsetores das Administrações Públicas","Other General Government subsectors")</f>
        <v>Outros subsetores das Administrações Públicas</v>
      </c>
      <c r="C27" s="5">
        <v>9.7044247499999994</v>
      </c>
      <c r="D27" s="5">
        <v>9.1269564899999995</v>
      </c>
      <c r="E27" s="5">
        <f>IFERROR(IF(ABS((D27-C27)/C27)*100&gt;500,"-",((D27-C27)/C27)*100),0)</f>
        <v>-5.9505666216846071</v>
      </c>
      <c r="F27" s="5">
        <v>7.3576050199999994</v>
      </c>
      <c r="G27" s="5">
        <v>8.2289725199999992</v>
      </c>
      <c r="H27" s="5">
        <f t="shared" si="8"/>
        <v>11.843086135113024</v>
      </c>
      <c r="I27" s="5">
        <v>17.062029769999995</v>
      </c>
      <c r="J27" s="5">
        <v>17.355929009999997</v>
      </c>
      <c r="K27" s="5">
        <f t="shared" si="9"/>
        <v>1.7225338600496527</v>
      </c>
      <c r="L27" s="5">
        <f t="shared" ref="L27:L35" si="10">IFERROR((J27-I27)/$I$43*100,"-")</f>
        <v>1.4019272586764494E-2</v>
      </c>
    </row>
    <row r="28" spans="2:12" ht="14.1" customHeight="1">
      <c r="B28" s="210" t="str">
        <f>IF(Indice_index!$Z$1=1,"União Europeia","European Union")</f>
        <v>União Europeia</v>
      </c>
      <c r="C28" s="5">
        <v>19.891983249999999</v>
      </c>
      <c r="D28" s="5">
        <v>23.373075389999997</v>
      </c>
      <c r="E28" s="5">
        <f>IFERROR(IF(ABS((D28-C28)/C28)*100&gt;500,"-",((D28-C28)/C28)*100),0)</f>
        <v>17.499975222430361</v>
      </c>
      <c r="F28" s="5">
        <v>27.210140260000003</v>
      </c>
      <c r="G28" s="5">
        <v>35.762078020000004</v>
      </c>
      <c r="H28" s="5">
        <f t="shared" si="8"/>
        <v>31.429230714299894</v>
      </c>
      <c r="I28" s="5">
        <v>47.102123509999998</v>
      </c>
      <c r="J28" s="5">
        <v>59.135153410000001</v>
      </c>
      <c r="K28" s="5">
        <f t="shared" si="9"/>
        <v>25.546682406888376</v>
      </c>
      <c r="L28" s="5">
        <f t="shared" si="10"/>
        <v>0.57398694264328998</v>
      </c>
    </row>
    <row r="29" spans="2:12" ht="14.1" customHeight="1">
      <c r="B29" s="210" t="str">
        <f>IF(Indice_index!$Z$1=1,"Outras transferências","Other transfers")</f>
        <v>Outras transferências</v>
      </c>
      <c r="C29" s="5">
        <v>11.71390428</v>
      </c>
      <c r="D29" s="5">
        <v>11.635650199999999</v>
      </c>
      <c r="E29" s="5">
        <f>IFERROR(IF(ABS((D29-C29)/C29)*100&gt;500,"-",((D29-C29)/C29)*100),0)</f>
        <v>-0.6680443866492024</v>
      </c>
      <c r="F29" s="5">
        <v>0.10041591999999999</v>
      </c>
      <c r="G29" s="5">
        <v>6.7327109999999996E-2</v>
      </c>
      <c r="H29" s="5">
        <f t="shared" si="8"/>
        <v>-32.951757052069034</v>
      </c>
      <c r="I29" s="5">
        <v>11.814320199999999</v>
      </c>
      <c r="J29" s="5">
        <v>11.702977310000001</v>
      </c>
      <c r="K29" s="5">
        <f t="shared" si="9"/>
        <v>-0.9424400906283017</v>
      </c>
      <c r="L29" s="5">
        <f t="shared" si="10"/>
        <v>-5.3111614902716098E-3</v>
      </c>
    </row>
    <row r="30" spans="2:12" ht="14.1" customHeight="1">
      <c r="B30" s="150" t="str">
        <f>IF(Indice_index!$Z$1=1,"Outras receitas correntes","Other current revenue")</f>
        <v>Outras receitas correntes</v>
      </c>
      <c r="C30" s="5">
        <v>43.061171220000006</v>
      </c>
      <c r="D30" s="5">
        <v>42.392905890000002</v>
      </c>
      <c r="E30" s="5">
        <f>IFERROR(IF(ABS((D30-C30)/C30)*100&gt;500,"-",((D30-C30)/C30)*100),0)</f>
        <v>-1.5518977098551943</v>
      </c>
      <c r="F30" s="5">
        <v>74.506226100000006</v>
      </c>
      <c r="G30" s="5">
        <v>86.851625599999991</v>
      </c>
      <c r="H30" s="5">
        <f t="shared" si="8"/>
        <v>16.569621286991993</v>
      </c>
      <c r="I30" s="5">
        <v>117.56739732000001</v>
      </c>
      <c r="J30" s="5">
        <v>129.24453148999987</v>
      </c>
      <c r="K30" s="5">
        <f t="shared" si="9"/>
        <v>9.9322894239263739</v>
      </c>
      <c r="L30" s="5">
        <f t="shared" si="10"/>
        <v>0.55701037866395642</v>
      </c>
    </row>
    <row r="31" spans="2:12" ht="14.1" customHeight="1">
      <c r="B31" s="150" t="str">
        <f>IF(Indice_index!$Z$1=1,"Diferenças de consolidação","Consolidation differences")</f>
        <v>Diferenças de consolidação</v>
      </c>
      <c r="C31" s="5">
        <v>0</v>
      </c>
      <c r="D31" s="5">
        <v>0</v>
      </c>
      <c r="E31" s="5"/>
      <c r="F31" s="5">
        <v>12.035000589999981</v>
      </c>
      <c r="G31" s="5">
        <v>26.850679039999932</v>
      </c>
      <c r="H31" s="5">
        <f t="shared" si="8"/>
        <v>123.10492499942598</v>
      </c>
      <c r="I31" s="5">
        <v>11.535000590000209</v>
      </c>
      <c r="J31" s="5">
        <v>26.163343360000226</v>
      </c>
      <c r="K31" s="5">
        <f t="shared" si="9"/>
        <v>126.81700929154225</v>
      </c>
      <c r="L31" s="5">
        <f t="shared" si="10"/>
        <v>0.69778582886180518</v>
      </c>
    </row>
    <row r="32" spans="2:12" ht="14.1" customHeight="1">
      <c r="B32" s="212" t="str">
        <f>IF(Indice_index!$Z$1=1,"Receita de capital","Capital revenue")</f>
        <v>Receita de capital</v>
      </c>
      <c r="C32" s="161">
        <f>+C33+C34+C41+C42</f>
        <v>146.99036073999997</v>
      </c>
      <c r="D32" s="161">
        <f>+D33+D34+D41+D42</f>
        <v>218.17015556000004</v>
      </c>
      <c r="E32" s="161">
        <f>IFERROR(IF(ABS((D32-C32)/C32)*100&gt;500,"-",((D32-C32)/C32)*100),0)</f>
        <v>48.424804498510333</v>
      </c>
      <c r="F32" s="161">
        <f>+F33+F34+F41+F42</f>
        <v>77.518122010000013</v>
      </c>
      <c r="G32" s="161">
        <f>+G33+G34+G41+G42</f>
        <v>111.14393197</v>
      </c>
      <c r="H32" s="161">
        <f t="shared" si="8"/>
        <v>43.377998702886764</v>
      </c>
      <c r="I32" s="161">
        <f>+I33+I34+I41+I42</f>
        <v>224.50848274999998</v>
      </c>
      <c r="J32" s="161">
        <f>+J33+J34+J41+J42</f>
        <v>329.31408752999994</v>
      </c>
      <c r="K32" s="161">
        <f t="shared" si="9"/>
        <v>46.68224714551458</v>
      </c>
      <c r="L32" s="161">
        <f t="shared" si="10"/>
        <v>4.9993267829869801</v>
      </c>
    </row>
    <row r="33" spans="2:12" ht="14.1" customHeight="1">
      <c r="B33" s="150" t="str">
        <f>IF(Indice_index!$Z$1=1,"Venda de bens de investimento","Sale of investment goods")</f>
        <v>Venda de bens de investimento</v>
      </c>
      <c r="C33" s="5">
        <v>9.4943450000000013E-2</v>
      </c>
      <c r="D33" s="5">
        <v>8.0579009999999993E-2</v>
      </c>
      <c r="E33" s="5">
        <f>IFERROR(IF(ABS((D33-C33)/C33)*100&gt;500,"-",((D33-C33)/C33)*100),0)</f>
        <v>-15.129469173492241</v>
      </c>
      <c r="F33" s="5">
        <v>7.9146919999999996</v>
      </c>
      <c r="G33" s="5">
        <v>1.2920475699999998</v>
      </c>
      <c r="H33" s="5">
        <f t="shared" si="8"/>
        <v>-83.67532722688388</v>
      </c>
      <c r="I33" s="5">
        <v>8.0096354499999993</v>
      </c>
      <c r="J33" s="5">
        <v>1.3726265799999999</v>
      </c>
      <c r="K33" s="5">
        <f t="shared" si="9"/>
        <v>-82.862808319197583</v>
      </c>
      <c r="L33" s="5">
        <f t="shared" si="10"/>
        <v>-0.31659162000317936</v>
      </c>
    </row>
    <row r="34" spans="2:12" ht="14.1" customHeight="1">
      <c r="B34" s="150" t="str">
        <f>IF(Indice_index!$Z$1=1,"Transferências de capital","Capital transfers")</f>
        <v>Transferências de capital</v>
      </c>
      <c r="C34" s="5">
        <f>+C35+C38+C39+C40</f>
        <v>146.39639197</v>
      </c>
      <c r="D34" s="5">
        <f>+D35+D38+D39+D40</f>
        <v>217.03249602000002</v>
      </c>
      <c r="E34" s="5">
        <f>IFERROR(IF(ABS((D34-C34)/C34)*100&gt;500,"-",((D34-C34)/C34)*100),0)</f>
        <v>48.249894071484356</v>
      </c>
      <c r="F34" s="5">
        <f>+F35+F38+F39+F40</f>
        <v>69.513142080000009</v>
      </c>
      <c r="G34" s="5">
        <f>+G35+G38+G39+G40</f>
        <v>108.07477398</v>
      </c>
      <c r="H34" s="5">
        <f t="shared" si="8"/>
        <v>55.473872632056967</v>
      </c>
      <c r="I34" s="5">
        <f>+I35+I38+I39+I40</f>
        <v>215.90953405000002</v>
      </c>
      <c r="J34" s="5">
        <f>+J35+J38+J39+J40</f>
        <v>325.10726999999997</v>
      </c>
      <c r="K34" s="5">
        <f t="shared" si="9"/>
        <v>50.57568968895653</v>
      </c>
      <c r="L34" s="5">
        <f t="shared" si="10"/>
        <v>5.20883560685823</v>
      </c>
    </row>
    <row r="35" spans="2:12" ht="14.1" customHeight="1">
      <c r="B35" s="210" t="str">
        <f>IF(Indice_index!$Z$1=1,"Administração Central","Central Administration")</f>
        <v>Administração Central</v>
      </c>
      <c r="C35" s="5">
        <v>77.305063869999998</v>
      </c>
      <c r="D35" s="5">
        <v>84.112505260000006</v>
      </c>
      <c r="E35" s="5">
        <f>IFERROR(IF(ABS((D35-C35)/C35)*100&gt;500,"-",((D35-C35)/C35)*100),0)</f>
        <v>8.8059449785174966</v>
      </c>
      <c r="F35" s="5">
        <v>38.168513340000004</v>
      </c>
      <c r="G35" s="5">
        <v>81.244838360000003</v>
      </c>
      <c r="H35" s="5">
        <f t="shared" si="8"/>
        <v>112.85827309091623</v>
      </c>
      <c r="I35" s="5">
        <v>115.47357721</v>
      </c>
      <c r="J35" s="5">
        <v>165.35734361999999</v>
      </c>
      <c r="K35" s="5">
        <f t="shared" si="9"/>
        <v>43.199290794708368</v>
      </c>
      <c r="L35" s="5">
        <f t="shared" si="10"/>
        <v>2.3795029852961584</v>
      </c>
    </row>
    <row r="36" spans="2:12" ht="14.1" customHeight="1">
      <c r="B36" s="317" t="str">
        <f>IF(Indice_index!$Z$1=1,"dos quais:","of which:")</f>
        <v>dos quais:</v>
      </c>
      <c r="C36" s="5"/>
      <c r="D36" s="5"/>
      <c r="E36" s="5"/>
      <c r="F36" s="5"/>
      <c r="G36" s="5"/>
      <c r="H36" s="5"/>
      <c r="I36" s="5"/>
      <c r="J36" s="5"/>
      <c r="K36" s="5"/>
      <c r="L36" s="5"/>
    </row>
    <row r="37" spans="2:12" ht="14.1" customHeight="1">
      <c r="B37" s="318" t="str">
        <f>IF(Indice_index!$Z$1=1,"Transferências do Orçamento do Estado","State Budget tranfers")</f>
        <v>Transferências do Orçamento do Estado</v>
      </c>
      <c r="C37" s="5">
        <v>76.876611749999995</v>
      </c>
      <c r="D37" s="5">
        <v>83.863413750000007</v>
      </c>
      <c r="E37" s="5">
        <f>IFERROR(IF(ABS((D37-C37)/C37)*100&gt;500,"-",((D37-C37)/C37)*100),0)</f>
        <v>9.0883323821825588</v>
      </c>
      <c r="F37" s="5">
        <v>38.022665310000001</v>
      </c>
      <c r="G37" s="5">
        <v>81.203787000000005</v>
      </c>
      <c r="H37" s="5">
        <f>IFERROR(IF(ABS((G37-F37)/F37)*100&gt;500,"-",((G37-F37)/F37)*100),0)</f>
        <v>113.56679322173484</v>
      </c>
      <c r="I37" s="5">
        <v>114.89927706</v>
      </c>
      <c r="J37" s="5">
        <v>165.06720075000001</v>
      </c>
      <c r="K37" s="5">
        <f>IFERROR(IF(ABS((J37-I37)/I37)*100&gt;500,"-",((J37-I37)/I37)*100),0)</f>
        <v>43.662523362790608</v>
      </c>
      <c r="L37" s="5">
        <f>(J37-I37)/I35*100</f>
        <v>43.445370709149103</v>
      </c>
    </row>
    <row r="38" spans="2:12" ht="14.1" customHeight="1">
      <c r="B38" s="210" t="str">
        <f>IF(Indice_index!$Z$1=1,"Outros subsetores das Administrações Públicas","Other General Government subsectors")</f>
        <v>Outros subsetores das Administrações Públicas</v>
      </c>
      <c r="C38" s="5">
        <v>0</v>
      </c>
      <c r="D38" s="5">
        <v>0</v>
      </c>
      <c r="E38" s="5">
        <f>IFERROR(IF(ABS((D38-C38)/C38)*100&gt;500,"-",((D38-C38)/C38)*100),0)</f>
        <v>0</v>
      </c>
      <c r="F38" s="5">
        <v>0</v>
      </c>
      <c r="G38" s="5">
        <v>0</v>
      </c>
      <c r="H38" s="5">
        <f>IFERROR(IF(ABS((G38-F38)/F38)*100&gt;500,"-",((G38-F38)/F38)*100),0)</f>
        <v>0</v>
      </c>
      <c r="I38" s="5">
        <v>0</v>
      </c>
      <c r="J38" s="5">
        <v>0</v>
      </c>
      <c r="K38" s="5">
        <f>IFERROR(IF(ABS((J38-I38)/I38)*100&gt;500,"-",((J38-I38)/I38)*100),0)</f>
        <v>0</v>
      </c>
      <c r="L38" s="5">
        <f>IFERROR((J38-I38)/$I$43*100,"-")</f>
        <v>0</v>
      </c>
    </row>
    <row r="39" spans="2:12" ht="14.1" customHeight="1">
      <c r="B39" s="210" t="str">
        <f>IF(Indice_index!$Z$1=1,"União Europeia","European Union")</f>
        <v>União Europeia</v>
      </c>
      <c r="C39" s="5">
        <v>69.031898869999992</v>
      </c>
      <c r="D39" s="5">
        <v>132.90599076000001</v>
      </c>
      <c r="E39" s="5">
        <f>IFERROR(IF(ABS((D39-C39)/C39)*100&gt;500,"-",((D39-C39)/C39)*100),0)</f>
        <v>92.528371572520271</v>
      </c>
      <c r="F39" s="5">
        <v>31.344628740000001</v>
      </c>
      <c r="G39" s="5">
        <v>26.81452316</v>
      </c>
      <c r="H39" s="5">
        <f>IFERROR(IF(ABS((G39-F39)/F39)*100&gt;500,"-",((G39-F39)/F39)*100),0)</f>
        <v>-14.452573733052295</v>
      </c>
      <c r="I39" s="5">
        <v>100.37652761</v>
      </c>
      <c r="J39" s="5">
        <v>159.72051391999997</v>
      </c>
      <c r="K39" s="5">
        <f>IFERROR(IF(ABS((J39-I39)/I39)*100&gt;500,"-",((J39-I39)/I39)*100),0)</f>
        <v>59.121377998423455</v>
      </c>
      <c r="L39" s="5">
        <f>IFERROR((J39-I39)/$I$43*100,"-")</f>
        <v>2.8307644499696734</v>
      </c>
    </row>
    <row r="40" spans="2:12" ht="14.1" customHeight="1">
      <c r="B40" s="210" t="str">
        <f>IF(Indice_index!$Z$1=1,"Outras transferências","Other transfers")</f>
        <v>Outras transferências</v>
      </c>
      <c r="C40" s="5">
        <v>5.9429230000000006E-2</v>
      </c>
      <c r="D40" s="5">
        <v>1.4E-2</v>
      </c>
      <c r="E40" s="5">
        <f>IFERROR(IF(ABS((D40-C40)/C40)*100&gt;500,"-",((D40-C40)/C40)*100),0)</f>
        <v>-76.442568749418427</v>
      </c>
      <c r="F40" s="5">
        <v>0</v>
      </c>
      <c r="G40" s="5">
        <v>1.5412459999999999E-2</v>
      </c>
      <c r="H40" s="5">
        <f>IFERROR(IF(ABS((G40-F40)/F40)*100&gt;500,"-",((G40-F40)/F40)*100),0)</f>
        <v>0</v>
      </c>
      <c r="I40" s="5">
        <v>5.9429230000000006E-2</v>
      </c>
      <c r="J40" s="5">
        <v>2.9412459999999998E-2</v>
      </c>
      <c r="K40" s="5">
        <f>IFERROR(IF(ABS((J40-I40)/I40)*100&gt;500,"-",((J40-I40)/I40)*100),0)</f>
        <v>-50.50842825996569</v>
      </c>
      <c r="L40" s="5">
        <f>IFERROR((J40-I40)/$I$43*100,"-")</f>
        <v>-1.4318284076005518E-3</v>
      </c>
    </row>
    <row r="41" spans="2:12" ht="14.1" customHeight="1">
      <c r="B41" s="150" t="str">
        <f>IF(Indice_index!$Z$1=1,"Outras receitas de capital","Other capital revenue")</f>
        <v>Outras receitas de capital</v>
      </c>
      <c r="C41" s="5">
        <v>0.49902531999999999</v>
      </c>
      <c r="D41" s="5">
        <v>1.0570805300000001</v>
      </c>
      <c r="E41" s="5">
        <f>IFERROR(IF(ABS((D41-C41)/C41)*100&gt;500,"-",((D41-C41)/C41)*100),0)</f>
        <v>111.82903705166707</v>
      </c>
      <c r="F41" s="5">
        <v>2.5943879999999999E-2</v>
      </c>
      <c r="G41" s="5">
        <v>0.64226268999999991</v>
      </c>
      <c r="H41" s="5" t="str">
        <f>IFERROR(IF(ABS((G41-F41)/F41)*100&gt;500,"-",((G41-F41)/F41)*100),0)</f>
        <v>-</v>
      </c>
      <c r="I41" s="5">
        <v>0.52496920000000002</v>
      </c>
      <c r="J41" s="5">
        <v>1.69934322</v>
      </c>
      <c r="K41" s="5">
        <f>IFERROR(IF(ABS((J41-I41)/I41)*100&gt;500,"-",((J41-I41)/I41)*100),0)</f>
        <v>223.70341345739905</v>
      </c>
      <c r="L41" s="5">
        <f>IFERROR((J41-I41)/$I$43*100,"-")</f>
        <v>5.6018754948785582E-2</v>
      </c>
    </row>
    <row r="42" spans="2:12" ht="14.1" customHeight="1">
      <c r="B42" s="150" t="str">
        <f>IF(Indice_index!$Z$1=1,"Diferenças de consolidação","Consolidation differences")</f>
        <v>Diferenças de consolidação</v>
      </c>
      <c r="C42" s="5">
        <v>0</v>
      </c>
      <c r="D42" s="5">
        <v>0</v>
      </c>
      <c r="E42" s="5"/>
      <c r="F42" s="5">
        <v>6.4344050000002539E-2</v>
      </c>
      <c r="G42" s="5">
        <v>1.1348477300000006</v>
      </c>
      <c r="H42" s="5"/>
      <c r="I42" s="5">
        <v>6.4344049999988329E-2</v>
      </c>
      <c r="J42" s="5">
        <v>1.1348477300000184</v>
      </c>
      <c r="K42" s="5"/>
      <c r="L42" s="5"/>
    </row>
    <row r="43" spans="2:12" ht="14.1" customHeight="1">
      <c r="B43" s="32" t="str">
        <f>IF(Indice_index!$Z$1=1,"Receita efetiva","Effective revenue")</f>
        <v>Receita efetiva</v>
      </c>
      <c r="C43" s="19">
        <f>+C32+C13</f>
        <v>959.37026987000013</v>
      </c>
      <c r="D43" s="19">
        <f>+D32+D13</f>
        <v>1107.2049332500001</v>
      </c>
      <c r="E43" s="19">
        <f t="shared" ref="E43:E55" si="11">IFERROR(IF(ABS((D43-C43)/C43)*100&gt;500,"-",((D43-C43)/C43)*100),0)</f>
        <v>15.409552288923059</v>
      </c>
      <c r="F43" s="19">
        <f>+F32+F13</f>
        <v>1137.5240914000001</v>
      </c>
      <c r="G43" s="19">
        <f>+G32+G13</f>
        <v>1348.6657625</v>
      </c>
      <c r="H43" s="19">
        <f t="shared" ref="H43:H55" si="12">IFERROR(IF(ABS((G43-F43)/F43)*100&gt;500,"-",((G43-F43)/F43)*100),0)</f>
        <v>18.561512032693635</v>
      </c>
      <c r="I43" s="19">
        <f>+I32+I13</f>
        <v>2096.3943612700004</v>
      </c>
      <c r="J43" s="19">
        <f>+J32+J13</f>
        <v>2455.1833600699997</v>
      </c>
      <c r="K43" s="19">
        <f t="shared" ref="K43:K55" si="13">IFERROR(IF(ABS((J43-I43)/I43)*100&gt;500,"-",((J43-I43)/I43)*100),0)</f>
        <v>17.114575646093805</v>
      </c>
      <c r="L43" s="19"/>
    </row>
    <row r="44" spans="2:12" ht="14.1" customHeight="1">
      <c r="B44" s="212" t="str">
        <f>IF(Indice_index!$Z$1=1,"Despesa corrente","Current expenditure")</f>
        <v>Despesa corrente</v>
      </c>
      <c r="C44" s="161">
        <f>+C45+C49+C50+C51+C54+C55+C56</f>
        <v>883.11797662000004</v>
      </c>
      <c r="D44" s="161">
        <f>+D45+D49+D50+D51+D54+D55+D56</f>
        <v>1016.1433801999998</v>
      </c>
      <c r="E44" s="161">
        <f t="shared" si="11"/>
        <v>15.063152047831061</v>
      </c>
      <c r="F44" s="161">
        <f>+F45+F49+F50+F51+F54+F55+F56</f>
        <v>986.72863545999985</v>
      </c>
      <c r="G44" s="161">
        <f>+G45+G49+G50+G51+G54+G55+G56</f>
        <v>1077.9752921699999</v>
      </c>
      <c r="H44" s="161">
        <f t="shared" si="12"/>
        <v>9.2473911702645619</v>
      </c>
      <c r="I44" s="161">
        <f>+I45+I49+I50+I51+I54+I55+I56</f>
        <v>1869.3466120799999</v>
      </c>
      <c r="J44" s="161">
        <f>+J45+J49+J50+J51+J54+J55+J56</f>
        <v>2093.4313366900001</v>
      </c>
      <c r="K44" s="161">
        <f t="shared" si="13"/>
        <v>11.98732878974562</v>
      </c>
      <c r="L44" s="161">
        <f t="shared" ref="L44:L62" si="14">IFERROR((J44-I44)/$I$64*100,"-")</f>
        <v>10.172108651848125</v>
      </c>
    </row>
    <row r="45" spans="2:12" ht="14.1" customHeight="1">
      <c r="B45" s="150" t="str">
        <f>IF(Indice_index!$Z$1=1,"Despesas com o pessoal","Employees")</f>
        <v>Despesas com o pessoal</v>
      </c>
      <c r="C45" s="5">
        <f>+C46+C47+C48</f>
        <v>477.49393296999995</v>
      </c>
      <c r="D45" s="5">
        <f>+D46+D47+D48</f>
        <v>517.87464656999998</v>
      </c>
      <c r="E45" s="5">
        <f t="shared" si="11"/>
        <v>8.4568013982571557</v>
      </c>
      <c r="F45" s="5">
        <f>+F46+F47+F48</f>
        <v>532.09246768999992</v>
      </c>
      <c r="G45" s="5">
        <f>+G46+G47+G48</f>
        <v>572.64074336999988</v>
      </c>
      <c r="H45" s="5">
        <f t="shared" si="12"/>
        <v>7.6205317951660261</v>
      </c>
      <c r="I45" s="5">
        <f>+I46+I47+I48</f>
        <v>1009.58640066</v>
      </c>
      <c r="J45" s="5">
        <f>+J46+J47+J48</f>
        <v>1090.5153899399997</v>
      </c>
      <c r="K45" s="5">
        <f t="shared" si="13"/>
        <v>8.0160538243278463</v>
      </c>
      <c r="L45" s="5">
        <f t="shared" si="14"/>
        <v>3.6736929457068057</v>
      </c>
    </row>
    <row r="46" spans="2:12" ht="14.1" customHeight="1">
      <c r="B46" s="210" t="str">
        <f>IF(Indice_index!$Z$1=1,"Remunerações certas e permanentes","Certain and permanent wages")</f>
        <v>Remunerações certas e permanentes</v>
      </c>
      <c r="C46" s="5">
        <v>347.9419703399999</v>
      </c>
      <c r="D46" s="5">
        <v>376.37422670000001</v>
      </c>
      <c r="E46" s="5">
        <f t="shared" si="11"/>
        <v>8.1715512308609526</v>
      </c>
      <c r="F46" s="5">
        <v>390.89270768999995</v>
      </c>
      <c r="G46" s="5">
        <v>413.22910584999994</v>
      </c>
      <c r="H46" s="5">
        <f t="shared" si="12"/>
        <v>5.7142018054002728</v>
      </c>
      <c r="I46" s="5">
        <v>738.83467802999996</v>
      </c>
      <c r="J46" s="5">
        <v>789.60333254999966</v>
      </c>
      <c r="K46" s="5">
        <f t="shared" si="13"/>
        <v>6.8714498695929205</v>
      </c>
      <c r="L46" s="5">
        <f t="shared" si="14"/>
        <v>2.3045938128284673</v>
      </c>
    </row>
    <row r="47" spans="2:12" ht="14.1" customHeight="1">
      <c r="B47" s="210" t="str">
        <f>IF(Indice_index!$Z$1=1,"Abonos variáveis ou eventuais","Variable or contingent bonuses")</f>
        <v>Abonos variáveis ou eventuais</v>
      </c>
      <c r="C47" s="5">
        <v>38.488878030000002</v>
      </c>
      <c r="D47" s="5">
        <v>43.088278189999997</v>
      </c>
      <c r="E47" s="5">
        <f t="shared" si="11"/>
        <v>11.949946050427894</v>
      </c>
      <c r="F47" s="5">
        <v>44.147988049999981</v>
      </c>
      <c r="G47" s="5">
        <v>58.15046405999999</v>
      </c>
      <c r="H47" s="5">
        <f t="shared" si="12"/>
        <v>31.717132826396188</v>
      </c>
      <c r="I47" s="5">
        <v>82.63686607999999</v>
      </c>
      <c r="J47" s="5">
        <v>101.23874225000003</v>
      </c>
      <c r="K47" s="5">
        <f t="shared" si="13"/>
        <v>22.510384350722756</v>
      </c>
      <c r="L47" s="5">
        <f t="shared" si="14"/>
        <v>0.84441411996639315</v>
      </c>
    </row>
    <row r="48" spans="2:12" ht="14.1" customHeight="1">
      <c r="B48" s="210" t="str">
        <f>IF(Indice_index!$Z$1=1,"Segurança Social","Social security")</f>
        <v>Segurança Social</v>
      </c>
      <c r="C48" s="5">
        <v>91.06308460000001</v>
      </c>
      <c r="D48" s="5">
        <v>98.412141680000033</v>
      </c>
      <c r="E48" s="5">
        <f t="shared" si="11"/>
        <v>8.070292272967901</v>
      </c>
      <c r="F48" s="5">
        <v>97.051771950000003</v>
      </c>
      <c r="G48" s="5">
        <v>101.26117345999999</v>
      </c>
      <c r="H48" s="5">
        <f t="shared" si="12"/>
        <v>4.3372742459237417</v>
      </c>
      <c r="I48" s="5">
        <v>188.11485654999998</v>
      </c>
      <c r="J48" s="5">
        <v>199.67331514000006</v>
      </c>
      <c r="K48" s="5">
        <f t="shared" si="13"/>
        <v>6.1443624400435866</v>
      </c>
      <c r="L48" s="5">
        <f t="shared" si="14"/>
        <v>0.52468501291194691</v>
      </c>
    </row>
    <row r="49" spans="2:12" ht="14.1" customHeight="1">
      <c r="B49" s="150" t="str">
        <f>IF(Indice_index!$Z$1=1,"Aquisição de bens e serviços","Purchase of goods and services")</f>
        <v>Aquisição de bens e serviços</v>
      </c>
      <c r="C49" s="5">
        <v>235.60571435000008</v>
      </c>
      <c r="D49" s="5">
        <v>314.85024680999993</v>
      </c>
      <c r="E49" s="5">
        <f t="shared" si="11"/>
        <v>33.634384751075892</v>
      </c>
      <c r="F49" s="5">
        <v>249.74928074999997</v>
      </c>
      <c r="G49" s="5">
        <v>289.71793442000001</v>
      </c>
      <c r="H49" s="5">
        <f t="shared" si="12"/>
        <v>16.003511021122346</v>
      </c>
      <c r="I49" s="5">
        <v>485.3549951</v>
      </c>
      <c r="J49" s="5">
        <v>604.56818123000016</v>
      </c>
      <c r="K49" s="5">
        <f t="shared" si="13"/>
        <v>24.562060210266942</v>
      </c>
      <c r="L49" s="5">
        <f t="shared" si="14"/>
        <v>5.4115669158523225</v>
      </c>
    </row>
    <row r="50" spans="2:12" ht="14.1" customHeight="1">
      <c r="B50" s="150" t="str">
        <f>IF(Indice_index!$Z$1=1,"Juros e outros encargos","Interests and other charges")</f>
        <v>Juros e outros encargos</v>
      </c>
      <c r="C50" s="5">
        <v>43.361233050000003</v>
      </c>
      <c r="D50" s="5">
        <v>54.070989910000002</v>
      </c>
      <c r="E50" s="5">
        <f t="shared" si="11"/>
        <v>24.698921379035827</v>
      </c>
      <c r="F50" s="5">
        <v>88.630760759999987</v>
      </c>
      <c r="G50" s="5">
        <v>93.453005750000003</v>
      </c>
      <c r="H50" s="5">
        <f t="shared" si="12"/>
        <v>5.4408254523031765</v>
      </c>
      <c r="I50" s="5">
        <v>131.99199380999997</v>
      </c>
      <c r="J50" s="5">
        <v>147.52399566</v>
      </c>
      <c r="K50" s="5">
        <f t="shared" si="13"/>
        <v>11.767381794654954</v>
      </c>
      <c r="L50" s="5">
        <f t="shared" si="14"/>
        <v>0.70506015380512765</v>
      </c>
    </row>
    <row r="51" spans="2:12" ht="14.1" customHeight="1">
      <c r="B51" s="150" t="str">
        <f>IF(Indice_index!$Z$1=1,"Transferências correntes","Current transfers")</f>
        <v>Transferências correntes</v>
      </c>
      <c r="C51" s="5">
        <f>+C52+C53</f>
        <v>91.239394899999994</v>
      </c>
      <c r="D51" s="5">
        <f>+D52+D53</f>
        <v>95.806680060000005</v>
      </c>
      <c r="E51" s="5">
        <f t="shared" si="11"/>
        <v>5.0058257894036204</v>
      </c>
      <c r="F51" s="5">
        <f>+F52+F53</f>
        <v>93.3628705</v>
      </c>
      <c r="G51" s="5">
        <f>+G52+G53</f>
        <v>93.255235140000011</v>
      </c>
      <c r="H51" s="5">
        <f t="shared" si="12"/>
        <v>-0.11528711512783776</v>
      </c>
      <c r="I51" s="5">
        <f>+I52+I53</f>
        <v>184.60226540000002</v>
      </c>
      <c r="J51" s="5">
        <f>+J52+J53</f>
        <v>189.06191520000002</v>
      </c>
      <c r="K51" s="5">
        <f t="shared" si="13"/>
        <v>2.4158153153411916</v>
      </c>
      <c r="L51" s="5">
        <f t="shared" si="14"/>
        <v>0.20244147562376169</v>
      </c>
    </row>
    <row r="52" spans="2:12" ht="14.1" customHeight="1">
      <c r="B52" s="210" t="str">
        <f>IF(Indice_index!$Z$1=1,"Administrações Públicas","General Government")</f>
        <v>Administrações Públicas</v>
      </c>
      <c r="C52" s="5">
        <v>3.4546144999999999</v>
      </c>
      <c r="D52" s="5">
        <v>1.9659906600000001</v>
      </c>
      <c r="E52" s="5">
        <f t="shared" si="11"/>
        <v>-43.090881486197659</v>
      </c>
      <c r="F52" s="5">
        <v>1.6976411499999999</v>
      </c>
      <c r="G52" s="5">
        <v>1.9792988200000001</v>
      </c>
      <c r="H52" s="5">
        <f t="shared" si="12"/>
        <v>16.591119389395114</v>
      </c>
      <c r="I52" s="5">
        <v>5.1522556499999999</v>
      </c>
      <c r="J52" s="5">
        <v>3.9452894800000005</v>
      </c>
      <c r="K52" s="5">
        <f t="shared" si="13"/>
        <v>-23.425975960645498</v>
      </c>
      <c r="L52" s="5">
        <f t="shared" si="14"/>
        <v>-5.478905820873204E-2</v>
      </c>
    </row>
    <row r="53" spans="2:12" ht="14.1" customHeight="1">
      <c r="B53" s="210" t="str">
        <f>IF(Indice_index!$Z$1=1,"Outras transferências","Other transfers")</f>
        <v>Outras transferências</v>
      </c>
      <c r="C53" s="5">
        <v>87.784780399999988</v>
      </c>
      <c r="D53" s="5">
        <v>93.840689400000002</v>
      </c>
      <c r="E53" s="5">
        <f t="shared" si="11"/>
        <v>6.8985864889171769</v>
      </c>
      <c r="F53" s="5">
        <v>91.665229350000004</v>
      </c>
      <c r="G53" s="5">
        <v>91.275936320000014</v>
      </c>
      <c r="H53" s="5">
        <f t="shared" si="12"/>
        <v>-0.42468996451596219</v>
      </c>
      <c r="I53" s="5">
        <v>179.45000975000002</v>
      </c>
      <c r="J53" s="5">
        <v>185.11662572</v>
      </c>
      <c r="K53" s="5">
        <f t="shared" si="13"/>
        <v>3.1577685495221766</v>
      </c>
      <c r="L53" s="5">
        <f t="shared" si="14"/>
        <v>0.25723053383249317</v>
      </c>
    </row>
    <row r="54" spans="2:12" ht="14.1" customHeight="1">
      <c r="B54" s="150" t="str">
        <f>IF(Indice_index!$Z$1=1,"Subsídios","Subsidies")</f>
        <v>Subsídios</v>
      </c>
      <c r="C54" s="5">
        <v>22.207666660000001</v>
      </c>
      <c r="D54" s="5">
        <v>19.183070129999994</v>
      </c>
      <c r="E54" s="5">
        <f t="shared" si="11"/>
        <v>-13.619605230511899</v>
      </c>
      <c r="F54" s="5">
        <v>20.46030532</v>
      </c>
      <c r="G54" s="5">
        <v>26.924204560000003</v>
      </c>
      <c r="H54" s="5">
        <f t="shared" si="12"/>
        <v>31.592388964408684</v>
      </c>
      <c r="I54" s="5">
        <v>42.667971979999997</v>
      </c>
      <c r="J54" s="5">
        <v>46.107274690000004</v>
      </c>
      <c r="K54" s="5">
        <f t="shared" si="13"/>
        <v>8.0606191257745525</v>
      </c>
      <c r="L54" s="5">
        <f t="shared" si="14"/>
        <v>0.1561238094814541</v>
      </c>
    </row>
    <row r="55" spans="2:12" ht="14.1" customHeight="1">
      <c r="B55" s="150" t="str">
        <f>IF(Indice_index!$Z$1=1,"Outras despesas correntes","Other current expenditure")</f>
        <v>Outras despesas correntes</v>
      </c>
      <c r="C55" s="5">
        <v>12.710034690000001</v>
      </c>
      <c r="D55" s="5">
        <v>13.670411039999999</v>
      </c>
      <c r="E55" s="5">
        <f t="shared" si="11"/>
        <v>7.5560482203530386</v>
      </c>
      <c r="F55" s="5">
        <v>2.4329315199999999</v>
      </c>
      <c r="G55" s="5">
        <v>1.9798459700000002</v>
      </c>
      <c r="H55" s="5">
        <f t="shared" si="12"/>
        <v>-18.623029307458673</v>
      </c>
      <c r="I55" s="5">
        <v>15.142966209999999</v>
      </c>
      <c r="J55" s="5">
        <v>15.650257009999999</v>
      </c>
      <c r="K55" s="5">
        <f t="shared" si="13"/>
        <v>3.3500094563045311</v>
      </c>
      <c r="L55" s="5">
        <f t="shared" si="14"/>
        <v>2.3027973658908973E-2</v>
      </c>
    </row>
    <row r="56" spans="2:12" ht="14.1" customHeight="1">
      <c r="B56" s="150" t="str">
        <f>IF(Indice_index!$Z$1=1,"Diferenças de consolidação","Consolidation differences")</f>
        <v>Diferenças de consolidação</v>
      </c>
      <c r="C56" s="5">
        <v>0.5</v>
      </c>
      <c r="D56" s="5">
        <v>0.68733567999993284</v>
      </c>
      <c r="E56" s="5"/>
      <c r="F56" s="5">
        <v>1.8920000000000002E-5</v>
      </c>
      <c r="G56" s="5">
        <v>4.3229599999999998E-3</v>
      </c>
      <c r="H56" s="5"/>
      <c r="I56" s="5">
        <v>1.8920000000000002E-5</v>
      </c>
      <c r="J56" s="5">
        <v>4.3229599999999998E-3</v>
      </c>
      <c r="K56" s="5"/>
      <c r="L56" s="5">
        <f t="shared" si="14"/>
        <v>1.9537771973568335E-4</v>
      </c>
    </row>
    <row r="57" spans="2:12" ht="14.1" customHeight="1">
      <c r="B57" s="212" t="str">
        <f>IF(Indice_index!$Z$1=1,"Despesa de capital","Capital expenditure")</f>
        <v>Despesa de capital</v>
      </c>
      <c r="C57" s="161">
        <f>+C58+C59+C62+C63</f>
        <v>210.25184783999998</v>
      </c>
      <c r="D57" s="161">
        <f>+D58+D59+D62+D63</f>
        <v>228.11641138000005</v>
      </c>
      <c r="E57" s="161">
        <f t="shared" ref="E57:E62" si="15">IFERROR(IF(ABS((D57-C57)/C57)*100&gt;500,"-",((D57-C57)/C57)*100),0)</f>
        <v>8.4967450814486334</v>
      </c>
      <c r="F57" s="161">
        <f>+F58+F59+F62+F63</f>
        <v>123.33440562000003</v>
      </c>
      <c r="G57" s="161">
        <f>+G58+G59+G62+G63</f>
        <v>105.69408405</v>
      </c>
      <c r="H57" s="161">
        <f t="shared" ref="H57:H62" si="16">IFERROR(IF(ABS((G57-F57)/F57)*100&gt;500,"-",((G57-F57)/F57)*100),0)</f>
        <v>-14.302839083159657</v>
      </c>
      <c r="I57" s="161">
        <f>+I58+I59+I62+I63</f>
        <v>333.58625345999991</v>
      </c>
      <c r="J57" s="161">
        <f>+J58+J59+J62+J63</f>
        <v>333.81049542999995</v>
      </c>
      <c r="K57" s="161">
        <f t="shared" ref="K57:K62" si="17">IFERROR(IF(ABS((J57-I57)/I57)*100&gt;500,"-",((J57-I57)/I57)*100),0)</f>
        <v>6.7221585923931237E-2</v>
      </c>
      <c r="L57" s="161">
        <f t="shared" si="14"/>
        <v>1.0179246653758963E-2</v>
      </c>
    </row>
    <row r="58" spans="2:12" ht="14.1" customHeight="1">
      <c r="B58" s="150" t="str">
        <f>IF(Indice_index!$Z$1=1,"Aquisição de bens de capital","Purchase of capital goods")</f>
        <v>Aquisição de bens de capital</v>
      </c>
      <c r="C58" s="5">
        <v>55.6178831</v>
      </c>
      <c r="D58" s="5">
        <v>57.299931600000008</v>
      </c>
      <c r="E58" s="5">
        <f t="shared" si="15"/>
        <v>3.0242943568630851</v>
      </c>
      <c r="F58" s="5">
        <v>95.866641140000013</v>
      </c>
      <c r="G58" s="5">
        <v>91.385636259999998</v>
      </c>
      <c r="H58" s="5">
        <f t="shared" si="16"/>
        <v>-4.6742066131806208</v>
      </c>
      <c r="I58" s="5">
        <v>151.48452423999993</v>
      </c>
      <c r="J58" s="5">
        <v>148.68556785999999</v>
      </c>
      <c r="K58" s="5">
        <f t="shared" si="17"/>
        <v>-1.8476847018151463</v>
      </c>
      <c r="L58" s="5">
        <f t="shared" si="14"/>
        <v>-0.12705590913746861</v>
      </c>
    </row>
    <row r="59" spans="2:12" ht="14.1" customHeight="1">
      <c r="B59" s="150" t="str">
        <f>IF(Indice_index!$Z$1=1,"Transferências de capital","Capital transfers")</f>
        <v>Transferências de capital</v>
      </c>
      <c r="C59" s="5">
        <f>+C60+C61</f>
        <v>154.40603973999998</v>
      </c>
      <c r="D59" s="5">
        <f>+D60+D61</f>
        <v>169.99027978000004</v>
      </c>
      <c r="E59" s="5">
        <f t="shared" si="15"/>
        <v>10.093024901255108</v>
      </c>
      <c r="F59" s="5">
        <f>+F60+F61</f>
        <v>27.459508870000001</v>
      </c>
      <c r="G59" s="5">
        <f>+G60+G61</f>
        <v>14.308447789999999</v>
      </c>
      <c r="H59" s="5">
        <f t="shared" si="16"/>
        <v>-47.892557519001258</v>
      </c>
      <c r="I59" s="5">
        <f>+I60+I61</f>
        <v>181.86554860999996</v>
      </c>
      <c r="J59" s="5">
        <f>+J60+J61</f>
        <v>184.29872756999998</v>
      </c>
      <c r="K59" s="5">
        <f t="shared" si="17"/>
        <v>1.3378998818615342</v>
      </c>
      <c r="L59" s="5">
        <f t="shared" si="14"/>
        <v>0.1104517980580212</v>
      </c>
    </row>
    <row r="60" spans="2:12" ht="14.1" customHeight="1">
      <c r="B60" s="210" t="str">
        <f>IF(Indice_index!$Z$1=1,"Administrações Públicas","General Government")</f>
        <v>Administrações Públicas</v>
      </c>
      <c r="C60" s="5">
        <v>9.3363749699999996</v>
      </c>
      <c r="D60" s="5">
        <v>4.8682579000000006</v>
      </c>
      <c r="E60" s="5">
        <f t="shared" si="15"/>
        <v>-47.85708676394345</v>
      </c>
      <c r="F60" s="5">
        <v>5.8762804400000004</v>
      </c>
      <c r="G60" s="5">
        <v>7.5975915199999999</v>
      </c>
      <c r="H60" s="5">
        <f t="shared" si="16"/>
        <v>29.292527774593403</v>
      </c>
      <c r="I60" s="5">
        <v>15.21265541</v>
      </c>
      <c r="J60" s="5">
        <v>12.46584942</v>
      </c>
      <c r="K60" s="5">
        <f t="shared" si="17"/>
        <v>-18.056058695672515</v>
      </c>
      <c r="L60" s="5">
        <f t="shared" si="14"/>
        <v>-0.12468859278317961</v>
      </c>
    </row>
    <row r="61" spans="2:12" ht="14.1" customHeight="1">
      <c r="B61" s="210" t="str">
        <f>IF(Indice_index!$Z$1=1,"Outras transferências","Other transfers")</f>
        <v>Outras transferências</v>
      </c>
      <c r="C61" s="5">
        <v>145.06966476999997</v>
      </c>
      <c r="D61" s="5">
        <v>165.12202188000003</v>
      </c>
      <c r="E61" s="5">
        <f t="shared" si="15"/>
        <v>13.822570791620686</v>
      </c>
      <c r="F61" s="5">
        <v>21.583228430000002</v>
      </c>
      <c r="G61" s="5">
        <v>6.7108562699999998</v>
      </c>
      <c r="H61" s="5">
        <f t="shared" si="16"/>
        <v>-68.907078513462224</v>
      </c>
      <c r="I61" s="5">
        <v>166.65289319999997</v>
      </c>
      <c r="J61" s="5">
        <v>171.83287814999997</v>
      </c>
      <c r="K61" s="5">
        <f t="shared" si="17"/>
        <v>3.1082478380879417</v>
      </c>
      <c r="L61" s="5">
        <f t="shared" si="14"/>
        <v>0.23514039084120011</v>
      </c>
    </row>
    <row r="62" spans="2:12" ht="14.1" customHeight="1">
      <c r="B62" s="150" t="str">
        <f>IF(Indice_index!$Z$1=1,"Outras despesas de capital","Other capital expenditure")</f>
        <v>Outras despesas de capital</v>
      </c>
      <c r="C62" s="5">
        <v>0.22792499999999999</v>
      </c>
      <c r="D62" s="5">
        <v>0.82620000000000005</v>
      </c>
      <c r="E62" s="5">
        <f t="shared" si="15"/>
        <v>262.4876604146101</v>
      </c>
      <c r="F62" s="5">
        <v>8.25561E-3</v>
      </c>
      <c r="G62" s="5">
        <v>0</v>
      </c>
      <c r="H62" s="5">
        <f t="shared" si="16"/>
        <v>-100</v>
      </c>
      <c r="I62" s="5">
        <v>0.23618060999999999</v>
      </c>
      <c r="J62" s="5">
        <v>0.82620000000000005</v>
      </c>
      <c r="K62" s="5">
        <f t="shared" si="17"/>
        <v>249.81703197396268</v>
      </c>
      <c r="L62" s="5">
        <f t="shared" si="14"/>
        <v>2.678335773320854E-2</v>
      </c>
    </row>
    <row r="63" spans="2:12" ht="14.1" customHeight="1">
      <c r="B63" s="150" t="str">
        <f>IF(Indice_index!$Z$1=1,"Diferenças de consolidação","Consolidation differences")</f>
        <v>Diferenças de consolidação</v>
      </c>
      <c r="C63" s="5">
        <v>0</v>
      </c>
      <c r="D63" s="5">
        <v>0</v>
      </c>
      <c r="E63" s="5"/>
      <c r="F63" s="5">
        <v>0</v>
      </c>
      <c r="G63" s="5">
        <v>0</v>
      </c>
      <c r="H63" s="5"/>
      <c r="I63" s="5">
        <v>0</v>
      </c>
      <c r="J63" s="5">
        <v>0</v>
      </c>
      <c r="K63" s="5"/>
      <c r="L63" s="5"/>
    </row>
    <row r="64" spans="2:12" ht="14.1" customHeight="1">
      <c r="B64" s="32" t="str">
        <f>IF(Indice_index!$Z$1=1,"Despesa efetiva","Effective expenditure")</f>
        <v>Despesa efetiva</v>
      </c>
      <c r="C64" s="19">
        <f>+C57+C44</f>
        <v>1093.36982446</v>
      </c>
      <c r="D64" s="19">
        <f>+D57+D44</f>
        <v>1244.2597915799997</v>
      </c>
      <c r="E64" s="19">
        <f>IFERROR(IF(ABS((D64-C64)/C64)*100&gt;500,"-",((D64-C64)/C64)*100),0)</f>
        <v>13.800451022555169</v>
      </c>
      <c r="F64" s="19">
        <f>+F57+F44</f>
        <v>1110.0630410799999</v>
      </c>
      <c r="G64" s="19">
        <f>+G57+G44</f>
        <v>1183.6693762199998</v>
      </c>
      <c r="H64" s="19">
        <f>IFERROR(IF(ABS((G64-F64)/F64)*100&gt;500,"-",((G64-F64)/F64)*100),0)</f>
        <v>6.6308247744548741</v>
      </c>
      <c r="I64" s="19">
        <f>+I57+I44</f>
        <v>2202.93286554</v>
      </c>
      <c r="J64" s="19">
        <f>+J57+J44</f>
        <v>2427.2418321200003</v>
      </c>
      <c r="K64" s="19">
        <f>IFERROR(IF(ABS((J64-I64)/I64)*100&gt;500,"-",((J64-I64)/I64)*100),0)</f>
        <v>10.182287898501889</v>
      </c>
      <c r="L64" s="19"/>
    </row>
    <row r="65" spans="2:12" ht="14.1" customHeight="1">
      <c r="B65" s="32" t="str">
        <f>IF(Indice_index!$Z$1=1,"Saldo global","Overall balance")</f>
        <v>Saldo global</v>
      </c>
      <c r="C65" s="19">
        <f>+C43-C64</f>
        <v>-133.99955458999989</v>
      </c>
      <c r="D65" s="19">
        <f>+D43-D64</f>
        <v>-137.05485832999966</v>
      </c>
      <c r="E65" s="19"/>
      <c r="F65" s="19">
        <f>+F43-F64</f>
        <v>27.46105032000014</v>
      </c>
      <c r="G65" s="19">
        <f>+G43-G64</f>
        <v>164.99638628000025</v>
      </c>
      <c r="H65" s="19"/>
      <c r="I65" s="19">
        <f>+I43-I64</f>
        <v>-106.53850426999952</v>
      </c>
      <c r="J65" s="19">
        <f>+J43-J64</f>
        <v>27.941527949999454</v>
      </c>
      <c r="K65" s="19"/>
      <c r="L65" s="19"/>
    </row>
    <row r="66" spans="2:12" ht="14.1" customHeight="1">
      <c r="B66" s="210" t="str">
        <f>IF(Indice_index!$Z$1=1,"Despesa primária","Primary Expenditure")</f>
        <v>Despesa primária</v>
      </c>
      <c r="C66" s="5">
        <f>+C64-C50</f>
        <v>1050.00859141</v>
      </c>
      <c r="D66" s="5">
        <f>+D64-D50</f>
        <v>1190.1888016699997</v>
      </c>
      <c r="E66" s="5">
        <f>IFERROR(IF(ABS((D66-C66)/C66)*100&gt;500,"-",((D66-C66)/C66)*100),0)</f>
        <v>13.35038697843027</v>
      </c>
      <c r="F66" s="5">
        <f>+F64-F50</f>
        <v>1021.43228032</v>
      </c>
      <c r="G66" s="5">
        <f>+G64-G50</f>
        <v>1090.2163704699997</v>
      </c>
      <c r="H66" s="5">
        <f>IFERROR(IF(ABS((G66-F66)/F66)*100&gt;500,"-",((G66-F66)/F66)*100),0)</f>
        <v>6.734082275963571</v>
      </c>
      <c r="I66" s="5">
        <f>+I64-I50</f>
        <v>2070.9408717299998</v>
      </c>
      <c r="J66" s="5">
        <f>+J64-J50</f>
        <v>2279.7178364600004</v>
      </c>
      <c r="K66" s="5">
        <f>IFERROR(IF(ABS((J66-I66)/I66)*100&gt;500,"-",((J66-I66)/I66)*100),0)</f>
        <v>10.081261497127864</v>
      </c>
      <c r="L66" s="5"/>
    </row>
    <row r="67" spans="2:12" ht="14.1" customHeight="1">
      <c r="B67" s="210" t="str">
        <f>IF(Indice_index!$Z$1=1,"Saldo primário","Primary balance")</f>
        <v>Saldo primário</v>
      </c>
      <c r="C67" s="5">
        <f>+C65+C50</f>
        <v>-90.638321539999879</v>
      </c>
      <c r="D67" s="5">
        <f>+D65+D50</f>
        <v>-82.983868419999652</v>
      </c>
      <c r="E67" s="5"/>
      <c r="F67" s="5">
        <f>+F65+F50</f>
        <v>116.09181108000013</v>
      </c>
      <c r="G67" s="5">
        <f>+G65+G50</f>
        <v>258.44939203000024</v>
      </c>
      <c r="H67" s="5"/>
      <c r="I67" s="5">
        <f>+I65+I50</f>
        <v>25.453489540000447</v>
      </c>
      <c r="J67" s="5">
        <f>+J65+J50</f>
        <v>175.46552360999945</v>
      </c>
      <c r="K67" s="5"/>
      <c r="L67" s="5"/>
    </row>
    <row r="68" spans="2:12" ht="14.1" customHeight="1">
      <c r="B68" s="210" t="str">
        <f>IF(Indice_index!$Z$1=1,"Saldo corrente","Current balance")</f>
        <v>Saldo corrente</v>
      </c>
      <c r="C68" s="5">
        <f>+C13-C44</f>
        <v>-70.738067489999935</v>
      </c>
      <c r="D68" s="5">
        <f>+D13-D44</f>
        <v>-127.10860250999986</v>
      </c>
      <c r="E68" s="5"/>
      <c r="F68" s="5">
        <f>+F13-F44</f>
        <v>73.277333930000168</v>
      </c>
      <c r="G68" s="5">
        <f>+G13-G44</f>
        <v>159.54653836000011</v>
      </c>
      <c r="H68" s="5"/>
      <c r="I68" s="5">
        <f>+I13-I44</f>
        <v>2.5392664400003468</v>
      </c>
      <c r="J68" s="5">
        <f>+J13-J44</f>
        <v>32.437935849999576</v>
      </c>
      <c r="K68" s="5"/>
      <c r="L68" s="5"/>
    </row>
    <row r="69" spans="2:12" ht="14.1" customHeight="1">
      <c r="B69" s="210" t="str">
        <f>IF(Indice_index!$Z$1=1,"Saldo de capital","Capital balance")</f>
        <v>Saldo de capital</v>
      </c>
      <c r="C69" s="5">
        <f>+C32-C57</f>
        <v>-63.261487100000011</v>
      </c>
      <c r="D69" s="5">
        <f>+D32-D57</f>
        <v>-9.9462558200000046</v>
      </c>
      <c r="E69" s="5"/>
      <c r="F69" s="5">
        <f>+F32-F57</f>
        <v>-45.816283610000013</v>
      </c>
      <c r="G69" s="5">
        <f>+G32-G57</f>
        <v>5.4498479199999963</v>
      </c>
      <c r="H69" s="5"/>
      <c r="I69" s="5">
        <f>+I32-I57</f>
        <v>-109.07777070999992</v>
      </c>
      <c r="J69" s="5">
        <f>+J32-J57</f>
        <v>-4.4964079000000083</v>
      </c>
      <c r="K69" s="5"/>
      <c r="L69" s="5"/>
    </row>
    <row r="70" spans="2:12" ht="14.1" customHeight="1">
      <c r="B70" s="150" t="str">
        <f>IF(Indice_index!$Z$1=1,"Ativos financeiros líquidos de reembolsos","Financial assets net of reimbursements")</f>
        <v>Ativos financeiros líquidos de reembolsos</v>
      </c>
      <c r="C70" s="5">
        <v>-1.1394719900000001</v>
      </c>
      <c r="D70" s="5">
        <v>-5.3969434399999994</v>
      </c>
      <c r="E70" s="5"/>
      <c r="F70" s="5">
        <v>4.7835464200000004</v>
      </c>
      <c r="G70" s="5">
        <v>-0.61486611000000124</v>
      </c>
      <c r="H70" s="5"/>
      <c r="I70" s="5">
        <v>3.691406439999998</v>
      </c>
      <c r="J70" s="5">
        <v>-6.0118095500000024</v>
      </c>
      <c r="K70" s="5"/>
      <c r="L70" s="5"/>
    </row>
    <row r="71" spans="2:12" ht="14.1" customHeight="1">
      <c r="B71" s="210" t="str">
        <f>IF(Indice_index!$Z$1=1,"dos quais Receitas de:","of which Revenues of")</f>
        <v>dos quais Receitas de:</v>
      </c>
      <c r="C71" s="5"/>
      <c r="D71" s="5"/>
      <c r="E71" s="5"/>
      <c r="F71" s="5"/>
      <c r="G71" s="5"/>
      <c r="H71" s="5"/>
      <c r="I71" s="5"/>
      <c r="J71" s="5"/>
      <c r="K71" s="5"/>
      <c r="L71" s="5"/>
    </row>
    <row r="72" spans="2:12" ht="14.1" customHeight="1">
      <c r="B72" s="210" t="str">
        <f>IF(Indice_index!$Z$1=1,"Alienação de partes de capital","Divestment of company shares")</f>
        <v>Alienação de partes de capital</v>
      </c>
      <c r="C72" s="5">
        <v>0</v>
      </c>
      <c r="D72" s="5">
        <v>0</v>
      </c>
      <c r="E72" s="5"/>
      <c r="F72" s="5">
        <v>0</v>
      </c>
      <c r="G72" s="5">
        <v>0</v>
      </c>
      <c r="H72" s="5"/>
      <c r="I72" s="5">
        <v>0</v>
      </c>
      <c r="J72" s="5">
        <v>0</v>
      </c>
      <c r="K72" s="5"/>
      <c r="L72" s="5"/>
    </row>
    <row r="73" spans="2:12" ht="14.1" customHeight="1">
      <c r="B73" s="210" t="str">
        <f>IF(Indice_index!$Z$1=1,"Outros ativos","Other Financial assets")</f>
        <v>Outros ativos</v>
      </c>
      <c r="C73" s="5">
        <v>1.3495849600000001</v>
      </c>
      <c r="D73" s="5">
        <v>6.4691593099999993</v>
      </c>
      <c r="E73" s="5"/>
      <c r="F73" s="5">
        <v>20.32742459</v>
      </c>
      <c r="G73" s="5">
        <v>16.169211369999999</v>
      </c>
      <c r="H73" s="5"/>
      <c r="I73" s="5">
        <v>21.629677540000003</v>
      </c>
      <c r="J73" s="5">
        <v>22.638370680000001</v>
      </c>
      <c r="K73" s="5"/>
      <c r="L73" s="5"/>
    </row>
    <row r="74" spans="2:12" ht="14.1" customHeight="1">
      <c r="B74" s="150" t="str">
        <f>IF(Indice_index!$Z$1=1,"Passivos financeiros líquidos de amortizações","Financial liabilities net of amortizations")</f>
        <v>Passivos financeiros líquidos de amortizações</v>
      </c>
      <c r="C74" s="5">
        <v>47.382879630000019</v>
      </c>
      <c r="D74" s="5">
        <v>97.48573632999998</v>
      </c>
      <c r="E74" s="5"/>
      <c r="F74" s="5">
        <v>114.28209927</v>
      </c>
      <c r="G74" s="5">
        <v>31.289837049999988</v>
      </c>
      <c r="H74" s="5"/>
      <c r="I74" s="5">
        <v>161.71231091000004</v>
      </c>
      <c r="J74" s="5">
        <v>128.77557337999997</v>
      </c>
      <c r="K74" s="5"/>
      <c r="L74" s="5"/>
    </row>
    <row r="75" spans="2:12" ht="14.1" customHeight="1">
      <c r="B75" s="211" t="str">
        <f>IF(Indice_index!$Z$1=1,"Poupança (+) / Utilização (-) de saldo da gerência anterior","Saving (+) / Usage (-) of balance from previous management")</f>
        <v>Poupança (+) / Utilização (-) de saldo da gerência anterior</v>
      </c>
      <c r="C75" s="20">
        <f>+C65-C70+C74</f>
        <v>-85.477202969999865</v>
      </c>
      <c r="D75" s="20">
        <f>+D65-D70+D74</f>
        <v>-34.172178559999679</v>
      </c>
      <c r="E75" s="20"/>
      <c r="F75" s="20">
        <f>+F65-F70+F74</f>
        <v>136.95960317000015</v>
      </c>
      <c r="G75" s="20">
        <f>+G65-G70+G74</f>
        <v>196.90108944000025</v>
      </c>
      <c r="H75" s="20"/>
      <c r="I75" s="20">
        <f>+I65-I70+I74</f>
        <v>51.482400200000527</v>
      </c>
      <c r="J75" s="20">
        <f>+J65-J70+J74</f>
        <v>162.72891087999943</v>
      </c>
      <c r="K75" s="20"/>
      <c r="L75" s="20"/>
    </row>
    <row r="76" spans="2:12">
      <c r="B76" s="207"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81"/>
      <c r="D76" s="274"/>
      <c r="E76" s="81"/>
      <c r="F76" s="81"/>
      <c r="G76" s="81"/>
      <c r="H76" s="81"/>
      <c r="I76" s="81"/>
      <c r="J76" s="81"/>
      <c r="K76" s="81"/>
      <c r="L76" s="81"/>
    </row>
    <row r="77" spans="2:12"/>
  </sheetData>
  <mergeCells count="7">
    <mergeCell ref="B10:B12"/>
    <mergeCell ref="C10:E10"/>
    <mergeCell ref="F10:H10"/>
    <mergeCell ref="I10:L10"/>
    <mergeCell ref="C11:E11"/>
    <mergeCell ref="F11:H11"/>
    <mergeCell ref="I11:L11"/>
  </mergeCells>
  <conditionalFormatting sqref="C13:L42">
    <cfRule type="cellIs" dxfId="63" priority="1" operator="equal">
      <formula>0</formula>
    </cfRule>
  </conditionalFormatting>
  <conditionalFormatting sqref="C44:L63">
    <cfRule type="cellIs" dxfId="62" priority="6" operator="equal">
      <formula>0</formula>
    </cfRule>
  </conditionalFormatting>
  <conditionalFormatting sqref="C66:L75">
    <cfRule type="cellIs" dxfId="61" priority="54"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H64 E66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61" customWidth="1"/>
    <col min="2" max="2" width="49.42578125" style="61" customWidth="1"/>
    <col min="3" max="6" width="9.5703125" style="61" customWidth="1"/>
    <col min="7" max="7" width="10.42578125" style="61" customWidth="1"/>
    <col min="8" max="15" width="0" hidden="1" customWidth="1"/>
    <col min="16" max="16384" width="9.42578125" hidden="1"/>
  </cols>
  <sheetData>
    <row r="1" spans="2:6" ht="14.85" customHeight="1"/>
    <row r="2" spans="2:6" ht="15"/>
    <row r="3" spans="2:6" ht="15"/>
    <row r="4" spans="2:6" ht="15"/>
    <row r="5" spans="2:6" ht="15"/>
    <row r="6" spans="2:6" ht="15"/>
    <row r="7" spans="2:6" ht="50.1" customHeight="1">
      <c r="B7" s="13"/>
      <c r="C7" s="14"/>
      <c r="D7" s="12"/>
      <c r="E7" s="12"/>
      <c r="F7" s="12"/>
    </row>
    <row r="8" spans="2:6" ht="15.75">
      <c r="B8" s="1" t="str">
        <f>IF(Indice_index!$Z$1=1,"Quadro 13 - Execução Orçamental dos Municípios","13 - Municipal Budget Execution")</f>
        <v>Quadro 13 - Execução Orçamental dos Municípios</v>
      </c>
      <c r="C8" s="2"/>
      <c r="D8" s="2"/>
      <c r="E8" s="2"/>
      <c r="F8" s="2"/>
    </row>
    <row r="9" spans="2:6" ht="15">
      <c r="B9" s="3" t="str">
        <f>+'3 - Conta AC + SS'!B9</f>
        <v>Período: janeiro a setembro</v>
      </c>
      <c r="C9" s="3"/>
      <c r="D9" s="3"/>
      <c r="E9" s="3"/>
      <c r="F9" s="3" t="str">
        <f>IF(Indice_index!$Z$1=1,"€ Milhões","€ Millions")</f>
        <v>€ Milhões</v>
      </c>
    </row>
    <row r="10" spans="2:6" ht="26.85" customHeight="1">
      <c r="B10" s="377"/>
      <c r="C10" s="378" t="str">
        <f>IF(Indice_index!$Z$1=1,"Execução Acumulada","Accumulated Execution")</f>
        <v>Execução Acumulada</v>
      </c>
      <c r="D10" s="375"/>
      <c r="E10" s="378" t="str">
        <f>IF(Indice_index!$Z$1=1,"Variação Homóloga Acumulada","YOY Change Rate")</f>
        <v>Variação Homóloga Acumulada</v>
      </c>
      <c r="F10" s="374"/>
    </row>
    <row r="11" spans="2:6" ht="26.85" customHeight="1">
      <c r="B11" s="376"/>
      <c r="C11" s="24">
        <v>2023</v>
      </c>
      <c r="D11" s="24">
        <v>2024</v>
      </c>
      <c r="E11" s="24" t="str">
        <f>IF(Indice_index!$Z$1=1,"TVHA (%)","YOY Change Rate (%)")</f>
        <v>TVHA (%)</v>
      </c>
      <c r="F11" s="24" t="str">
        <f>IF(Indice_index!$Z$1=1,"Contributo    VHA (pp)","YOY Change Contrib. (pp)")</f>
        <v>Contributo    VHA (pp)</v>
      </c>
    </row>
    <row r="12" spans="2:6" ht="14.1" customHeight="1">
      <c r="B12" s="212" t="str">
        <f>IF(Indice_index!$Z$1=1,"Receita corrente","Current revenue")</f>
        <v>Receita corrente</v>
      </c>
      <c r="C12" s="161">
        <f>+C13+C21+C22+C33</f>
        <v>7400.5403920297358</v>
      </c>
      <c r="D12" s="161">
        <f>+D13+D21+D22+D33</f>
        <v>8050.8390204819243</v>
      </c>
      <c r="E12" s="161">
        <f t="shared" ref="E12:E23" si="0">IFERROR(IF(ABS((D12-C12)/C12)*100&gt;500,"-",((D12-C12)/C12)*100),0)</f>
        <v>8.7871776114153732</v>
      </c>
      <c r="F12" s="161">
        <f>IFERROR((D12-C12)/C46*100,"-")</f>
        <v>7.8626911459426045</v>
      </c>
    </row>
    <row r="13" spans="2:6" ht="14.1" customHeight="1">
      <c r="B13" s="150" t="str">
        <f>IF(Indice_index!$Z$1=1,"Receita fiscal","Tax income")</f>
        <v>Receita fiscal</v>
      </c>
      <c r="C13" s="5">
        <f>+C14+C20</f>
        <v>2938.8166482814718</v>
      </c>
      <c r="D13" s="5">
        <f>+D14+D20</f>
        <v>2949.5028958207763</v>
      </c>
      <c r="E13" s="5">
        <f t="shared" si="0"/>
        <v>0.3636241663988638</v>
      </c>
      <c r="F13" s="5">
        <f>IFERROR((D13-C13)/C46*100,"-")</f>
        <v>0.12920627575461391</v>
      </c>
    </row>
    <row r="14" spans="2:6" ht="14.1" customHeight="1">
      <c r="B14" s="210" t="str">
        <f>IF(Indice_index!$Z$1=1,"Impostos diretos","Direct taxes")</f>
        <v>Impostos diretos</v>
      </c>
      <c r="C14" s="5">
        <f>+C15+C16+C17+C18+C19</f>
        <v>2924.5798003205941</v>
      </c>
      <c r="D14" s="5">
        <f>+D15+D16+D17+D18+D19</f>
        <v>2932.9113688870598</v>
      </c>
      <c r="E14" s="5">
        <f t="shared" si="0"/>
        <v>0.28488087641008591</v>
      </c>
      <c r="F14" s="5">
        <f>IFERROR((D14-C14)/C46*100,"-")</f>
        <v>0.10073610420382353</v>
      </c>
    </row>
    <row r="15" spans="2:6" ht="14.1" customHeight="1">
      <c r="B15" s="300" t="str">
        <f>IF(Indice_index!$Z$1=1,"Imposto Municipal sobre Transmissões Onerosas de Imóveis","Property Transfer Tax")</f>
        <v>Imposto Municipal sobre Transmissões Onerosas de Imóveis</v>
      </c>
      <c r="C15" s="5">
        <v>1267.434653732068</v>
      </c>
      <c r="D15" s="5">
        <v>1238.4378824527471</v>
      </c>
      <c r="E15" s="5">
        <f t="shared" si="0"/>
        <v>-2.2878316601126123</v>
      </c>
      <c r="F15" s="5">
        <f>IFERROR((D15-C15)/C46*100,"-")</f>
        <v>-0.35059685938673624</v>
      </c>
    </row>
    <row r="16" spans="2:6" ht="14.1" customHeight="1">
      <c r="B16" s="300" t="str">
        <f>IF(Indice_index!$Z$1=1,"Imposto municipal sobre imóveis","Property Tax")</f>
        <v>Imposto municipal sobre imóveis</v>
      </c>
      <c r="C16" s="5">
        <v>1005.3970240355044</v>
      </c>
      <c r="D16" s="5">
        <v>1008.6627033024082</v>
      </c>
      <c r="E16" s="5">
        <f t="shared" si="0"/>
        <v>0.32481489290627674</v>
      </c>
      <c r="F16" s="5">
        <f>IFERROR((D16-C16)/C46*100,"-")</f>
        <v>3.9484978645100761E-2</v>
      </c>
    </row>
    <row r="17" spans="2:6" ht="14.1" customHeight="1">
      <c r="B17" s="300" t="str">
        <f>IF(Indice_index!$Z$1=1,"Imposto Único de Circulação","Municipal Vehicle Tax")</f>
        <v>Imposto Único de Circulação</v>
      </c>
      <c r="C17" s="5">
        <v>256.51032697302315</v>
      </c>
      <c r="D17" s="5">
        <v>263.48773292522287</v>
      </c>
      <c r="E17" s="5">
        <f t="shared" si="0"/>
        <v>2.720126723371072</v>
      </c>
      <c r="F17" s="5">
        <f>IFERROR((D17-C17)/C46*100,"-")</f>
        <v>8.4363068906643829E-2</v>
      </c>
    </row>
    <row r="18" spans="2:6" ht="14.1" customHeight="1">
      <c r="B18" s="300" t="str">
        <f>IF(Indice_index!$Z$1=1,"Derrama","Overtax")</f>
        <v>Derrama</v>
      </c>
      <c r="C18" s="5">
        <v>394.76692928999984</v>
      </c>
      <c r="D18" s="5">
        <v>422.01960583735945</v>
      </c>
      <c r="E18" s="5">
        <f t="shared" si="0"/>
        <v>6.9034852023634228</v>
      </c>
      <c r="F18" s="5">
        <f>IFERROR((D18-C18)/C46*100,"-")</f>
        <v>0.32950919657047445</v>
      </c>
    </row>
    <row r="19" spans="2:6" ht="14.1" customHeight="1">
      <c r="B19" s="300" t="str">
        <f>IF(Indice_index!$Z$1=1,"Outros ","Others")</f>
        <v xml:space="preserve">Outros </v>
      </c>
      <c r="C19" s="5">
        <v>0.47086628999875302</v>
      </c>
      <c r="D19" s="5">
        <v>0.30344436932170993</v>
      </c>
      <c r="E19" s="5">
        <f t="shared" si="0"/>
        <v>-35.556149215414521</v>
      </c>
      <c r="F19" s="5">
        <f>IFERROR((D19-C19)/C46*100,"-")</f>
        <v>-2.0242805316648084E-3</v>
      </c>
    </row>
    <row r="20" spans="2:6" ht="14.1" customHeight="1">
      <c r="B20" s="210" t="str">
        <f>IF(Indice_index!$Z$1=1,"Impostos indiretos","Indirect taxes")</f>
        <v>Impostos indiretos</v>
      </c>
      <c r="C20" s="5">
        <v>14.236847960877475</v>
      </c>
      <c r="D20" s="5">
        <v>16.591526933716395</v>
      </c>
      <c r="E20" s="5">
        <f t="shared" si="0"/>
        <v>16.539327941897835</v>
      </c>
      <c r="F20" s="5">
        <f>IFERROR((D20-C20)/C46*100,"-")</f>
        <v>2.8470171550790849E-2</v>
      </c>
    </row>
    <row r="21" spans="2:6" ht="14.1" customHeight="1">
      <c r="B21" s="150" t="str">
        <f>IF(Indice_index!$Z$1=1,"Taxas,multas e outras penalidades","Taxes, fines and other penalties")</f>
        <v>Taxas,multas e outras penalidades</v>
      </c>
      <c r="C21" s="5">
        <v>379.23771172948034</v>
      </c>
      <c r="D21" s="5">
        <v>417.77040270686086</v>
      </c>
      <c r="E21" s="5">
        <f t="shared" si="0"/>
        <v>10.160564148975473</v>
      </c>
      <c r="F21" s="5">
        <f>IFERROR((D21-C21)/C46*100,"-")</f>
        <v>0.46589464427798266</v>
      </c>
    </row>
    <row r="22" spans="2:6" ht="14.1" customHeight="1">
      <c r="B22" s="150" t="str">
        <f>IF(Indice_index!$Z$1=1,"Transferências correntes","Current transfers")</f>
        <v>Transferências correntes</v>
      </c>
      <c r="C22" s="5">
        <f>+C23+C30+C31+C32</f>
        <v>3055.3665948885446</v>
      </c>
      <c r="D22" s="5">
        <f>+D23+D30+D31+D32</f>
        <v>3596.7300396164951</v>
      </c>
      <c r="E22" s="5">
        <f t="shared" si="0"/>
        <v>17.718444838456403</v>
      </c>
      <c r="F22" s="5">
        <f>IFERROR((D22-C22)/C46*100,"-")</f>
        <v>6.5455674937078534</v>
      </c>
    </row>
    <row r="23" spans="2:6" ht="14.1" customHeight="1">
      <c r="B23" s="210" t="str">
        <f>IF(Indice_index!$Z$1=1,"Administração Central","Central Administration")</f>
        <v>Administração Central</v>
      </c>
      <c r="C23" s="5">
        <v>2984.4159722186541</v>
      </c>
      <c r="D23" s="5">
        <v>3494.7572145544013</v>
      </c>
      <c r="E23" s="5">
        <f t="shared" si="0"/>
        <v>17.100204766574574</v>
      </c>
      <c r="F23" s="5">
        <f>IFERROR((D23-C23)/C46*100,"-")</f>
        <v>6.1704813634212501</v>
      </c>
    </row>
    <row r="24" spans="2:6" ht="14.1" customHeight="1">
      <c r="B24" s="317" t="str">
        <f>IF(Indice_index!$Z$1=1,"das quais:","of which:")</f>
        <v>das quais:</v>
      </c>
      <c r="C24" s="5"/>
      <c r="D24" s="5"/>
      <c r="E24" s="5"/>
      <c r="F24" s="5"/>
    </row>
    <row r="25" spans="2:6" ht="14.1" customHeight="1">
      <c r="B25" s="318" t="str">
        <f>IF(Indice_index!$Z$1=1,"Transferências do Orçamento do Estado","State Budget transfers")</f>
        <v>Transferências do Orçamento do Estado</v>
      </c>
      <c r="C25" s="5">
        <f>+C26+C27+C28+C29</f>
        <v>2041.505384</v>
      </c>
      <c r="D25" s="5">
        <f>+D26+D27+D28+D29</f>
        <v>2125.4204159999999</v>
      </c>
      <c r="E25" s="5">
        <f t="shared" ref="E25:E37" si="1">IFERROR(IF(ABS((D25-C25)/C25)*100&gt;500,"-",((D25-C25)/C25)*100),0)</f>
        <v>4.1104487236561651</v>
      </c>
      <c r="F25" s="5">
        <f>IFERROR((D25-C25)/C46*100,"-")</f>
        <v>1.014607674459211</v>
      </c>
    </row>
    <row r="26" spans="2:6" ht="14.1" customHeight="1">
      <c r="B26" s="320" t="str">
        <f>IF(Indice_index!$Z$1=1,"Fundo de Equilíbrio Financeiro","Financial Balance Fund")</f>
        <v>Fundo de Equilíbrio Financeiro</v>
      </c>
      <c r="C26" s="5">
        <v>1442.7674460000001</v>
      </c>
      <c r="D26" s="5">
        <v>1443.2621310000002</v>
      </c>
      <c r="E26" s="5">
        <f t="shared" si="1"/>
        <v>3.4287230514634004E-2</v>
      </c>
      <c r="F26" s="5">
        <f>IFERROR((D26-C26)/C46*100,"-")</f>
        <v>5.981183412287502E-3</v>
      </c>
    </row>
    <row r="27" spans="2:6" ht="14.1" customHeight="1">
      <c r="B27" s="320" t="str">
        <f>IF(Indice_index!$Z$1=1,"Fundo Social Municipal","Municipal Social Fund")</f>
        <v>Fundo Social Municipal</v>
      </c>
      <c r="C27" s="5">
        <v>161.44227000000001</v>
      </c>
      <c r="D27" s="5">
        <v>190.82449799999998</v>
      </c>
      <c r="E27" s="5">
        <f t="shared" si="1"/>
        <v>18.199835767918753</v>
      </c>
      <c r="F27" s="5">
        <f>IFERROR((D27-C27)/C46*100,"-")</f>
        <v>0.35525737535928392</v>
      </c>
    </row>
    <row r="28" spans="2:6" ht="14.1" customHeight="1">
      <c r="B28" s="320" t="str">
        <f>IF(Indice_index!$Z$1=1,"Participação IRS","Personal income tax (IRS) participation")</f>
        <v>Participação IRS</v>
      </c>
      <c r="C28" s="5">
        <v>390.70603</v>
      </c>
      <c r="D28" s="5">
        <v>411.63336900000002</v>
      </c>
      <c r="E28" s="5">
        <f t="shared" si="1"/>
        <v>5.3562876928211258</v>
      </c>
      <c r="F28" s="5">
        <f>IFERROR((D28-C28)/C46*100,"-")</f>
        <v>0.25303021698674438</v>
      </c>
    </row>
    <row r="29" spans="2:6" ht="14.1" customHeight="1">
      <c r="B29" s="320" t="str">
        <f>IF(Indice_index!$Z$1=1,"Participação no IVA","Value-added tax (IVA) participation")</f>
        <v>Participação no IVA</v>
      </c>
      <c r="C29" s="5">
        <v>46.589638000000001</v>
      </c>
      <c r="D29" s="5">
        <v>79.700417999999999</v>
      </c>
      <c r="E29" s="5">
        <f t="shared" si="1"/>
        <v>71.068978900415587</v>
      </c>
      <c r="F29" s="5">
        <f>IFERROR((D29-C29)/C46*100,"-")</f>
        <v>0.40033889870089778</v>
      </c>
    </row>
    <row r="30" spans="2:6" ht="14.1" customHeight="1">
      <c r="B30" s="300" t="str">
        <f>IF(Indice_index!$Z$1=1,"Outros subsetores das Administrações Públicas","Other General Government subsectors")</f>
        <v>Outros subsetores das Administrações Públicas</v>
      </c>
      <c r="C30" s="5">
        <v>4.4803736700000343</v>
      </c>
      <c r="D30" s="5">
        <v>29.805265560000038</v>
      </c>
      <c r="E30" s="5" t="str">
        <f t="shared" si="1"/>
        <v>-</v>
      </c>
      <c r="F30" s="5">
        <f>IFERROR((D30-C30)/C46*100,"-")</f>
        <v>0.30620055851785738</v>
      </c>
    </row>
    <row r="31" spans="2:6" ht="14.1" customHeight="1">
      <c r="B31" s="300" t="str">
        <f>IF(Indice_index!$Z$1=1,"União Europeia","European Union")</f>
        <v>União Europeia</v>
      </c>
      <c r="C31" s="5">
        <v>50.991579619890118</v>
      </c>
      <c r="D31" s="5">
        <v>58.495475446018482</v>
      </c>
      <c r="E31" s="5">
        <f t="shared" si="1"/>
        <v>14.715950912023413</v>
      </c>
      <c r="F31" s="5">
        <f>IFERROR((D31-C31)/C46*100,"-")</f>
        <v>9.0728801647031357E-2</v>
      </c>
    </row>
    <row r="32" spans="2:6" ht="14.1" customHeight="1">
      <c r="B32" s="300" t="str">
        <f>IF(Indice_index!$Z$1=1,"Outras transferências","Other transfers")</f>
        <v>Outras transferências</v>
      </c>
      <c r="C32" s="5">
        <v>15.478669380000003</v>
      </c>
      <c r="D32" s="5">
        <v>13.672084056075287</v>
      </c>
      <c r="E32" s="5">
        <f t="shared" si="1"/>
        <v>-11.671451076143576</v>
      </c>
      <c r="F32" s="5">
        <f>IFERROR((D32-C32)/C46*100,"-")</f>
        <v>-2.1843229878282112E-2</v>
      </c>
    </row>
    <row r="33" spans="2:6" ht="14.1" customHeight="1">
      <c r="B33" s="150" t="str">
        <f>IF(Indice_index!$Z$1=1,"Outras receitas correntes","Other current revenue")</f>
        <v>Outras receitas correntes</v>
      </c>
      <c r="C33" s="5">
        <v>1027.1194371302395</v>
      </c>
      <c r="D33" s="5">
        <v>1086.8356823377926</v>
      </c>
      <c r="E33" s="5">
        <f t="shared" si="1"/>
        <v>5.8139533776519379</v>
      </c>
      <c r="F33" s="5">
        <f>IFERROR((D33-C33)/C46*100,"-")</f>
        <v>0.72202273220215862</v>
      </c>
    </row>
    <row r="34" spans="2:6" ht="14.1" customHeight="1">
      <c r="B34" s="212" t="str">
        <f>IF(Indice_index!$Z$1=1,"Receita de capital","Capital revenue")</f>
        <v>Receita de capital</v>
      </c>
      <c r="C34" s="161">
        <f>+C35+C36+C45</f>
        <v>870.14729468886185</v>
      </c>
      <c r="D34" s="161">
        <f>+D35+D36+D45</f>
        <v>1106.2774882507124</v>
      </c>
      <c r="E34" s="161">
        <f t="shared" si="1"/>
        <v>27.136807182315437</v>
      </c>
      <c r="F34" s="161">
        <f>IFERROR((D34-C34)/C46*100,"-")</f>
        <v>2.8550249085216683</v>
      </c>
    </row>
    <row r="35" spans="2:6" ht="14.1" customHeight="1">
      <c r="B35" s="150" t="str">
        <f>IF(Indice_index!$Z$1=1,"Venda de bens de investimento","Sale of investment goods")</f>
        <v>Venda de bens de investimento</v>
      </c>
      <c r="C35" s="5">
        <v>39.197797572465639</v>
      </c>
      <c r="D35" s="5">
        <v>72.992061164880226</v>
      </c>
      <c r="E35" s="5">
        <f t="shared" si="1"/>
        <v>86.214700022210565</v>
      </c>
      <c r="F35" s="5">
        <f>IFERROR((D35-C35)/C46*100,"-")</f>
        <v>0.40860282569589429</v>
      </c>
    </row>
    <row r="36" spans="2:6" ht="14.1" customHeight="1">
      <c r="B36" s="150" t="str">
        <f>IF(Indice_index!$Z$1=1,"Transferências de capital","Capital transfers")</f>
        <v>Transferências de capital</v>
      </c>
      <c r="C36" s="5">
        <f>+C37+C42+C43+C44</f>
        <v>814.51897709639616</v>
      </c>
      <c r="D36" s="5">
        <f>+D37+D42+D43+D44</f>
        <v>1019.0283652196246</v>
      </c>
      <c r="E36" s="5">
        <f t="shared" si="1"/>
        <v>25.107995500886314</v>
      </c>
      <c r="F36" s="5">
        <f>IFERROR((D36-C36)/C46*100,"-")</f>
        <v>2.472701132840958</v>
      </c>
    </row>
    <row r="37" spans="2:6" ht="14.1" customHeight="1">
      <c r="B37" s="210" t="str">
        <f>IF(Indice_index!$Z$1=1,"Administração Central","Central Administration")</f>
        <v>Administração Central</v>
      </c>
      <c r="C37" s="5">
        <v>416.80149230114813</v>
      </c>
      <c r="D37" s="5">
        <v>615.39934506504574</v>
      </c>
      <c r="E37" s="5">
        <f t="shared" si="1"/>
        <v>47.64806662937913</v>
      </c>
      <c r="F37" s="5">
        <f>IFERROR((D37-C37)/C46*100,"-")</f>
        <v>2.4012253912430284</v>
      </c>
    </row>
    <row r="38" spans="2:6" ht="14.1" customHeight="1">
      <c r="B38" s="317" t="str">
        <f>IF(Indice_index!$Z$1=1,"das quais:","of which:")</f>
        <v>das quais:</v>
      </c>
      <c r="C38" s="5"/>
      <c r="D38" s="5"/>
      <c r="E38" s="5"/>
      <c r="F38" s="5"/>
    </row>
    <row r="39" spans="2:6" ht="14.1" customHeight="1">
      <c r="B39" s="318" t="str">
        <f>IF(Indice_index!$Z$1=1,"Transferências do Orçamento do Estado","State Budget transfers")</f>
        <v>Transferências do Orçamento do Estado</v>
      </c>
      <c r="C39" s="5">
        <v>303.04404517</v>
      </c>
      <c r="D39" s="5">
        <v>401.99383781999995</v>
      </c>
      <c r="E39" s="5">
        <f t="shared" ref="E39:E65" si="2">IFERROR(IF(ABS((D39-C39)/C39)*100&gt;500,"-",((D39-C39)/C39)*100),0)</f>
        <v>32.65195083918961</v>
      </c>
      <c r="F39" s="5">
        <f>IFERROR((D39-C39)/C46*100,"-")</f>
        <v>1.1963913570197735</v>
      </c>
    </row>
    <row r="40" spans="2:6" ht="14.1" customHeight="1">
      <c r="B40" s="320" t="str">
        <f>IF(Indice_index!$Z$1=1,"Fundo de Equilíbrio Financeiro","Financial Balance Fund")</f>
        <v>Fundo de Equilíbrio Financeiro</v>
      </c>
      <c r="C40" s="5">
        <v>161.76525416999999</v>
      </c>
      <c r="D40" s="5">
        <v>160.49789981999999</v>
      </c>
      <c r="E40" s="5">
        <f t="shared" si="2"/>
        <v>-0.78345276091745608</v>
      </c>
      <c r="F40" s="5">
        <f>IFERROR((D40-C40)/C46*100,"-")</f>
        <v>-1.5323445860918839E-2</v>
      </c>
    </row>
    <row r="41" spans="2:6" ht="14.1" customHeight="1">
      <c r="B41" s="320" t="str">
        <f>IF(Indice_index!$Z$1=1,"Excedente (n.º 3 do artigo 35.º da Lei n.º 73/2013)","Surplus (Number 3 of article 35th of law number 73/2013)")</f>
        <v>Excedente (n.º 3 do artigo 35.º da Lei n.º 73/2013)</v>
      </c>
      <c r="C41" s="5">
        <v>141.27879099999998</v>
      </c>
      <c r="D41" s="5">
        <v>241.495938</v>
      </c>
      <c r="E41" s="5">
        <f t="shared" si="2"/>
        <v>70.935733729488121</v>
      </c>
      <c r="F41" s="5">
        <f>IFERROR((D41-C41)/C46*100,"-")</f>
        <v>1.211714802880693</v>
      </c>
    </row>
    <row r="42" spans="2:6" ht="14.1" customHeight="1">
      <c r="B42" s="210" t="str">
        <f>IF(Indice_index!$Z$1=1,"Outros subsetores das Administrações Públicas","Other General Government subsectors")</f>
        <v>Outros subsetores das Administrações Públicas</v>
      </c>
      <c r="C42" s="5">
        <v>6.9732662899999838</v>
      </c>
      <c r="D42" s="5">
        <v>6.3306328199999768</v>
      </c>
      <c r="E42" s="5">
        <f t="shared" si="2"/>
        <v>-9.2156737355860887</v>
      </c>
      <c r="F42" s="5">
        <f>IFERROR((D42-C42)/C46*100,"-")</f>
        <v>-7.7700125351362675E-3</v>
      </c>
    </row>
    <row r="43" spans="2:6" ht="14.1" customHeight="1">
      <c r="B43" s="210" t="str">
        <f>IF(Indice_index!$Z$1=1,"União Europeia","European Union")</f>
        <v>União Europeia</v>
      </c>
      <c r="C43" s="5">
        <v>383.6647593952481</v>
      </c>
      <c r="D43" s="5">
        <v>387.41426824714597</v>
      </c>
      <c r="E43" s="5">
        <f t="shared" si="2"/>
        <v>0.97728779098920582</v>
      </c>
      <c r="F43" s="5">
        <f>IFERROR((D43-C43)/C46*100,"-")</f>
        <v>4.5334910395891062E-2</v>
      </c>
    </row>
    <row r="44" spans="2:6" ht="14.1" customHeight="1">
      <c r="B44" s="210" t="str">
        <f>IF(Indice_index!$Z$1=1,"Outras transferências","Other transfers")</f>
        <v>Outras transferências</v>
      </c>
      <c r="C44" s="5">
        <v>7.0794591100000002</v>
      </c>
      <c r="D44" s="5">
        <v>9.8841190874328841</v>
      </c>
      <c r="E44" s="5">
        <f t="shared" si="2"/>
        <v>39.616868094784209</v>
      </c>
      <c r="F44" s="5">
        <f>IFERROR((D44-C44)/C46*100,"-")</f>
        <v>3.3910843737174595E-2</v>
      </c>
    </row>
    <row r="45" spans="2:6" ht="14.1" customHeight="1">
      <c r="B45" s="150" t="str">
        <f>IF(Indice_index!$Z$1=1,"Outras receitas de capital","Other capital revenue")</f>
        <v>Outras receitas de capital</v>
      </c>
      <c r="C45" s="5">
        <v>16.430520019999999</v>
      </c>
      <c r="D45" s="5">
        <v>14.257061866207588</v>
      </c>
      <c r="E45" s="5">
        <f t="shared" si="2"/>
        <v>-13.228176291114199</v>
      </c>
      <c r="F45" s="5">
        <f>IFERROR((D45-C45)/C46*100,"-")</f>
        <v>-2.6279050015183596E-2</v>
      </c>
    </row>
    <row r="46" spans="2:6" ht="14.1" customHeight="1">
      <c r="B46" s="32" t="str">
        <f>IF(Indice_index!$Z$1=1,"Receita efetiva","Effective revenue")</f>
        <v>Receita efetiva</v>
      </c>
      <c r="C46" s="19">
        <f>+C12+C34</f>
        <v>8270.6876867185983</v>
      </c>
      <c r="D46" s="19">
        <f>+D12+D34</f>
        <v>9157.1165087326372</v>
      </c>
      <c r="E46" s="19">
        <f t="shared" si="2"/>
        <v>10.717716054464271</v>
      </c>
      <c r="F46" s="19">
        <f>IFERROR((D46-C46)/C46*100,"-")</f>
        <v>10.717716054464271</v>
      </c>
    </row>
    <row r="47" spans="2:6" ht="14.1" customHeight="1">
      <c r="B47" s="212" t="str">
        <f>IF(Indice_index!$Z$1=1,"Despesa corrente","Current expenditure")</f>
        <v>Despesa corrente</v>
      </c>
      <c r="C47" s="161">
        <f>+C48+C52+C53+C54+C57+C58</f>
        <v>5798.5838450411256</v>
      </c>
      <c r="D47" s="161">
        <f>+D48+D52+D53+D54+D57+D58</f>
        <v>6354.8427927077746</v>
      </c>
      <c r="E47" s="161">
        <f t="shared" si="2"/>
        <v>9.5930137863291307</v>
      </c>
      <c r="F47" s="161">
        <f>IFERROR((D47-C47)/C65*100,"-")</f>
        <v>7.3398886121880214</v>
      </c>
    </row>
    <row r="48" spans="2:6" ht="14.1" customHeight="1">
      <c r="B48" s="150" t="str">
        <f>IF(Indice_index!$Z$1=1,"Despesas com o pessoal","Employees")</f>
        <v>Despesas com o pessoal</v>
      </c>
      <c r="C48" s="5">
        <f>+C49+C50+C51</f>
        <v>2640.7954846529519</v>
      </c>
      <c r="D48" s="5">
        <f>+D49+D50+D51</f>
        <v>2850.7391134648897</v>
      </c>
      <c r="E48" s="5">
        <f t="shared" si="2"/>
        <v>7.950014684288516</v>
      </c>
      <c r="F48" s="5">
        <f>IFERROR((D48-C48)/C65*100,"-")</f>
        <v>2.770225731706573</v>
      </c>
    </row>
    <row r="49" spans="2:6" ht="14.1" customHeight="1">
      <c r="B49" s="210" t="str">
        <f>IF(Indice_index!$Z$1=1,"Remunerações certas e permanentes","Certain and permanent wages")</f>
        <v>Remunerações certas e permanentes</v>
      </c>
      <c r="C49" s="5">
        <v>1973.9293386821917</v>
      </c>
      <c r="D49" s="5">
        <v>2172.1692848012349</v>
      </c>
      <c r="E49" s="5">
        <f t="shared" si="2"/>
        <v>10.04290995803272</v>
      </c>
      <c r="F49" s="5">
        <f>IFERROR((D49-C49)/C65*100,"-")</f>
        <v>2.6157945487501806</v>
      </c>
    </row>
    <row r="50" spans="2:6" ht="14.1" customHeight="1">
      <c r="B50" s="210" t="str">
        <f>IF(Indice_index!$Z$1=1,"Abonos variáveis ou eventuais","Variable or contingent bonuses")</f>
        <v>Abonos variáveis ou eventuais</v>
      </c>
      <c r="C50" s="5">
        <v>116.58827448398441</v>
      </c>
      <c r="D50" s="5">
        <v>137.4234821690429</v>
      </c>
      <c r="E50" s="5">
        <f t="shared" si="2"/>
        <v>17.870757395865397</v>
      </c>
      <c r="F50" s="5">
        <f>IFERROR((D50-C50)/C65*100,"-")</f>
        <v>0.27492250553743697</v>
      </c>
    </row>
    <row r="51" spans="2:6" ht="14.1" customHeight="1">
      <c r="B51" s="210" t="str">
        <f>IF(Indice_index!$Z$1=1,"Segurança Social","Social security")</f>
        <v>Segurança Social</v>
      </c>
      <c r="C51" s="5">
        <v>550.27787148677578</v>
      </c>
      <c r="D51" s="5">
        <v>541.14634649461186</v>
      </c>
      <c r="E51" s="5">
        <f t="shared" si="2"/>
        <v>-1.659438888118794</v>
      </c>
      <c r="F51" s="5">
        <f>IFERROR((D51-C51)/C65*100,"-")</f>
        <v>-0.12049132258104395</v>
      </c>
    </row>
    <row r="52" spans="2:6" ht="14.1" customHeight="1">
      <c r="B52" s="150" t="str">
        <f>IF(Indice_index!$Z$1=1,"Aquisição de bens e serviços","Purchase of goods and services")</f>
        <v>Aquisição de bens e serviços</v>
      </c>
      <c r="C52" s="5">
        <v>2043.5650130182801</v>
      </c>
      <c r="D52" s="5">
        <v>2322.1734905106009</v>
      </c>
      <c r="E52" s="5">
        <f t="shared" si="2"/>
        <v>13.633453093857046</v>
      </c>
      <c r="F52" s="5">
        <f>IFERROR((D52-C52)/C65*100,"-")</f>
        <v>3.6762648039783352</v>
      </c>
    </row>
    <row r="53" spans="2:6" ht="14.1" customHeight="1">
      <c r="B53" s="150" t="str">
        <f>IF(Indice_index!$Z$1=1,"Juros e outros encargos","Interests and other charges")</f>
        <v>Juros e outros encargos</v>
      </c>
      <c r="C53" s="5">
        <v>54.92367000999996</v>
      </c>
      <c r="D53" s="5">
        <v>77.837325588173044</v>
      </c>
      <c r="E53" s="5">
        <f t="shared" si="2"/>
        <v>41.719090465005692</v>
      </c>
      <c r="F53" s="5">
        <f>IFERROR((D53-C53)/C65*100,"-")</f>
        <v>0.302347819028017</v>
      </c>
    </row>
    <row r="54" spans="2:6" ht="14.1" customHeight="1">
      <c r="B54" s="150" t="str">
        <f>IF(Indice_index!$Z$1=1,"Transferências correntes","Current transfers")</f>
        <v>Transferências correntes</v>
      </c>
      <c r="C54" s="5">
        <f>+C55+C56</f>
        <v>805.13026542304965</v>
      </c>
      <c r="D54" s="5">
        <f>+D55+D56</f>
        <v>820.85957072401857</v>
      </c>
      <c r="E54" s="5">
        <f t="shared" si="2"/>
        <v>1.9536348310920932</v>
      </c>
      <c r="F54" s="5">
        <f>IFERROR((D54-C54)/C65*100,"-")</f>
        <v>0.20754964812790272</v>
      </c>
    </row>
    <row r="55" spans="2:6" ht="14.1" customHeight="1">
      <c r="B55" s="210" t="str">
        <f>IF(Indice_index!$Z$1=1,"Subsetores das Administrações Públicas","General Government subsectors")</f>
        <v>Subsetores das Administrações Públicas</v>
      </c>
      <c r="C55" s="5">
        <v>337.82747657999994</v>
      </c>
      <c r="D55" s="5">
        <v>323.92134779999992</v>
      </c>
      <c r="E55" s="5">
        <f t="shared" si="2"/>
        <v>-4.1163403642530385</v>
      </c>
      <c r="F55" s="5">
        <f>IFERROR((D55-C55)/C65*100,"-")</f>
        <v>-0.18349266416314744</v>
      </c>
    </row>
    <row r="56" spans="2:6" ht="14.1" customHeight="1">
      <c r="B56" s="210" t="str">
        <f>IF(Indice_index!$Z$1=1,"Outras transferências","Other transfers")</f>
        <v>Outras transferências</v>
      </c>
      <c r="C56" s="5">
        <v>467.30278884304965</v>
      </c>
      <c r="D56" s="5">
        <v>496.93822292401865</v>
      </c>
      <c r="E56" s="5">
        <f t="shared" si="2"/>
        <v>6.3418055249232577</v>
      </c>
      <c r="F56" s="5">
        <f>IFERROR((D56-C56)/C65*100,"-")</f>
        <v>0.39104231229105085</v>
      </c>
    </row>
    <row r="57" spans="2:6" ht="14.1" customHeight="1">
      <c r="B57" s="150" t="str">
        <f>IF(Indice_index!$Z$1=1,"Subsídios","Subsidies")</f>
        <v>Subsídios</v>
      </c>
      <c r="C57" s="5">
        <v>167.41649297082105</v>
      </c>
      <c r="D57" s="5">
        <v>157.75607123104956</v>
      </c>
      <c r="E57" s="5">
        <f t="shared" si="2"/>
        <v>-5.7702927401873145</v>
      </c>
      <c r="F57" s="5">
        <f>IFERROR((D57-C57)/C65*100,"-")</f>
        <v>-0.12747016441553888</v>
      </c>
    </row>
    <row r="58" spans="2:6" ht="14.1" customHeight="1">
      <c r="B58" s="150" t="str">
        <f>IF(Indice_index!$Z$1=1,"Outras despesas correntes","Other current expenditure")</f>
        <v>Outras despesas correntes</v>
      </c>
      <c r="C58" s="5">
        <v>86.752918966022889</v>
      </c>
      <c r="D58" s="5">
        <v>125.47722118904323</v>
      </c>
      <c r="E58" s="5">
        <f t="shared" si="2"/>
        <v>44.637463136182042</v>
      </c>
      <c r="F58" s="5">
        <f>IFERROR((D58-C58)/C65*100,"-")</f>
        <v>0.51097077376273847</v>
      </c>
    </row>
    <row r="59" spans="2:6" ht="14.1" customHeight="1">
      <c r="B59" s="212" t="str">
        <f>IF(Indice_index!$Z$1=1,"Despesa de capital","Capital expenditure")</f>
        <v>Despesa de capital</v>
      </c>
      <c r="C59" s="161">
        <f>+C60+C61+C64</f>
        <v>1779.9909407256589</v>
      </c>
      <c r="D59" s="161">
        <f>+D60+D61+D64</f>
        <v>1828.0248583273535</v>
      </c>
      <c r="E59" s="161">
        <f t="shared" si="2"/>
        <v>2.6985484309325956</v>
      </c>
      <c r="F59" s="161">
        <f>IFERROR((D59-C59)/C65*100,"-")</f>
        <v>0.63381201557720901</v>
      </c>
    </row>
    <row r="60" spans="2:6" ht="14.1" customHeight="1">
      <c r="B60" s="150" t="str">
        <f>IF(Indice_index!$Z$1=1,"Aquisição de bens de capital","Purchase of capital goods")</f>
        <v>Aquisição de bens de capital</v>
      </c>
      <c r="C60" s="5">
        <v>1556.1962721259799</v>
      </c>
      <c r="D60" s="5">
        <v>1578.1817554317636</v>
      </c>
      <c r="E60" s="5">
        <f t="shared" si="2"/>
        <v>1.4127705932458265</v>
      </c>
      <c r="F60" s="5">
        <f>IFERROR((D60-C60)/C65*100,"-")</f>
        <v>0.29010049946428285</v>
      </c>
    </row>
    <row r="61" spans="2:6" ht="14.1" customHeight="1">
      <c r="B61" s="150" t="str">
        <f>IF(Indice_index!$Z$1=1,"Transferências de capital","Capital transfers")</f>
        <v>Transferências de capital</v>
      </c>
      <c r="C61" s="5">
        <f>+C62+C63</f>
        <v>214.3968712496789</v>
      </c>
      <c r="D61" s="5">
        <f>+D62+D63</f>
        <v>227.91940776416831</v>
      </c>
      <c r="E61" s="5">
        <f t="shared" si="2"/>
        <v>6.3072452669990495</v>
      </c>
      <c r="F61" s="5">
        <f>IFERROR((D61-C61)/C65*100,"-")</f>
        <v>0.17843112850038642</v>
      </c>
    </row>
    <row r="62" spans="2:6" ht="14.1" customHeight="1">
      <c r="B62" s="210" t="str">
        <f>IF(Indice_index!$Z$1=1,"Subsetores das Administrações Públicas","General Government subsectors")</f>
        <v>Subsetores das Administrações Públicas</v>
      </c>
      <c r="C62" s="5">
        <v>136.05402460000013</v>
      </c>
      <c r="D62" s="5">
        <v>135.98959885000014</v>
      </c>
      <c r="E62" s="5">
        <f t="shared" si="2"/>
        <v>-4.7353064482590836E-2</v>
      </c>
      <c r="F62" s="5">
        <f>IFERROR((D62-C62)/C65*100,"-")</f>
        <v>-8.5010377044764617E-4</v>
      </c>
    </row>
    <row r="63" spans="2:6" ht="14.1" customHeight="1">
      <c r="B63" s="210" t="str">
        <f>IF(Indice_index!$Z$1=1,"Outras transferências","Other transfers")</f>
        <v>Outras transferências</v>
      </c>
      <c r="C63" s="5">
        <v>78.342846649678762</v>
      </c>
      <c r="D63" s="5">
        <v>91.929808914168177</v>
      </c>
      <c r="E63" s="5">
        <f t="shared" si="2"/>
        <v>17.342951967580984</v>
      </c>
      <c r="F63" s="5">
        <f>IFERROR((D63-C63)/C65*100,"-")</f>
        <v>0.17928123227083406</v>
      </c>
    </row>
    <row r="64" spans="2:6" ht="14.1" customHeight="1">
      <c r="B64" s="150" t="str">
        <f>IF(Indice_index!$Z$1=1,"Outras despesas de capital","Other capital expenditure")</f>
        <v>Outras despesas de capital</v>
      </c>
      <c r="C64" s="5">
        <v>9.3977973499999994</v>
      </c>
      <c r="D64" s="5">
        <v>21.923695131421681</v>
      </c>
      <c r="E64" s="5">
        <f t="shared" si="2"/>
        <v>133.2854637626516</v>
      </c>
      <c r="F64" s="5">
        <f>IFERROR((D64-C64)/C65*100,"-")</f>
        <v>0.16528038761254155</v>
      </c>
    </row>
    <row r="65" spans="2:6" ht="14.1" customHeight="1">
      <c r="B65" s="32" t="str">
        <f>IF(Indice_index!$Z$1=1,"Despesa efetiva","Effective expenditure")</f>
        <v>Despesa efetiva</v>
      </c>
      <c r="C65" s="19">
        <f>+C47+C59</f>
        <v>7578.5747857667848</v>
      </c>
      <c r="D65" s="19">
        <f>+D47+D59</f>
        <v>8182.8676510351279</v>
      </c>
      <c r="E65" s="19">
        <f t="shared" si="2"/>
        <v>7.9737006277652247</v>
      </c>
      <c r="F65" s="19">
        <f>IFERROR((D65-C65)/C65*100,"-")</f>
        <v>7.9737006277652247</v>
      </c>
    </row>
    <row r="66" spans="2:6" ht="14.1" customHeight="1">
      <c r="B66" s="32" t="str">
        <f>IF(Indice_index!$Z$1=1,"Saldo global","Overall balance")</f>
        <v>Saldo global</v>
      </c>
      <c r="C66" s="19">
        <f>+C46-C65</f>
        <v>692.11290095181357</v>
      </c>
      <c r="D66" s="19">
        <f>+D46-D65</f>
        <v>974.24885769750927</v>
      </c>
      <c r="E66" s="19"/>
      <c r="F66" s="19"/>
    </row>
    <row r="67" spans="2:6" ht="14.1" customHeight="1">
      <c r="B67" s="150" t="str">
        <f>IF(Indice_index!$Z$1=1,"Despesa  primária","Primary Expenditure")</f>
        <v>Despesa  primária</v>
      </c>
      <c r="C67" s="5">
        <f>+C65-C53</f>
        <v>7523.6511157567847</v>
      </c>
      <c r="D67" s="5">
        <f>+D65-D53</f>
        <v>8105.0303254469545</v>
      </c>
      <c r="E67" s="5">
        <f>IFERROR(IF(ABS((D67-C67)/C67)*100&gt;500,"-",((D67-C67)/C67)*100),0)</f>
        <v>7.727354721068699</v>
      </c>
      <c r="F67" s="5">
        <f>IFERROR((D67-C67)/C65*100,"-")</f>
        <v>7.671352808737204</v>
      </c>
    </row>
    <row r="68" spans="2:6" ht="14.1" customHeight="1">
      <c r="B68" s="150" t="str">
        <f>IF(Indice_index!$Z$1=1,"Saldo primário","Primary balance")</f>
        <v>Saldo primário</v>
      </c>
      <c r="C68" s="5">
        <f>+C46-C67</f>
        <v>747.0365709618136</v>
      </c>
      <c r="D68" s="5">
        <f>+D46-D67</f>
        <v>1052.0861832856826</v>
      </c>
      <c r="E68" s="5"/>
      <c r="F68" s="5"/>
    </row>
    <row r="69" spans="2:6" ht="14.1" customHeight="1">
      <c r="B69" s="150" t="str">
        <f>IF(Indice_index!$Z$1=1,"Saldo corrente","Current balance")</f>
        <v>Saldo corrente</v>
      </c>
      <c r="C69" s="5">
        <f>+C12-C47</f>
        <v>1601.9565469886102</v>
      </c>
      <c r="D69" s="5">
        <f>+D12-D47</f>
        <v>1695.9962277741497</v>
      </c>
      <c r="E69" s="5"/>
      <c r="F69" s="5"/>
    </row>
    <row r="70" spans="2:6" ht="14.1" customHeight="1">
      <c r="B70" s="150" t="str">
        <f>IF(Indice_index!$Z$1=1,"Saldo de capital","Capital balance")</f>
        <v>Saldo de capital</v>
      </c>
      <c r="C70" s="5">
        <f>+C34-C59</f>
        <v>-909.84364603679705</v>
      </c>
      <c r="D70" s="5">
        <f>+D34-D59</f>
        <v>-721.74737007664112</v>
      </c>
      <c r="E70" s="5"/>
      <c r="F70" s="5"/>
    </row>
    <row r="71" spans="2:6" ht="14.1" customHeight="1">
      <c r="B71" s="150" t="str">
        <f>IF(Indice_index!$Z$1=1,"Ativos financeiros líquidos de reembolsos","Financial assets net of reimbursements")</f>
        <v>Ativos financeiros líquidos de reembolsos</v>
      </c>
      <c r="C71" s="5">
        <v>127.87719698000002</v>
      </c>
      <c r="D71" s="5">
        <v>-38.217740339999992</v>
      </c>
      <c r="E71" s="5"/>
      <c r="F71" s="5"/>
    </row>
    <row r="72" spans="2:6" ht="14.1" customHeight="1">
      <c r="B72" s="293" t="str">
        <f>IF(Indice_index!$Z$1=1,"dos quais Receitas de:","of which Revenues of")</f>
        <v>dos quais Receitas de:</v>
      </c>
      <c r="C72" s="5"/>
      <c r="D72" s="5"/>
      <c r="E72" s="5"/>
      <c r="F72" s="5"/>
    </row>
    <row r="73" spans="2:6" ht="14.1" customHeight="1">
      <c r="B73" s="300" t="str">
        <f>IF(Indice_index!$Z$1=1,"Alienação de partes de capital","Divestment of company shares")</f>
        <v>Alienação de partes de capital</v>
      </c>
      <c r="C73" s="315">
        <v>0</v>
      </c>
      <c r="D73" s="315">
        <v>0</v>
      </c>
      <c r="E73" s="5"/>
      <c r="F73" s="5"/>
    </row>
    <row r="74" spans="2:6" ht="14.1" customHeight="1">
      <c r="B74" s="300" t="str">
        <f>IF(Indice_index!$Z$1=1,"Outros ativos","Other Financial assets")</f>
        <v>Outros ativos</v>
      </c>
      <c r="C74" s="5">
        <v>11.146731820000001</v>
      </c>
      <c r="D74" s="5">
        <v>152.08015596999999</v>
      </c>
      <c r="E74" s="5"/>
      <c r="F74" s="5"/>
    </row>
    <row r="75" spans="2:6" ht="14.1" customHeight="1">
      <c r="B75" s="150" t="str">
        <f>IF(Indice_index!$Z$1=1,"Passivos financeiros líquidos de amortizações","Financial liabilities net of amortizations")</f>
        <v>Passivos financeiros líquidos de amortizações</v>
      </c>
      <c r="C75" s="5">
        <v>-41.418970489999992</v>
      </c>
      <c r="D75" s="5">
        <v>-13.116047570000092</v>
      </c>
      <c r="E75" s="5"/>
      <c r="F75" s="5"/>
    </row>
    <row r="76" spans="2:6" ht="14.1" customHeight="1">
      <c r="B76" s="150" t="str">
        <f>IF(Indice_index!$Z$1=1,"Poupança (+) / Utilização (-) de saldo da gerência anterior","Saving (+) / Usage (-) of balance from previous management")</f>
        <v>Poupança (+) / Utilização (-) de saldo da gerência anterior</v>
      </c>
      <c r="C76" s="5">
        <f>+C66-C71+C75</f>
        <v>522.81673348181357</v>
      </c>
      <c r="D76" s="5">
        <f>+D66-D71+D75</f>
        <v>999.35055046750915</v>
      </c>
      <c r="E76" s="5"/>
      <c r="F76" s="5"/>
    </row>
    <row r="77" spans="2:6" ht="14.1" customHeight="1">
      <c r="B77" s="211" t="str">
        <f>IF(Indice_index!$Z$1=1,"Taxa de comparticip. financiam. europeu","European financing rate")</f>
        <v>Taxa de comparticip. financiam. europeu</v>
      </c>
      <c r="C77" s="319">
        <f>+C43/C60</f>
        <v>0.24654008383602463</v>
      </c>
      <c r="D77" s="319">
        <f>+D43/D60</f>
        <v>0.24548140093100748</v>
      </c>
      <c r="E77" s="20"/>
      <c r="F77" s="20"/>
    </row>
    <row r="78" spans="2:6" ht="15">
      <c r="B78" s="10" t="str">
        <f>IF(Indice_index!$Z$1=1,"Notas:","Notes:")</f>
        <v>Notas:</v>
      </c>
      <c r="C78" s="206"/>
      <c r="D78" s="10"/>
      <c r="E78" s="10"/>
      <c r="F78" s="10"/>
    </row>
    <row r="79" spans="2:6" ht="24.75" customHeight="1">
      <c r="B79" s="405"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06"/>
      <c r="D79" s="406"/>
      <c r="E79" s="406"/>
      <c r="F79" s="406"/>
    </row>
    <row r="80" spans="2:6" ht="24.75" customHeight="1">
      <c r="B80" s="405"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05"/>
      <c r="D80" s="405"/>
      <c r="E80" s="405"/>
      <c r="F80" s="405"/>
    </row>
    <row r="81" spans="2:7" ht="15" hidden="1">
      <c r="B81" s="405"/>
      <c r="C81" s="405"/>
      <c r="D81" s="405"/>
      <c r="E81" s="405"/>
      <c r="F81" s="405"/>
      <c r="G81" s="90"/>
    </row>
    <row r="82" spans="2:7" ht="15">
      <c r="B82" s="289">
        <v>2023</v>
      </c>
      <c r="C82" s="289"/>
      <c r="D82" s="289"/>
      <c r="E82" s="289"/>
      <c r="F82" s="289"/>
      <c r="G82" s="90"/>
    </row>
    <row r="83" spans="2:7" ht="15">
      <c r="B83" s="411" t="str">
        <f>IF(Indice_index!$Z$1=1,"Dados reportados de 2023: receita 307 municípios; despesa 307 municípios. Em falta: receita 1; despesa 1.","Entities in default (revenue 1 municipalities, expenditure 1 municipalities) in the reporting of budget execution, in the month under review:")</f>
        <v>Dados reportados de 2023: receita 307 municípios; despesa 307 municípios. Em falta: receita 1; despesa 1.</v>
      </c>
      <c r="C83" s="411"/>
      <c r="D83" s="411"/>
      <c r="E83" s="411"/>
      <c r="F83" s="411"/>
      <c r="G83" s="90"/>
    </row>
    <row r="84" spans="2:7" ht="15">
      <c r="B84" s="412">
        <v>2024</v>
      </c>
      <c r="C84" s="412"/>
      <c r="D84" s="412"/>
      <c r="E84" s="290"/>
      <c r="F84" s="290"/>
      <c r="G84" s="90"/>
    </row>
    <row r="85" spans="2:7" ht="15">
      <c r="B85" s="411" t="str">
        <f>IF(Indice_index!$Z$1=1,"Dados reportados de 2024: receita 285 municípios; despesa 285 municípios. Em falta: receita 23; despesa 23.","Entities in default (revenue 23 municipalities, expenditure 23 municipalities) in the reporting of budget execution, in the month under review:")</f>
        <v>Dados reportados de 2024: receita 285 municípios; despesa 285 municípios. Em falta: receita 23; despesa 23.</v>
      </c>
      <c r="C85" s="411"/>
      <c r="D85" s="411"/>
      <c r="E85" s="411"/>
      <c r="F85" s="411"/>
      <c r="G85" s="90"/>
    </row>
    <row r="86" spans="2:7" ht="24.75" customHeight="1">
      <c r="B86" s="413"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14"/>
      <c r="D86" s="414"/>
      <c r="E86" s="414"/>
      <c r="F86" s="414"/>
      <c r="G86" s="90"/>
    </row>
    <row r="87" spans="2:7" ht="24.75" customHeight="1">
      <c r="B87" s="413" t="str">
        <f>IF(Indice_index!$Z$1=1,"Fonte: Direção-Geral do Orçamento, com base nos dados da execução orçamental dos municípios reportada pela Direção-Geral das Autarquias Locais através do SIIAL/SISAL e reporte alternativo provisório.","Source: Budget General Directorate, based on the data of budget execution of municipalities reported by DGAL (General Directorate of Municioalities) through the SIIAL/SISAL and provisional alternative report.")</f>
        <v>Fonte: Direção-Geral do Orçamento, com base nos dados da execução orçamental dos municípios reportada pela Direção-Geral das Autarquias Locais através do SIIAL/SISAL e reporte alternativo provisório.</v>
      </c>
      <c r="C87" s="414"/>
      <c r="D87" s="414"/>
      <c r="E87" s="414"/>
      <c r="F87" s="414"/>
      <c r="G87" s="154"/>
    </row>
    <row r="88" spans="2:7" ht="15">
      <c r="C88" s="91"/>
      <c r="D88" s="91"/>
      <c r="E88" s="91"/>
      <c r="F88" s="91"/>
      <c r="G88" s="92"/>
    </row>
    <row r="89" spans="2:7" ht="15" hidden="1">
      <c r="B89" s="415"/>
      <c r="C89" s="416"/>
      <c r="D89" s="416"/>
      <c r="E89" s="416"/>
      <c r="F89" s="416"/>
      <c r="G89" s="92"/>
    </row>
    <row r="90" spans="2:7" ht="15" hidden="1">
      <c r="B90" s="155"/>
      <c r="C90" s="156"/>
      <c r="D90" s="156"/>
      <c r="E90" s="156"/>
      <c r="F90" s="156"/>
      <c r="G90" s="92"/>
    </row>
    <row r="91" spans="2:7" ht="15" hidden="1">
      <c r="C91" s="93"/>
      <c r="D91" s="93"/>
      <c r="E91" s="93"/>
      <c r="F91" s="93"/>
    </row>
    <row r="92" spans="2:7" ht="15" hidden="1">
      <c r="B92" s="95"/>
      <c r="C92" s="95"/>
      <c r="D92" s="95"/>
      <c r="E92" s="95"/>
      <c r="F92" s="95"/>
    </row>
    <row r="93" spans="2:7" ht="15" hidden="1">
      <c r="B93" s="407"/>
      <c r="C93" s="407"/>
      <c r="D93" s="407"/>
      <c r="E93" s="407"/>
      <c r="F93" s="407"/>
      <c r="G93" s="94"/>
    </row>
    <row r="94" spans="2:7" ht="15" hidden="1"/>
    <row r="95" spans="2:7" ht="15" hidden="1">
      <c r="B95" s="96"/>
      <c r="C95" s="97"/>
      <c r="D95" s="97"/>
      <c r="E95" s="97"/>
      <c r="F95" s="97"/>
      <c r="G95" s="97"/>
    </row>
    <row r="96" spans="2:7" ht="15" hidden="1">
      <c r="B96" s="408"/>
      <c r="C96" s="409"/>
      <c r="D96" s="409"/>
      <c r="E96" s="409"/>
      <c r="F96" s="409"/>
      <c r="G96" s="409"/>
    </row>
    <row r="98" spans="2:6" ht="15" hidden="1">
      <c r="B98" s="410"/>
      <c r="C98" s="410"/>
      <c r="D98" s="410"/>
      <c r="E98" s="410"/>
      <c r="F98" s="410"/>
    </row>
  </sheetData>
  <mergeCells count="15">
    <mergeCell ref="B93:F93"/>
    <mergeCell ref="B96:G96"/>
    <mergeCell ref="B98:F98"/>
    <mergeCell ref="B83:F83"/>
    <mergeCell ref="B84:D84"/>
    <mergeCell ref="B85:F85"/>
    <mergeCell ref="B86:F86"/>
    <mergeCell ref="B87:F87"/>
    <mergeCell ref="B89:F89"/>
    <mergeCell ref="B81:F81"/>
    <mergeCell ref="B10:B11"/>
    <mergeCell ref="C10:D10"/>
    <mergeCell ref="E10:F10"/>
    <mergeCell ref="B79:F79"/>
    <mergeCell ref="B80:F80"/>
  </mergeCells>
  <conditionalFormatting sqref="C12:F45">
    <cfRule type="cellIs" dxfId="60" priority="1" operator="equal">
      <formula>0</formula>
    </cfRule>
  </conditionalFormatting>
  <conditionalFormatting sqref="C47:F64">
    <cfRule type="cellIs" dxfId="59" priority="2" operator="equal">
      <formula>0</formula>
    </cfRule>
  </conditionalFormatting>
  <conditionalFormatting sqref="C67:F77">
    <cfRule type="cellIs" dxfId="58"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1"/>
  <sheetViews>
    <sheetView showGridLines="0" workbookViewId="0"/>
  </sheetViews>
  <sheetFormatPr defaultColWidth="0" defaultRowHeight="14.85" customHeight="1" zeroHeight="1"/>
  <cols>
    <col min="1" max="1" width="9.42578125" style="21" customWidth="1"/>
    <col min="2" max="2" width="65.5703125" style="30" customWidth="1"/>
    <col min="3" max="3" width="13" style="30" customWidth="1"/>
    <col min="4" max="4" width="17.42578125" style="30" customWidth="1"/>
    <col min="5" max="16384" width="9.42578125" hidden="1"/>
  </cols>
  <sheetData>
    <row r="1" spans="1:13" ht="15">
      <c r="A1" s="11"/>
    </row>
    <row r="2" spans="1:13" ht="15">
      <c r="A2" s="12"/>
    </row>
    <row r="3" spans="1:13" ht="15">
      <c r="A3" s="12"/>
    </row>
    <row r="4" spans="1:13" ht="15">
      <c r="A4" s="12"/>
    </row>
    <row r="5" spans="1:13" ht="15">
      <c r="A5" s="12"/>
    </row>
    <row r="6" spans="1:13" ht="15">
      <c r="A6" s="12"/>
    </row>
    <row r="7" spans="1:13" ht="50.1" customHeight="1">
      <c r="A7" s="12"/>
      <c r="B7" s="13"/>
      <c r="C7" s="14"/>
      <c r="D7" s="12"/>
      <c r="E7" s="12"/>
      <c r="F7" s="11"/>
      <c r="G7" s="11"/>
      <c r="H7" s="11"/>
      <c r="I7" s="11"/>
    </row>
    <row r="8" spans="1:13" ht="15.75">
      <c r="A8" s="87"/>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7"/>
      <c r="D8" s="87"/>
      <c r="E8" s="87"/>
      <c r="F8" s="87"/>
      <c r="G8" s="87"/>
      <c r="H8" s="88"/>
      <c r="I8" s="88"/>
      <c r="J8" s="88"/>
      <c r="K8" s="88"/>
      <c r="L8" s="46"/>
      <c r="M8" s="87"/>
    </row>
    <row r="9" spans="1:13" ht="15">
      <c r="B9" s="3" t="str">
        <f>+'3 - Conta AC + SS'!B9</f>
        <v>Período: janeiro a setembro</v>
      </c>
      <c r="C9" s="3" t="str">
        <f>IF(Indice_index!$Z$1=1,"€ Milhões","€ Millions")</f>
        <v>€ Milhões</v>
      </c>
    </row>
    <row r="10" spans="1:13" ht="26.85" customHeight="1">
      <c r="B10" s="24"/>
      <c r="C10" s="24" t="str">
        <f>IF(Indice_index!$Z$1=1,"Execução","Execution")</f>
        <v>Execução</v>
      </c>
    </row>
    <row r="11" spans="1:13" ht="14.1" customHeight="1">
      <c r="B11" s="212" t="str">
        <f>IF(Indice_index!$Z$1=1,"Receita corrente","Current revenue")</f>
        <v>Receita corrente</v>
      </c>
      <c r="C11" s="161">
        <f>+C13+C14+C15+C16+C20+C21</f>
        <v>526.86655371000006</v>
      </c>
    </row>
    <row r="12" spans="1:13" ht="14.1" hidden="1" customHeight="1">
      <c r="B12" s="150" t="s">
        <v>541</v>
      </c>
      <c r="C12" s="161">
        <f>+C13+C14</f>
        <v>0</v>
      </c>
    </row>
    <row r="13" spans="1:13" ht="14.1" hidden="1" customHeight="1">
      <c r="B13" s="210" t="s">
        <v>542</v>
      </c>
      <c r="C13" s="161">
        <v>0</v>
      </c>
    </row>
    <row r="14" spans="1:13" ht="13.5" hidden="1" customHeight="1">
      <c r="B14" s="210" t="s">
        <v>543</v>
      </c>
      <c r="C14" s="161">
        <v>0</v>
      </c>
    </row>
    <row r="15" spans="1:13" ht="13.5" hidden="1" customHeight="1">
      <c r="B15" s="150" t="s">
        <v>544</v>
      </c>
      <c r="C15" s="161">
        <v>0</v>
      </c>
    </row>
    <row r="16" spans="1:13" ht="14.1" customHeight="1">
      <c r="B16" s="150" t="str">
        <f>IF(Indice_index!$Z$1=1,"Transferências correntes","Current transfers")</f>
        <v>Transferências correntes</v>
      </c>
      <c r="C16" s="5">
        <f>+C17+C18</f>
        <v>508.07788543999999</v>
      </c>
    </row>
    <row r="17" spans="2:3" ht="13.5" hidden="1" customHeight="1">
      <c r="B17" s="210" t="s">
        <v>545</v>
      </c>
      <c r="C17" s="5">
        <v>0</v>
      </c>
    </row>
    <row r="18" spans="2:3" ht="14.1" customHeight="1">
      <c r="B18" s="210" t="str">
        <f>IF(Indice_index!$Z$1=1,"Outras","Others")</f>
        <v>Outras</v>
      </c>
      <c r="C18" s="5">
        <v>508.07788543999999</v>
      </c>
    </row>
    <row r="19" spans="2:3" ht="14.1" customHeight="1">
      <c r="B19" s="317" t="str">
        <f>IF(Indice_index!$Z$1=1,"Das quais: U.E.","of which U.E.")</f>
        <v>Das quais: U.E.</v>
      </c>
      <c r="C19" s="5">
        <v>507.36672573999999</v>
      </c>
    </row>
    <row r="20" spans="2:3" ht="14.1" customHeight="1">
      <c r="B20" s="150" t="str">
        <f>IF(Indice_index!$Z$1=1,"Outras receitas correntes","Other current revenue")</f>
        <v>Outras receitas correntes</v>
      </c>
      <c r="C20" s="5">
        <v>9.8258413000000004</v>
      </c>
    </row>
    <row r="21" spans="2:3" ht="14.1" customHeight="1">
      <c r="B21" s="150" t="str">
        <f>IF(Indice_index!$Z$1=1,"Diferenças de consolidação","Consolidation differences")</f>
        <v>Diferenças de consolidação</v>
      </c>
      <c r="C21" s="5">
        <v>8.9628269700000054</v>
      </c>
    </row>
    <row r="22" spans="2:3" ht="14.1" customHeight="1">
      <c r="B22" s="212" t="str">
        <f>IF(Indice_index!$Z$1=1,"Receita de capital","Capital revenue")</f>
        <v>Receita de capital</v>
      </c>
      <c r="C22" s="161">
        <f>+C23+C24+C28+C29</f>
        <v>1193.92145981</v>
      </c>
    </row>
    <row r="23" spans="2:3" ht="13.5" hidden="1" customHeight="1">
      <c r="B23" s="150" t="s">
        <v>546</v>
      </c>
      <c r="C23" s="161">
        <v>0</v>
      </c>
    </row>
    <row r="24" spans="2:3" ht="14.1" customHeight="1">
      <c r="B24" s="150" t="str">
        <f>IF(Indice_index!$Z$1=1,"Transferências de capital","Capital transfers")</f>
        <v>Transferências de capital</v>
      </c>
      <c r="C24" s="5">
        <f>+C25+C26</f>
        <v>1193.88753974</v>
      </c>
    </row>
    <row r="25" spans="2:3" ht="13.5" hidden="1" customHeight="1">
      <c r="B25" s="210" t="s">
        <v>545</v>
      </c>
      <c r="C25" s="5">
        <v>0</v>
      </c>
    </row>
    <row r="26" spans="2:3" ht="14.1" customHeight="1">
      <c r="B26" s="210" t="str">
        <f>IF(Indice_index!$Z$1=1,"Outras","Others")</f>
        <v>Outras</v>
      </c>
      <c r="C26" s="5">
        <v>1193.88753974</v>
      </c>
    </row>
    <row r="27" spans="2:3" ht="14.1" customHeight="1">
      <c r="B27" s="317" t="str">
        <f>IF(Indice_index!$Z$1=1,"Das quais: U.E.","of which U.E.")</f>
        <v>Das quais: U.E.</v>
      </c>
      <c r="C27" s="5">
        <v>1193.79176188</v>
      </c>
    </row>
    <row r="28" spans="2:3" ht="13.5" customHeight="1">
      <c r="B28" s="150" t="s">
        <v>547</v>
      </c>
      <c r="C28" s="5">
        <v>3.3920069999999997E-2</v>
      </c>
    </row>
    <row r="29" spans="2:3" ht="14.1" hidden="1" customHeight="1">
      <c r="B29" s="150" t="str">
        <f>IF(Indice_index!$Z$1=1,"Diferenças de consolidação","Consolidation differences")</f>
        <v>Diferenças de consolidação</v>
      </c>
      <c r="C29" s="5">
        <v>0</v>
      </c>
    </row>
    <row r="30" spans="2:3" ht="14.1" customHeight="1">
      <c r="B30" s="32" t="str">
        <f>IF(Indice_index!$Z$1=1,"Receita efetiva","Effective revenue")</f>
        <v>Receita efetiva</v>
      </c>
      <c r="C30" s="19">
        <f>+C11+C22</f>
        <v>1720.78801352</v>
      </c>
    </row>
    <row r="31" spans="2:3" ht="14.1" customHeight="1">
      <c r="B31" s="212" t="str">
        <f>IF(Indice_index!$Z$1=1,"Despesa corrente","Current expenditure")</f>
        <v>Despesa corrente</v>
      </c>
      <c r="C31" s="161">
        <v>366.98274457999992</v>
      </c>
    </row>
    <row r="32" spans="2:3" ht="14.1" customHeight="1">
      <c r="B32" s="150" t="str">
        <f>IF(Indice_index!$Z$1=1,"Despesas com o pessoal","Employees")</f>
        <v>Despesas com o pessoal</v>
      </c>
      <c r="C32" s="5">
        <v>29.670979819999999</v>
      </c>
    </row>
    <row r="33" spans="2:3" ht="14.1" customHeight="1">
      <c r="B33" s="210" t="str">
        <f>IF(Indice_index!$Z$1=1,"Remunerações certas e permanentes","Certain and permanent wages")</f>
        <v>Remunerações certas e permanentes</v>
      </c>
      <c r="C33" s="5">
        <v>24.436919500000002</v>
      </c>
    </row>
    <row r="34" spans="2:3" ht="14.1" customHeight="1">
      <c r="B34" s="210" t="str">
        <f>IF(Indice_index!$Z$1=1,"Abonos variáveis ou eventuais","Variable or contingent bonuses")</f>
        <v>Abonos variáveis ou eventuais</v>
      </c>
      <c r="C34" s="5">
        <v>0.46104379999999995</v>
      </c>
    </row>
    <row r="35" spans="2:3" ht="14.1" customHeight="1">
      <c r="B35" s="210" t="str">
        <f>IF(Indice_index!$Z$1=1,"Segurança social","Social security")</f>
        <v>Segurança social</v>
      </c>
      <c r="C35" s="5">
        <v>4.7730165200000005</v>
      </c>
    </row>
    <row r="36" spans="2:3" ht="14.1" customHeight="1">
      <c r="B36" s="150" t="str">
        <f>IF(Indice_index!$Z$1=1,"Aquisição de bens e serviços","Purchase of goods and services")</f>
        <v>Aquisição de bens e serviços</v>
      </c>
      <c r="C36" s="5">
        <v>101.11138747999999</v>
      </c>
    </row>
    <row r="37" spans="2:3" ht="14.1" customHeight="1">
      <c r="B37" s="150" t="str">
        <f>IF(Indice_index!$Z$1=1,"Juros e outros encargos","Interests and other charges")</f>
        <v>Juros e outros encargos</v>
      </c>
      <c r="C37" s="5">
        <v>5.0831899999999996E-3</v>
      </c>
    </row>
    <row r="38" spans="2:3" ht="14.1" customHeight="1">
      <c r="B38" s="150" t="str">
        <f>IF(Indice_index!$Z$1=1,"Transferências correntes","Current transfers")</f>
        <v>Transferências correntes</v>
      </c>
      <c r="C38" s="5">
        <v>126.59908186999999</v>
      </c>
    </row>
    <row r="39" spans="2:3" ht="14.1" customHeight="1">
      <c r="B39" s="210" t="str">
        <f>IF(Indice_index!$Z$1=1,"Administrações Públicas","General Government subsectors")</f>
        <v>Administrações Públicas</v>
      </c>
      <c r="C39" s="5">
        <v>52.720026470000001</v>
      </c>
    </row>
    <row r="40" spans="2:3" ht="14.1" customHeight="1">
      <c r="B40" s="317" t="str">
        <f>IF(Indice_index!$Z$1=1,"Das quais: Administração Local","of which Local Administration")</f>
        <v>Das quais: Administração Local</v>
      </c>
      <c r="C40" s="5">
        <v>52.65038758</v>
      </c>
    </row>
    <row r="41" spans="2:3" ht="14.1" customHeight="1">
      <c r="B41" s="210" t="str">
        <f>IF(Indice_index!$Z$1=1,"Outras","Others")</f>
        <v>Outras</v>
      </c>
      <c r="C41" s="5">
        <v>73.879055399999984</v>
      </c>
    </row>
    <row r="42" spans="2:3" ht="14.1" customHeight="1">
      <c r="B42" s="150" t="str">
        <f>IF(Indice_index!$Z$1=1,"Subsídios","Subsidies")</f>
        <v>Subsídios</v>
      </c>
      <c r="C42" s="5">
        <v>67.195045370000003</v>
      </c>
    </row>
    <row r="43" spans="2:3" ht="14.1" customHeight="1">
      <c r="B43" s="150" t="str">
        <f>IF(Indice_index!$Z$1=1,"Outras despesas correntes","Other current expenditure")</f>
        <v>Outras despesas correntes</v>
      </c>
      <c r="C43" s="5">
        <v>27.380107349999999</v>
      </c>
    </row>
    <row r="44" spans="2:3" ht="14.1" customHeight="1">
      <c r="B44" s="150" t="str">
        <f>IF(Indice_index!$Z$1=1,"Diferenças de consolidação","Consolidation differences")</f>
        <v>Diferenças de consolidação</v>
      </c>
      <c r="C44" s="5">
        <v>15.0210595</v>
      </c>
    </row>
    <row r="45" spans="2:3" ht="14.1" customHeight="1">
      <c r="B45" s="212" t="str">
        <f>IF(Indice_index!$Z$1=1,"Despesa de capital","Capital expenditure")</f>
        <v>Despesa de capital</v>
      </c>
      <c r="C45" s="161">
        <v>1492.15891837</v>
      </c>
    </row>
    <row r="46" spans="2:3" ht="14.1" customHeight="1">
      <c r="B46" s="150" t="str">
        <f>IF(Indice_index!$Z$1=1,"Investimento","Investments")</f>
        <v>Investimento</v>
      </c>
      <c r="C46" s="5">
        <v>353.86836994999999</v>
      </c>
    </row>
    <row r="47" spans="2:3" ht="14.1" customHeight="1">
      <c r="B47" s="150" t="str">
        <f>IF(Indice_index!$Z$1=1,"Transferências de capital","Capital transfers")</f>
        <v>Transferências de capital</v>
      </c>
      <c r="C47" s="5">
        <v>666.66020426</v>
      </c>
    </row>
    <row r="48" spans="2:3" ht="14.1" customHeight="1">
      <c r="B48" s="210" t="str">
        <f>IF(Indice_index!$Z$1=1,"Administrações Públicas","General Government subsectors")</f>
        <v>Administrações Públicas</v>
      </c>
      <c r="C48" s="5">
        <v>193.3867247</v>
      </c>
    </row>
    <row r="49" spans="2:3" ht="14.1" customHeight="1">
      <c r="B49" s="317" t="str">
        <f>IF(Indice_index!$Z$1=1,"Das quais: Administração Local","of which Local Administration")</f>
        <v>Das quais: Administração Local</v>
      </c>
      <c r="C49" s="5">
        <v>193.3867247</v>
      </c>
    </row>
    <row r="50" spans="2:3" ht="13.5" customHeight="1">
      <c r="B50" s="210" t="str">
        <f>IF(Indice_index!$Z$1=1,"Outras","Others")</f>
        <v>Outras</v>
      </c>
      <c r="C50" s="5">
        <v>473.27347956</v>
      </c>
    </row>
    <row r="51" spans="2:3" ht="13.5" hidden="1" customHeight="1">
      <c r="B51" s="150" t="s">
        <v>548</v>
      </c>
      <c r="C51" s="5">
        <v>0</v>
      </c>
    </row>
    <row r="52" spans="2:3" ht="14.1" customHeight="1">
      <c r="B52" s="150" t="str">
        <f>IF(Indice_index!$Z$1=1,"Diferenças de consolidação","Consolidation differences")</f>
        <v>Diferenças de consolidação</v>
      </c>
      <c r="C52" s="5">
        <v>471.63034415999999</v>
      </c>
    </row>
    <row r="53" spans="2:3" ht="14.1" customHeight="1">
      <c r="B53" s="32" t="str">
        <f>IF(Indice_index!$Z$1=1,"Despesa efetiva","Effective Expenditure")</f>
        <v>Despesa efetiva</v>
      </c>
      <c r="C53" s="19">
        <f>+C31+C45</f>
        <v>1859.14166295</v>
      </c>
    </row>
    <row r="54" spans="2:3" ht="14.1" customHeight="1">
      <c r="B54" s="32" t="str">
        <f>IF(Indice_index!$Z$1=1,"Saldo global","Overall balance")</f>
        <v>Saldo global</v>
      </c>
      <c r="C54" s="19">
        <f>+C30-C53</f>
        <v>-138.3536494299999</v>
      </c>
    </row>
    <row r="55" spans="2:3" ht="14.1" customHeight="1">
      <c r="B55" s="253" t="str">
        <f>IF(Indice_index!$Z$1=1,"   Por memória:","   Memo item:")</f>
        <v xml:space="preserve">   Por memória:</v>
      </c>
      <c r="C55" s="5"/>
    </row>
    <row r="56" spans="2:3" ht="14.1" customHeight="1">
      <c r="B56" s="210" t="str">
        <f>IF(Indice_index!$Z$1=1,"Despesa primária","Primary expenditure")</f>
        <v>Despesa primária</v>
      </c>
      <c r="C56" s="5">
        <v>1859.1365797599999</v>
      </c>
    </row>
    <row r="57" spans="2:3" ht="14.1" customHeight="1">
      <c r="B57" s="210" t="str">
        <f>IF(Indice_index!$Z$1=1,"Saldo primário","Primary balance")</f>
        <v>Saldo primário</v>
      </c>
      <c r="C57" s="5">
        <v>-138.34856623999991</v>
      </c>
    </row>
    <row r="58" spans="2:3" ht="14.1" customHeight="1">
      <c r="B58" s="210" t="str">
        <f>IF(Indice_index!$Z$1=1,"Receita de ativos financeiros","Income from financial assets")</f>
        <v>Receita de ativos financeiros</v>
      </c>
      <c r="C58" s="5">
        <v>24.543486569999999</v>
      </c>
    </row>
    <row r="59" spans="2:3" ht="14.1" customHeight="1">
      <c r="B59" s="292" t="str">
        <f>IF(Indice_index!$Z$1=1,"Despesa de ativos financeiros","Expense of financial assets")</f>
        <v>Despesa de ativos financeiros</v>
      </c>
      <c r="C59" s="20">
        <v>261.88912794999999</v>
      </c>
    </row>
    <row r="60" spans="2:3" ht="15">
      <c r="B60" s="10" t="str">
        <f>IF(Indice_index!$Z$1=1,"Fonte: Direção-Geral do Orçamento.","Source: Budget General Directorate.")</f>
        <v>Fonte: Direção-Geral do Orçamento.</v>
      </c>
      <c r="C60" s="10"/>
    </row>
    <row r="61" spans="2:3" ht="14.25" customHeight="1"/>
  </sheetData>
  <conditionalFormatting sqref="C11:C29">
    <cfRule type="cellIs" dxfId="57" priority="6" operator="equal">
      <formula>0</formula>
    </cfRule>
  </conditionalFormatting>
  <conditionalFormatting sqref="C31:C52">
    <cfRule type="cellIs" dxfId="56" priority="3" operator="equal">
      <formula>0</formula>
    </cfRule>
  </conditionalFormatting>
  <conditionalFormatting sqref="C55:C59">
    <cfRule type="cellIs" dxfId="55"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G35"/>
  <sheetViews>
    <sheetView showGridLines="0" workbookViewId="0"/>
  </sheetViews>
  <sheetFormatPr defaultColWidth="0" defaultRowHeight="14.85" customHeight="1" zeroHeight="1"/>
  <cols>
    <col min="1" max="1" width="7.42578125" style="53" customWidth="1"/>
    <col min="2" max="2" width="69.5703125" style="33" customWidth="1"/>
    <col min="3" max="3" width="13" style="33" customWidth="1"/>
    <col min="4" max="4" width="16.42578125" style="53" customWidth="1"/>
    <col min="5" max="5" width="8.5703125" style="53" hidden="1" customWidth="1"/>
    <col min="6" max="33" width="0" hidden="1" customWidth="1"/>
    <col min="34" max="16384" width="9.42578125" hidden="1"/>
  </cols>
  <sheetData>
    <row r="1" spans="1:13" ht="15"/>
    <row r="2" spans="1:13" ht="15"/>
    <row r="3" spans="1:13" ht="15"/>
    <row r="4" spans="1:13" ht="15"/>
    <row r="5" spans="1:13" ht="15"/>
    <row r="6" spans="1:13" ht="15"/>
    <row r="7" spans="1:13" ht="50.1" customHeight="1">
      <c r="A7" s="12"/>
      <c r="B7" s="13"/>
      <c r="C7" s="14"/>
      <c r="D7" s="12"/>
      <c r="E7" s="12"/>
      <c r="F7" s="12"/>
      <c r="G7" s="12"/>
      <c r="H7" s="11"/>
      <c r="I7" s="11"/>
      <c r="J7" s="11"/>
      <c r="K7" s="11"/>
    </row>
    <row r="8" spans="1:13" ht="15.75">
      <c r="A8" s="87"/>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7"/>
      <c r="D8" s="87"/>
      <c r="E8" s="87"/>
      <c r="F8" s="87"/>
      <c r="G8" s="87"/>
      <c r="H8" s="88"/>
      <c r="I8" s="88"/>
      <c r="J8" s="88"/>
      <c r="K8" s="88"/>
      <c r="L8" s="46"/>
      <c r="M8" s="87"/>
    </row>
    <row r="9" spans="1:13" ht="15">
      <c r="B9" s="3" t="str">
        <f>+'3 - Conta AC + SS'!B9</f>
        <v>Período: janeiro a setembro</v>
      </c>
      <c r="C9" s="3" t="str">
        <f>IF(Indice_index!$Z$1=1,"€ Milhões","€ Millions")</f>
        <v>€ Milhões</v>
      </c>
      <c r="D9" s="3"/>
      <c r="E9" s="3"/>
    </row>
    <row r="10" spans="1:13" ht="26.85" customHeight="1">
      <c r="B10" s="24" t="str">
        <f>IF(Indice_index!$Z$1=1,"Programa Orçamental","Budget Program")</f>
        <v>Programa Orçamental</v>
      </c>
      <c r="C10" s="273" t="str">
        <f>IF(Indice_index!$Z$1=1,"Execução","Execution")</f>
        <v>Execução</v>
      </c>
      <c r="E10" s="60"/>
    </row>
    <row r="11" spans="1:13" ht="14.1" customHeight="1">
      <c r="B11" s="291" t="str">
        <f>IF(Indice_index!$Z$1=1,"001 - Órgãos de Soberania","001 - Bodies of Sovereignty")</f>
        <v>001 - Órgãos de Soberania</v>
      </c>
      <c r="C11" s="5">
        <v>0.22294702000000002</v>
      </c>
      <c r="D11" s="62"/>
      <c r="E11" s="158"/>
    </row>
    <row r="12" spans="1:13" ht="14.1" customHeight="1">
      <c r="B12" s="291" t="str">
        <f>IF(Indice_index!$Z$1=1,"002 - Governação","002 - Governance")</f>
        <v>002 - Governação</v>
      </c>
      <c r="C12" s="5">
        <v>96.165785789999987</v>
      </c>
      <c r="D12" s="62"/>
      <c r="E12" s="55"/>
    </row>
    <row r="13" spans="1:13" ht="14.1" customHeight="1">
      <c r="B13" s="291" t="str">
        <f>IF(Indice_index!$Z$1=1,"003 - Representação Externa","003 - External Representation")</f>
        <v>003 - Representação Externa</v>
      </c>
      <c r="C13" s="5">
        <v>5.6074770999999997</v>
      </c>
      <c r="D13" s="62"/>
      <c r="E13" s="55"/>
    </row>
    <row r="14" spans="1:13" ht="14.1" customHeight="1">
      <c r="B14" s="291" t="str">
        <f>IF(Indice_index!$Z$1=1,"004 - Defesa","004 - Defense")</f>
        <v>004 - Defesa</v>
      </c>
      <c r="C14" s="5">
        <v>53.357750379999992</v>
      </c>
      <c r="D14" s="62"/>
      <c r="E14" s="55"/>
    </row>
    <row r="15" spans="1:13" ht="14.1" customHeight="1">
      <c r="B15" s="291" t="str">
        <f>IF(Indice_index!$Z$1=1,"005 - Segurança Interna","005 - Internal Security")</f>
        <v>005 - Segurança Interna</v>
      </c>
      <c r="C15" s="5">
        <v>29.653383860000002</v>
      </c>
      <c r="D15" s="62"/>
      <c r="E15" s="55"/>
    </row>
    <row r="16" spans="1:13" ht="14.1" customHeight="1">
      <c r="B16" s="291" t="str">
        <f>IF(Indice_index!$Z$1=1,"006 - Justiça","006 - Justice")</f>
        <v>006 - Justiça</v>
      </c>
      <c r="C16" s="5">
        <v>45.609483830000009</v>
      </c>
      <c r="D16" s="62"/>
      <c r="E16" s="55"/>
    </row>
    <row r="17" spans="2:9" ht="14.1" customHeight="1">
      <c r="B17" s="291" t="str">
        <f>IF(Indice_index!$Z$1=1,"007 - Finanças","007 - Finance")</f>
        <v>007 - Finanças</v>
      </c>
      <c r="C17" s="5">
        <v>4.484133029999998</v>
      </c>
      <c r="D17" s="62"/>
      <c r="E17" s="55"/>
    </row>
    <row r="18" spans="2:9" ht="14.1" customHeight="1">
      <c r="B18" s="291" t="str">
        <f>IF(Indice_index!$Z$1=1,"009 - Economia","009 - Economy")</f>
        <v>009 - Economia</v>
      </c>
      <c r="C18" s="5">
        <v>567.11790471999996</v>
      </c>
      <c r="D18" s="62"/>
      <c r="E18" s="55"/>
    </row>
    <row r="19" spans="2:9" ht="14.1" customHeight="1">
      <c r="B19" s="291" t="str">
        <f>IF(Indice_index!$Z$1=1,"010 - Cultura","010 - Culture")</f>
        <v>010 - Cultura</v>
      </c>
      <c r="C19" s="5">
        <v>24.022950969999993</v>
      </c>
      <c r="D19" s="62"/>
      <c r="E19" s="55"/>
    </row>
    <row r="20" spans="2:9" ht="14.1" customHeight="1">
      <c r="B20" s="291" t="str">
        <f>IF(Indice_index!$Z$1=1,"011 - Ciência e Inovação","011 - Science and Inovation")</f>
        <v>011 - Ciência e Inovação</v>
      </c>
      <c r="C20" s="5">
        <v>136.08879873999982</v>
      </c>
      <c r="D20" s="62"/>
      <c r="E20" s="55"/>
    </row>
    <row r="21" spans="2:9" ht="14.1" customHeight="1">
      <c r="B21" s="291" t="str">
        <f>IF(Indice_index!$Z$1=1,"012 - Educação","012 - Education")</f>
        <v>012 - Educação</v>
      </c>
      <c r="C21" s="5">
        <v>82.238266889999991</v>
      </c>
      <c r="D21" s="62"/>
      <c r="E21" s="55"/>
    </row>
    <row r="22" spans="2:9" ht="14.1" customHeight="1">
      <c r="B22" s="291" t="str">
        <f>IF(Indice_index!$Z$1=1,"013 - Trabalho, Solidariedade e Segurança Social","013 - Work, Solidarity and Social Security")</f>
        <v>013 - Trabalho, Solidariedade e Segurança Social</v>
      </c>
      <c r="C22" s="5">
        <v>77.990663670000004</v>
      </c>
      <c r="D22" s="62"/>
      <c r="E22" s="62"/>
    </row>
    <row r="23" spans="2:9" ht="14.1" customHeight="1">
      <c r="B23" s="291" t="str">
        <f>IF(Indice_index!$Z$1=1,"014 - Saúde","014 - Health")</f>
        <v>014 - Saúde</v>
      </c>
      <c r="C23" s="5">
        <v>61.741519760000003</v>
      </c>
      <c r="D23" s="62"/>
      <c r="E23" s="55"/>
    </row>
    <row r="24" spans="2:9" ht="14.1" customHeight="1">
      <c r="B24" s="291" t="str">
        <f>IF(Indice_index!$Z$1=1,"015 - Ambiente e Energia","015 - Environment and Energy")</f>
        <v>015 - Ambiente e Energia</v>
      </c>
      <c r="C24" s="5">
        <v>51.942412669999989</v>
      </c>
      <c r="D24" s="62"/>
      <c r="E24" s="55"/>
    </row>
    <row r="25" spans="2:9" ht="14.1" customHeight="1">
      <c r="B25" s="291" t="str">
        <f>IF(Indice_index!$Z$1=1,"016 - Infraestruturas e Habitação","016 - Infrastructure and Housing")</f>
        <v>016 - Infraestruturas e Habitação</v>
      </c>
      <c r="C25" s="5">
        <v>260.81979125999999</v>
      </c>
      <c r="D25" s="62"/>
      <c r="E25" s="55"/>
    </row>
    <row r="26" spans="2:9" ht="14.1" customHeight="1">
      <c r="B26" s="291" t="str">
        <f>IF(Indice_index!$Z$1=1,"018 - Agricultura e Pescas","018 - Agriculture and Fisheries")</f>
        <v>018 - Agricultura e Pescas</v>
      </c>
      <c r="C26" s="5">
        <v>19.316117549999998</v>
      </c>
      <c r="D26" s="62"/>
      <c r="E26" s="55"/>
    </row>
    <row r="27" spans="2:9" ht="14.1" customHeight="1">
      <c r="B27" s="100" t="str">
        <f>IF(Indice_index!$Z$1=1,"Total da Despesa Orçamental","Total Budget Expenditure")</f>
        <v>Total da Despesa Orçamental</v>
      </c>
      <c r="C27" s="29">
        <f>+SUM(C11:C26)</f>
        <v>1516.3793872399997</v>
      </c>
      <c r="D27" s="62"/>
      <c r="E27" s="63"/>
    </row>
    <row r="28" spans="2:9" ht="15">
      <c r="B28" s="10" t="str">
        <f>IF(Indice_index!$Z$1=1,"Notas:","Notes:")</f>
        <v>Notas:</v>
      </c>
      <c r="C28" s="10"/>
      <c r="D28" s="10"/>
      <c r="E28" s="10"/>
      <c r="F28" s="10"/>
      <c r="G28" s="10"/>
      <c r="H28" s="10"/>
      <c r="I28" s="10"/>
    </row>
    <row r="29" spans="2:9" ht="15">
      <c r="B29" s="379" t="str">
        <f>IF(Indice_index!$Z$1=1,"Valores consolidados de fluxos internos à Administração Central. Não inclui diferenças de consolidação.","Consolidated values ​​of internal flows to the Central Administration. Does not include consolidation differences.")</f>
        <v>Valores consolidados de fluxos internos à Administração Central. Não inclui diferenças de consolidação.</v>
      </c>
      <c r="C29" s="379"/>
      <c r="D29" s="379"/>
      <c r="E29" s="379"/>
      <c r="F29" s="379"/>
      <c r="G29" s="379"/>
      <c r="H29" s="379"/>
      <c r="I29" s="379"/>
    </row>
    <row r="30" spans="2:9" ht="15">
      <c r="B30" s="188" t="str">
        <f>IF(Indice_index!$Z$1=1,"Fonte: Direção-Geral do Orçamento.","Source: Budget General Directorate.")</f>
        <v>Fonte: Direção-Geral do Orçamento.</v>
      </c>
      <c r="C30" s="188"/>
      <c r="D30" s="188"/>
      <c r="E30" s="31"/>
      <c r="F30" s="244"/>
      <c r="G30" s="30"/>
      <c r="H30" s="30"/>
      <c r="I30" s="189"/>
    </row>
    <row r="31" spans="2:9" ht="15">
      <c r="B31" s="386"/>
      <c r="C31" s="386"/>
      <c r="D31" s="68"/>
      <c r="E31" s="68"/>
    </row>
    <row r="32" spans="2:9" ht="15" hidden="1">
      <c r="B32" s="385"/>
      <c r="C32" s="385"/>
    </row>
    <row r="33" spans="2:3" ht="15" hidden="1">
      <c r="B33" s="385"/>
      <c r="C33" s="385"/>
    </row>
    <row r="34" spans="2:3" ht="15" hidden="1">
      <c r="B34" s="386"/>
      <c r="C34" s="386"/>
    </row>
    <row r="35" spans="2:3" ht="14.85" customHeight="1"/>
  </sheetData>
  <mergeCells count="5">
    <mergeCell ref="B34:C34"/>
    <mergeCell ref="B31:C31"/>
    <mergeCell ref="B32:C32"/>
    <mergeCell ref="B33:C33"/>
    <mergeCell ref="B29:I29"/>
  </mergeCells>
  <conditionalFormatting sqref="C11:C26">
    <cfRule type="cellIs" dxfId="54" priority="2"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0"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G41"/>
  <sheetViews>
    <sheetView showGridLines="0" workbookViewId="0"/>
  </sheetViews>
  <sheetFormatPr defaultColWidth="0" defaultRowHeight="14.85" customHeight="1" zeroHeight="1"/>
  <cols>
    <col min="1" max="1" width="7.42578125" style="53" customWidth="1"/>
    <col min="2" max="2" width="78.42578125" style="33" customWidth="1"/>
    <col min="3" max="3" width="13" style="33" customWidth="1"/>
    <col min="4" max="4" width="10.5703125" style="53" customWidth="1"/>
    <col min="5" max="5" width="8.5703125" style="53" hidden="1" customWidth="1"/>
    <col min="6" max="33" width="0" hidden="1" customWidth="1"/>
    <col min="34" max="16384" width="9.42578125" hidden="1"/>
  </cols>
  <sheetData>
    <row r="1" spans="1:11" ht="15"/>
    <row r="2" spans="1:11" ht="15"/>
    <row r="3" spans="1:11" ht="15"/>
    <row r="4" spans="1:11" ht="15"/>
    <row r="5" spans="1:11" ht="15"/>
    <row r="6" spans="1:11" ht="15"/>
    <row r="7" spans="1:11" ht="50.1" customHeight="1">
      <c r="A7" s="12"/>
      <c r="B7" s="13"/>
      <c r="C7" s="14"/>
      <c r="D7" s="12"/>
      <c r="E7" s="12"/>
      <c r="F7" s="12"/>
      <c r="G7" s="12"/>
      <c r="H7" s="11"/>
      <c r="I7" s="11"/>
      <c r="J7" s="11"/>
      <c r="K7" s="11"/>
    </row>
    <row r="8" spans="1:11" ht="15.75">
      <c r="B8" s="141"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2"/>
      <c r="D8" s="2"/>
      <c r="E8" s="2"/>
    </row>
    <row r="9" spans="1:11" ht="15">
      <c r="B9" s="3" t="str">
        <f>+'3 - Conta AC + SS'!B9</f>
        <v>Período: janeiro a setembro</v>
      </c>
      <c r="C9" s="3" t="str">
        <f>IF(Indice_index!$Z$1=1,"€ Milhões","€ Millions")</f>
        <v>€ Milhões</v>
      </c>
      <c r="D9" s="3"/>
      <c r="E9" s="3"/>
    </row>
    <row r="10" spans="1:11" ht="26.85" customHeight="1">
      <c r="B10" s="24" t="str">
        <f>IF(Indice_index!$Z$1=1,"Dimensão/Componente","Dimension/Component")</f>
        <v>Dimensão/Componente</v>
      </c>
      <c r="C10" s="273" t="str">
        <f>IF(Indice_index!$Z$1=1,"Execução","Execution")</f>
        <v>Execução</v>
      </c>
      <c r="E10" s="60"/>
    </row>
    <row r="11" spans="1:11" ht="14.1" customHeight="1">
      <c r="B11" s="32" t="str">
        <f>IF(Indice_index!$Z$1=1,"RESILIÊNCIA","RESILIENCE")</f>
        <v>RESILIÊNCIA</v>
      </c>
      <c r="C11" s="19">
        <f>+SUM(C12:C20)</f>
        <v>1078.8811796100008</v>
      </c>
      <c r="D11" s="62"/>
      <c r="E11" s="158"/>
    </row>
    <row r="12" spans="1:11" ht="14.1" customHeight="1">
      <c r="B12" s="150" t="str">
        <f>IF(Indice_index!$Z$1=1,"C1. SNS","C1. NATIONAL HEALTH SERVICE")</f>
        <v>C1. SNS</v>
      </c>
      <c r="C12" s="5">
        <v>62.15662437999999</v>
      </c>
      <c r="D12" s="62"/>
      <c r="E12" s="55"/>
    </row>
    <row r="13" spans="1:11" ht="14.1" customHeight="1">
      <c r="B13" s="150" t="str">
        <f>IF(Indice_index!$Z$1=1,"C2. HABITAÇÃO","C2. HOUSING")</f>
        <v>C2. HABITAÇÃO</v>
      </c>
      <c r="C13" s="5">
        <v>208.97438955999996</v>
      </c>
      <c r="D13" s="62"/>
      <c r="E13" s="55"/>
    </row>
    <row r="14" spans="1:11" ht="14.1" customHeight="1">
      <c r="B14" s="150" t="str">
        <f>IF(Indice_index!$Z$1=1,"C3. RESPOSTAS SOCIAIS","C3. SOCIAL RESPONSES")</f>
        <v>C3. RESPOSTAS SOCIAIS</v>
      </c>
      <c r="C14" s="5">
        <v>2.4529533800000003</v>
      </c>
      <c r="D14" s="62"/>
      <c r="E14" s="55"/>
    </row>
    <row r="15" spans="1:11" ht="14.1" customHeight="1">
      <c r="B15" s="150" t="str">
        <f>IF(Indice_index!$Z$1=1,"C4. CULTURA","C4. CULTURE")</f>
        <v>C4. CULTURA</v>
      </c>
      <c r="C15" s="5">
        <v>23.950005730000001</v>
      </c>
      <c r="D15" s="62"/>
      <c r="E15" s="55"/>
    </row>
    <row r="16" spans="1:11" ht="14.1" customHeight="1">
      <c r="B16" s="150" t="str">
        <f>IF(Indice_index!$Z$1=1,"C5. CAPITALIZAÇÃO E INOVAÇÃO EMPRESARIAL","C5. CAPITALIZATION AND BUSINESS INNOVATION")</f>
        <v>C5. CAPITALIZAÇÃO E INOVAÇÃO EMPRESARIAL</v>
      </c>
      <c r="C16" s="5">
        <v>455.86460193000079</v>
      </c>
      <c r="D16" s="62"/>
      <c r="E16" s="55"/>
    </row>
    <row r="17" spans="2:5" ht="14.1" customHeight="1">
      <c r="B17" s="150" t="str">
        <f>IF(Indice_index!$Z$1=1,"C6. QUALIFICAÇÕES E COMPETÊNCIAS","C6. QUALIFICATIONS AND SKILLS")</f>
        <v>C6. QUALIFICAÇÕES E COMPETÊNCIAS</v>
      </c>
      <c r="C17" s="5">
        <v>208.59072</v>
      </c>
      <c r="D17" s="62"/>
      <c r="E17" s="55"/>
    </row>
    <row r="18" spans="2:5" ht="14.1" customHeight="1">
      <c r="B18" s="150" t="str">
        <f>IF(Indice_index!$Z$1=1,"C7. INFRAESTRUTURAS","C7. INFRASTRUCTURES")</f>
        <v>C7. INFRAESTRUTURAS</v>
      </c>
      <c r="C18" s="5">
        <v>66.128888399999994</v>
      </c>
      <c r="D18" s="62"/>
      <c r="E18" s="55"/>
    </row>
    <row r="19" spans="2:5" ht="14.1" customHeight="1">
      <c r="B19" s="150" t="str">
        <f>IF(Indice_index!$Z$1=1,"C8. FLORESTAS","C8. FORESTS")</f>
        <v>C8. FLORESTAS</v>
      </c>
      <c r="C19" s="5">
        <v>49.932557480000014</v>
      </c>
      <c r="D19" s="62"/>
      <c r="E19" s="55"/>
    </row>
    <row r="20" spans="2:5" ht="14.1" customHeight="1">
      <c r="B20" s="150" t="str">
        <f>IF(Indice_index!$Z$1=1,"C9. GESTÃO HÍDRICA","C9. WATER MANAGEMENT")</f>
        <v>C9. GESTÃO HÍDRICA</v>
      </c>
      <c r="C20" s="5">
        <v>0.83043875</v>
      </c>
      <c r="D20" s="62"/>
      <c r="E20" s="55"/>
    </row>
    <row r="21" spans="2:5" ht="14.1" customHeight="1">
      <c r="B21" s="32" t="str">
        <f>IF(Indice_index!$Z$1=1,"TRANSIÇÃO CLIMÁTICA","CLIMATE TRANSITION")</f>
        <v>TRANSIÇÃO CLIMÁTICA</v>
      </c>
      <c r="C21" s="19">
        <f>+SUM(C22:C27)</f>
        <v>270.85709627000006</v>
      </c>
      <c r="D21" s="62"/>
      <c r="E21" s="55"/>
    </row>
    <row r="22" spans="2:5" ht="14.1" customHeight="1">
      <c r="B22" s="150" t="str">
        <f>IF(Indice_index!$Z$1=1,"C10. MAR","C10. SEA")</f>
        <v>C10. MAR</v>
      </c>
      <c r="C22" s="5">
        <v>62.807510310000012</v>
      </c>
      <c r="D22" s="62"/>
      <c r="E22" s="55"/>
    </row>
    <row r="23" spans="2:5" ht="14.1" customHeight="1">
      <c r="B23" s="150" t="str">
        <f>IF(Indice_index!$Z$1=1,"C11. DESCARBONIZAÇÃO DA INDÚSTRIA","C11. DECARBONIZATION OF INDUSTRY")</f>
        <v>C11. DESCARBONIZAÇÃO DA INDÚSTRIA</v>
      </c>
      <c r="C23" s="5">
        <v>122.51791166000001</v>
      </c>
      <c r="D23" s="62"/>
      <c r="E23" s="55"/>
    </row>
    <row r="24" spans="2:5" ht="14.1" customHeight="1">
      <c r="B24" s="150" t="str">
        <f>IF(Indice_index!$Z$1=1,"C12. BIOECONOMIA SUSTENTÁVEL","C12. SUSTAINABLE BIOECONOMY")</f>
        <v>C12. BIOECONOMIA SUSTENTÁVEL</v>
      </c>
      <c r="C24" s="5">
        <v>11.948330120000003</v>
      </c>
      <c r="D24" s="62"/>
      <c r="E24" s="55"/>
    </row>
    <row r="25" spans="2:5" ht="14.1" customHeight="1">
      <c r="B25" s="150" t="str">
        <f>IF(Indice_index!$Z$1=1,"C13. EFICIÊNCIA ENERGÉTICA DOS EDIFÍCIOS","C13. ENERGY EFFICIENCY IN BUILDINGS")</f>
        <v>C13. EFICIÊNCIA ENERGÉTICA DOS EDIFÍCIOS</v>
      </c>
      <c r="C25" s="5">
        <v>17.409439589999998</v>
      </c>
      <c r="D25" s="62"/>
      <c r="E25" s="55"/>
    </row>
    <row r="26" spans="2:5" ht="14.1" customHeight="1">
      <c r="B26" s="150" t="str">
        <f>IF(Indice_index!$Z$1=1,"C14. HIDROGÉNIO E RENOVÁVEIS","C14. HYDROGEN AND RENEWABLES")</f>
        <v>C14. HIDROGÉNIO E RENOVÁVEIS</v>
      </c>
      <c r="C26" s="5">
        <v>1.1286738399999998</v>
      </c>
      <c r="D26" s="62"/>
      <c r="E26" s="55"/>
    </row>
    <row r="27" spans="2:5" ht="14.1" customHeight="1">
      <c r="B27" s="150" t="str">
        <f>IF(Indice_index!$Z$1=1,"C15. MOBILIDADE SUSTENTÁVEL","C15. SUSTAINABLE MOBILITY")</f>
        <v>C15. MOBILIDADE SUSTENTÁVEL</v>
      </c>
      <c r="C27" s="5">
        <v>55.045230750000002</v>
      </c>
      <c r="D27" s="62"/>
      <c r="E27" s="55"/>
    </row>
    <row r="28" spans="2:5" ht="14.1" customHeight="1">
      <c r="B28" s="32" t="str">
        <f>IF(Indice_index!$Z$1=1,"TRANSIÇÃO DIGITAL","DIGITAL TRANSITION")</f>
        <v>TRANSIÇÃO DIGITAL</v>
      </c>
      <c r="C28" s="19">
        <f>+SUM(C29:C33)</f>
        <v>166.64111135999997</v>
      </c>
      <c r="D28" s="62"/>
      <c r="E28" s="55"/>
    </row>
    <row r="29" spans="2:5" ht="14.1" customHeight="1">
      <c r="B29" s="150" t="str">
        <f>IF(Indice_index!$Z$1=1,"C16. EMPRESAS 4.0","C16. COMPANIES 4.0")</f>
        <v>C16. EMPRESAS 4.0</v>
      </c>
      <c r="C29" s="5">
        <v>64.427503950000002</v>
      </c>
      <c r="D29" s="62"/>
      <c r="E29" s="55"/>
    </row>
    <row r="30" spans="2:5" ht="14.1" customHeight="1">
      <c r="B30" s="150" t="str">
        <f>IF(Indice_index!$Z$1=1,"C17. QUALIDADE E SUSTENTABILIDADE DAS FINANÇAS PÚBLICAS","C17. QUALITY AND SUSTAINABILITY OF PUBLIC FINANCES")</f>
        <v>C17. QUALIDADE E SUSTENTABILIDADE DAS FINANÇAS PÚBLICAS</v>
      </c>
      <c r="C30" s="5">
        <v>3.9556759400000003</v>
      </c>
      <c r="D30" s="62"/>
      <c r="E30" s="55"/>
    </row>
    <row r="31" spans="2:5" ht="14.1" customHeight="1">
      <c r="B31" s="150" t="str">
        <f>IF(Indice_index!$Z$1=1,"C18. JUSTIÇA ECONÓMICA E AMBIENTE DE NEGÓCIOS","C18. ECONOMIC JUSTICE AND BUSINESS ENVIRONMENT")</f>
        <v>C18. JUSTIÇA ECONÓMICA E AMBIENTE DE NEGÓCIOS</v>
      </c>
      <c r="C31" s="5">
        <v>36.665174189999988</v>
      </c>
      <c r="D31" s="62"/>
      <c r="E31" s="55"/>
    </row>
    <row r="32" spans="2:5" ht="14.1" customHeight="1">
      <c r="B32" s="150" t="str">
        <f>IF(Indice_index!$Z$1=1,"C19. ADMINISTRAÇÃO PÚBLICA MAIS EFICIENTE","C19. MORE EFFICIENT PUBLIC ADMINISTRATION")</f>
        <v>C19. ADMINISTRAÇÃO PÚBLICA MAIS EFICIENTE</v>
      </c>
      <c r="C32" s="5">
        <v>35.29965156999998</v>
      </c>
      <c r="D32" s="62"/>
      <c r="E32" s="62"/>
    </row>
    <row r="33" spans="2:9" ht="14.1" customHeight="1">
      <c r="B33" s="150" t="str">
        <f>IF(Indice_index!$Z$1=1,"C20. ESCOLA DIGITAL","C20. DIGITAL SCHOOL")</f>
        <v>C20. ESCOLA DIGITAL</v>
      </c>
      <c r="C33" s="5">
        <v>26.293105710000006</v>
      </c>
      <c r="D33" s="62"/>
      <c r="E33" s="55"/>
    </row>
    <row r="34" spans="2:9" ht="14.1" customHeight="1">
      <c r="B34" s="100" t="str">
        <f>IF(Indice_index!$Z$1=1,"Despesa Total","Total Expenditure")</f>
        <v>Despesa Total</v>
      </c>
      <c r="C34" s="29">
        <f>+C11+C21+C28</f>
        <v>1516.3793872400008</v>
      </c>
      <c r="D34" s="62"/>
      <c r="E34" s="63"/>
    </row>
    <row r="35" spans="2:9" ht="15">
      <c r="B35" s="10" t="str">
        <f>IF(Indice_index!$Z$1=1,"Notas:","Notes:")</f>
        <v>Notas:</v>
      </c>
      <c r="C35" s="10"/>
      <c r="D35" s="10"/>
      <c r="E35" s="10"/>
      <c r="F35" s="10"/>
      <c r="G35" s="10"/>
      <c r="H35" s="10"/>
      <c r="I35" s="10"/>
    </row>
    <row r="36" spans="2:9" ht="15">
      <c r="B36" s="379" t="str">
        <f>IF(Indice_index!$Z$1=1,"Valores consolidados de fluxos internos à Administração Central. Não inclui diferenças de consolidação.","Consolidated values ​​of internal flows to the Central Administration. Does not include consolidation differences.")</f>
        <v>Valores consolidados de fluxos internos à Administração Central. Não inclui diferenças de consolidação.</v>
      </c>
      <c r="C36" s="379"/>
      <c r="D36" s="379"/>
      <c r="E36" s="379"/>
      <c r="F36" s="379"/>
      <c r="G36" s="379"/>
      <c r="H36" s="379"/>
      <c r="I36" s="379"/>
    </row>
    <row r="37" spans="2:9" ht="15">
      <c r="B37" s="188" t="str">
        <f>IF(Indice_index!$Z$1=1,"Fonte: Direção-Geral do Orçamento.","Source: Budget General Directorate.")</f>
        <v>Fonte: Direção-Geral do Orçamento.</v>
      </c>
      <c r="C37" s="188"/>
      <c r="D37" s="188"/>
      <c r="E37" s="31"/>
      <c r="F37" s="244"/>
      <c r="G37" s="30"/>
      <c r="H37" s="30"/>
      <c r="I37" s="189"/>
    </row>
    <row r="38" spans="2:9" ht="15">
      <c r="B38" s="386"/>
      <c r="C38" s="386"/>
      <c r="D38" s="68"/>
      <c r="E38" s="68"/>
    </row>
    <row r="39" spans="2:9" ht="15" hidden="1">
      <c r="B39" s="385"/>
      <c r="C39" s="385"/>
      <c r="D39" s="68"/>
      <c r="E39" s="68"/>
    </row>
    <row r="40" spans="2:9" ht="15" hidden="1">
      <c r="B40" s="385"/>
      <c r="C40" s="385"/>
      <c r="D40" s="68"/>
      <c r="E40" s="68"/>
    </row>
    <row r="41" spans="2:9" ht="15" hidden="1">
      <c r="B41" s="386"/>
      <c r="C41" s="386"/>
      <c r="D41" s="58"/>
      <c r="E41" s="58"/>
    </row>
  </sheetData>
  <mergeCells count="5">
    <mergeCell ref="B36:I36"/>
    <mergeCell ref="B38:C38"/>
    <mergeCell ref="B39:C39"/>
    <mergeCell ref="B40:C40"/>
    <mergeCell ref="B41:C41"/>
  </mergeCells>
  <conditionalFormatting sqref="C12:C20 C22:C27 C29:C33">
    <cfRule type="cellIs" dxfId="53"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37"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38"/>
  <sheetViews>
    <sheetView showGridLines="0" tabSelected="1" zoomScaleNormal="100" workbookViewId="0">
      <selection activeCell="C8" sqref="C8"/>
    </sheetView>
  </sheetViews>
  <sheetFormatPr defaultColWidth="0" defaultRowHeight="15" zeroHeight="1"/>
  <cols>
    <col min="1" max="2" width="3.85546875" style="37" customWidth="1"/>
    <col min="3" max="3" width="125.5703125" style="37" customWidth="1"/>
    <col min="4" max="6" width="15.5703125" style="37" customWidth="1"/>
    <col min="7" max="7" width="9.42578125" style="37" customWidth="1"/>
    <col min="8" max="24" width="0" style="37" hidden="1" customWidth="1"/>
    <col min="25" max="26" width="9.42578125" style="37" hidden="1" customWidth="1"/>
    <col min="27" max="28" width="0" style="37" hidden="1" customWidth="1"/>
    <col min="29" max="16384" width="9.42578125" hidden="1"/>
  </cols>
  <sheetData>
    <row r="1" spans="2:26">
      <c r="B1"/>
      <c r="C1"/>
      <c r="D1"/>
      <c r="E1"/>
      <c r="F1"/>
      <c r="G1"/>
      <c r="H1"/>
      <c r="I1"/>
      <c r="J1"/>
      <c r="K1"/>
      <c r="L1"/>
      <c r="M1"/>
      <c r="N1"/>
      <c r="O1"/>
      <c r="P1"/>
      <c r="Q1"/>
      <c r="R1"/>
      <c r="S1"/>
      <c r="T1"/>
      <c r="U1"/>
      <c r="V1"/>
      <c r="W1"/>
      <c r="X1" s="49">
        <v>1</v>
      </c>
      <c r="Y1" s="43" t="s">
        <v>7</v>
      </c>
      <c r="Z1" s="49">
        <v>1</v>
      </c>
    </row>
    <row r="2" spans="2:26">
      <c r="B2" s="48"/>
      <c r="C2"/>
      <c r="D2"/>
      <c r="E2"/>
      <c r="F2"/>
      <c r="G2"/>
      <c r="H2"/>
      <c r="I2"/>
      <c r="J2"/>
      <c r="K2"/>
      <c r="L2"/>
      <c r="M2"/>
      <c r="N2"/>
      <c r="O2"/>
      <c r="P2"/>
      <c r="Q2"/>
      <c r="R2"/>
      <c r="S2"/>
      <c r="T2"/>
      <c r="U2"/>
      <c r="V2"/>
      <c r="W2"/>
      <c r="X2" s="49">
        <v>2</v>
      </c>
      <c r="Y2" s="43" t="s">
        <v>6</v>
      </c>
      <c r="Z2" s="49"/>
    </row>
    <row r="3" spans="2:26">
      <c r="B3" s="48"/>
      <c r="C3"/>
      <c r="D3"/>
      <c r="E3"/>
      <c r="F3"/>
      <c r="G3"/>
      <c r="H3"/>
      <c r="I3"/>
      <c r="J3"/>
      <c r="K3"/>
      <c r="L3"/>
      <c r="M3"/>
      <c r="N3"/>
      <c r="O3"/>
      <c r="P3"/>
      <c r="Q3"/>
      <c r="R3"/>
      <c r="S3"/>
      <c r="T3"/>
      <c r="U3"/>
      <c r="V3"/>
      <c r="W3"/>
      <c r="X3"/>
      <c r="Y3"/>
      <c r="Z3"/>
    </row>
    <row r="4" spans="2:26" ht="91.35" customHeight="1">
      <c r="B4" s="39"/>
      <c r="C4" s="47"/>
      <c r="D4"/>
      <c r="E4"/>
      <c r="F4"/>
      <c r="G4"/>
      <c r="H4"/>
      <c r="I4"/>
      <c r="J4"/>
      <c r="K4"/>
      <c r="L4"/>
      <c r="M4"/>
      <c r="N4"/>
      <c r="O4"/>
      <c r="P4"/>
      <c r="Q4"/>
      <c r="R4"/>
      <c r="S4"/>
      <c r="T4"/>
      <c r="U4"/>
      <c r="V4"/>
      <c r="W4"/>
      <c r="X4"/>
      <c r="Y4"/>
      <c r="Z4"/>
    </row>
    <row r="5" spans="2:26">
      <c r="B5" s="340" t="s">
        <v>5</v>
      </c>
      <c r="C5" s="340"/>
      <c r="D5" s="44"/>
      <c r="E5" s="43"/>
      <c r="F5" s="43"/>
      <c r="G5" s="46"/>
      <c r="H5" s="46"/>
      <c r="I5" s="43"/>
      <c r="J5" s="43"/>
      <c r="K5" s="43"/>
      <c r="L5" s="43"/>
      <c r="M5" s="43"/>
      <c r="N5" s="43"/>
      <c r="O5" s="43"/>
      <c r="P5" s="43"/>
      <c r="Q5" s="43"/>
      <c r="R5" s="43"/>
      <c r="S5" s="43"/>
      <c r="T5" s="43"/>
      <c r="U5" s="43"/>
      <c r="V5" s="43"/>
      <c r="W5" s="43"/>
      <c r="X5" s="43"/>
      <c r="Y5" s="43"/>
      <c r="Z5" s="43"/>
    </row>
    <row r="6" spans="2:26">
      <c r="B6" s="45"/>
      <c r="C6" s="45"/>
      <c r="D6" s="44"/>
      <c r="E6" s="43"/>
      <c r="F6" s="43"/>
      <c r="G6" s="43"/>
      <c r="H6" s="43"/>
      <c r="I6" s="43"/>
      <c r="J6" s="43"/>
      <c r="K6" s="43"/>
      <c r="L6" s="43"/>
      <c r="M6" s="43"/>
      <c r="N6" s="43"/>
      <c r="O6" s="43"/>
      <c r="P6" s="43"/>
      <c r="Q6" s="43"/>
      <c r="R6" s="43"/>
      <c r="S6" s="43"/>
      <c r="T6" s="43"/>
      <c r="U6" s="43"/>
      <c r="V6" s="43"/>
      <c r="W6" s="43"/>
      <c r="X6" s="43"/>
      <c r="Y6" s="43"/>
      <c r="Z6" s="43"/>
    </row>
    <row r="7" spans="2:26"/>
    <row r="8" spans="2:26" ht="30">
      <c r="C8" s="42"/>
      <c r="D8" s="41" t="str">
        <f>IF(Indice_index!$Z$1=1,"Última actualização","Last updated on")</f>
        <v>Última actualização</v>
      </c>
      <c r="E8" s="41" t="str">
        <f>IF(Indice_index!$Z$1=1,"Próxima actualização","Next update")</f>
        <v>Próxima actualização</v>
      </c>
      <c r="F8" s="41" t="str">
        <f>IF(Indice_index!$Z$1=1,"Último valor disponível","Last available figures")</f>
        <v>Último valor disponível</v>
      </c>
    </row>
    <row r="9" spans="2:26" ht="20.85" customHeight="1">
      <c r="C9" s="38" t="str">
        <f>+'1 - Saldo Global Rec Desp'!B8</f>
        <v>Quadro 1 - Receita, despesa e saldo das Administrações Públicas</v>
      </c>
      <c r="D9" s="341" t="str">
        <f>IF(Indice_index!$Z$1=1,"30-setembro-24","30-September-24")</f>
        <v>30-setembro-24</v>
      </c>
      <c r="E9" s="342" t="str">
        <f>IF(Indice_index!$Z$1=1,"31-outubro-24","31-October-24")</f>
        <v>31-outubro-24</v>
      </c>
      <c r="F9" s="342" t="str">
        <f>IF(Indice_index!$Z$1=1,"setembro 2024","September 2024")</f>
        <v>setembro 2024</v>
      </c>
    </row>
    <row r="10" spans="2:26" ht="20.85" customHeight="1">
      <c r="C10" s="38" t="str">
        <f>+'2 - Conta Consol AP'!B8</f>
        <v>Quadro 2 - Conta Consolidada das Administrações Públicas</v>
      </c>
      <c r="D10" s="341"/>
      <c r="E10" s="342"/>
      <c r="F10" s="342"/>
    </row>
    <row r="11" spans="2:26" ht="20.85" hidden="1" customHeight="1">
      <c r="C11" s="38" t="e">
        <f>+#REF!</f>
        <v>#REF!</v>
      </c>
      <c r="D11" s="341"/>
      <c r="E11" s="342"/>
      <c r="F11" s="342"/>
    </row>
    <row r="12" spans="2:26" ht="20.85" hidden="1" customHeight="1">
      <c r="C12" s="38" t="e">
        <f>+#REF!</f>
        <v>#REF!</v>
      </c>
      <c r="D12" s="341"/>
      <c r="E12" s="342"/>
      <c r="F12" s="342"/>
    </row>
    <row r="13" spans="2:26" ht="20.85" customHeight="1">
      <c r="C13" s="38" t="str">
        <f>+'3 - Conta AC + SS'!B8</f>
        <v>Quadro 3 - Conta Consolidada da Administração Central e Segurança Social</v>
      </c>
      <c r="D13" s="341"/>
      <c r="E13" s="342"/>
      <c r="F13" s="342"/>
    </row>
    <row r="14" spans="2:26" ht="20.85" customHeight="1">
      <c r="C14" s="38" t="str">
        <f>+'4 - Conta AC'!B8</f>
        <v>Quadro 4 - Conta Consolidada da Administração Central</v>
      </c>
      <c r="D14" s="341"/>
      <c r="E14" s="342"/>
      <c r="F14" s="342"/>
    </row>
    <row r="15" spans="2:26" ht="20.85" customHeight="1">
      <c r="C15" s="38" t="str">
        <f>+'5 - Estado'!B8</f>
        <v>Quadro 5 - Execução Orçamental do Estado</v>
      </c>
      <c r="D15" s="341"/>
      <c r="E15" s="342"/>
      <c r="F15" s="342"/>
      <c r="J15" s="40"/>
    </row>
    <row r="16" spans="2:26" ht="20.85" customHeight="1">
      <c r="C16" s="38" t="str">
        <f>+'6 - R_Est'!B8</f>
        <v>Quadro 6 - Receita do Estado</v>
      </c>
      <c r="D16" s="341"/>
      <c r="E16" s="342"/>
      <c r="F16" s="342"/>
    </row>
    <row r="17" spans="3:6" ht="20.85" customHeight="1">
      <c r="C17" s="38" t="str">
        <f>+'7 - SFA'!B8</f>
        <v>Quadro 7 - Execução Orçamental dos Serviços e Fundos Autónomos (inclui Entidades Públicas Reclassificadas da Administração Central)</v>
      </c>
      <c r="D17" s="341"/>
      <c r="E17" s="342"/>
      <c r="F17" s="342"/>
    </row>
    <row r="18" spans="3:6" ht="20.85" customHeight="1">
      <c r="C18" s="38" t="str">
        <f>+'8 - EPR'!B8</f>
        <v>Quadro 8 - Execução Orçamental das Entidades Públicas Reclassificadas da Administração Central</v>
      </c>
      <c r="D18" s="341"/>
      <c r="E18" s="342"/>
      <c r="F18" s="342"/>
    </row>
    <row r="19" spans="3:6" ht="20.85" customHeight="1">
      <c r="C19" s="38" t="str">
        <f>+'9 - CGA'!B8</f>
        <v>Quadro 9 - Execução Orçamental da Caixa Geral de Aposentações</v>
      </c>
      <c r="D19" s="341"/>
      <c r="E19" s="342"/>
      <c r="F19" s="342"/>
    </row>
    <row r="20" spans="3:6" ht="20.85" customHeight="1">
      <c r="C20" s="38" t="str">
        <f>+'10 - SS'!B8</f>
        <v>Quadro 10 - Execução Orçamental da Segurança Social</v>
      </c>
      <c r="D20" s="341"/>
      <c r="E20" s="342"/>
      <c r="F20" s="342"/>
    </row>
    <row r="21" spans="3:6" ht="20.85" customHeight="1">
      <c r="C21" s="38" t="str">
        <f>+'11 - SS Eco'!B8</f>
        <v>Quadro 11 - Execução Orçamental da Segurança Social por Classificação Económica</v>
      </c>
      <c r="D21" s="341"/>
      <c r="E21" s="342"/>
      <c r="F21" s="342"/>
    </row>
    <row r="22" spans="3:6" ht="20.85" customHeight="1">
      <c r="C22" s="38" t="str">
        <f>+'12 - Adm R'!B8</f>
        <v>Quadro 12 - Execução Orçamental da Administração Regional</v>
      </c>
      <c r="D22" s="341"/>
      <c r="E22" s="342"/>
      <c r="F22" s="342"/>
    </row>
    <row r="23" spans="3:6" ht="20.85" customHeight="1">
      <c r="C23" s="38" t="str">
        <f>+'13 - Adm Loc'!B8</f>
        <v>Quadro 13 - Execução Orçamental dos Municípios</v>
      </c>
      <c r="D23" s="341"/>
      <c r="E23" s="342"/>
      <c r="F23" s="342"/>
    </row>
    <row r="24" spans="3:6" ht="20.85" customHeight="1">
      <c r="C24" s="38" t="str">
        <f>'14 - PRR Conta AC'!B8</f>
        <v>Quadro 14 - Plano de Recuperação e Resiliência - Conta Consolidada da Administração Central</v>
      </c>
      <c r="D24" s="341"/>
      <c r="E24" s="342"/>
      <c r="F24" s="342"/>
    </row>
    <row r="25" spans="3:6" ht="20.85" customHeight="1">
      <c r="C25" s="38" t="str">
        <f>'15 - PRR Exec Programa'!B8</f>
        <v>Quadro 15 - Plano de Recuperação e Resiliência - Administração Central por Programa Orçamental</v>
      </c>
      <c r="D25" s="341"/>
      <c r="E25" s="342"/>
      <c r="F25" s="342"/>
    </row>
    <row r="26" spans="3:6" ht="20.85" customHeight="1">
      <c r="C26" s="38" t="str">
        <f>'16 - PRR Exec Componente'!B8</f>
        <v>Quadro 16 - Plano de Recuperação e Resiliência - Administração Central por Dimensão e Componente</v>
      </c>
      <c r="D26" s="341"/>
      <c r="E26" s="342"/>
      <c r="F26" s="342"/>
    </row>
    <row r="27" spans="3:6" ht="20.85" customHeight="1">
      <c r="C27" s="38" t="str">
        <f>'17 - Despesa Ativos '!B8</f>
        <v>Quadro 17 - Despesa com Ativos Financeiros do Estado</v>
      </c>
      <c r="D27" s="341"/>
      <c r="E27" s="342"/>
      <c r="F27" s="342"/>
    </row>
    <row r="28" spans="3:6" ht="20.85" customHeight="1">
      <c r="C28" s="38" t="str">
        <f>'18 - SNS exec fin'!B8</f>
        <v>Quadro 18 - Execução Financeira Consolidada do Serviço Nacional de Saúde</v>
      </c>
      <c r="D28" s="341"/>
      <c r="E28" s="342"/>
      <c r="F28" s="342"/>
    </row>
    <row r="29" spans="3:6" ht="20.85" customHeight="1">
      <c r="C29" s="38" t="str">
        <f>'19 - Dív não Fin'!B8</f>
        <v>Quadro 19 - Dívida não Financeira das Administrações Públicas</v>
      </c>
      <c r="D29" s="341"/>
      <c r="E29" s="342"/>
      <c r="F29" s="342"/>
    </row>
    <row r="30" spans="3:6" ht="20.85" customHeight="1">
      <c r="C30" s="38" t="str">
        <f>'20 - CGA Ind'!B8</f>
        <v>Quadro 20 - Indicadores Físicos e Financeiros do Sistema de Proteção Social da Função Pública</v>
      </c>
      <c r="D30" s="341"/>
      <c r="E30" s="342"/>
      <c r="F30" s="342"/>
    </row>
    <row r="31" spans="3:6" ht="20.85" customHeight="1">
      <c r="C31" s="38" t="str">
        <f>'21 - Ef Temp AC+SS'!B8</f>
        <v>Quadro 21 - Efeitos temporários/especiais na conta da Administração Central e Segurança Social</v>
      </c>
      <c r="D31" s="341"/>
      <c r="E31" s="342"/>
      <c r="F31" s="342"/>
    </row>
    <row r="32" spans="3:6" ht="20.85" customHeight="1">
      <c r="C32" s="38" t="str">
        <f>'22 - Estimativas'!B8</f>
        <v>Quadro 22 - Estimativas de execução consideradas na conta da Administração Central</v>
      </c>
      <c r="D32" s="341"/>
      <c r="E32" s="342"/>
      <c r="F32" s="342"/>
    </row>
    <row r="33" spans="1:28" ht="20.85" customHeight="1">
      <c r="C33" s="38" t="str">
        <f>'23 - Util. Cond. Dot. Orç'!B8</f>
        <v>Quadro 23 - Utilização condicionada das dotações orçamentais do OE 2024</v>
      </c>
      <c r="D33" s="341"/>
      <c r="E33" s="342"/>
      <c r="F33" s="342"/>
    </row>
    <row r="34" spans="1:28" ht="20.85" customHeight="1">
      <c r="C34" s="38" t="str">
        <f>'24 - Desp. Efetiva por PO'!B8</f>
        <v>Quadro 24 - Despesa Efetiva Consolidada por Programa Orçamental</v>
      </c>
      <c r="D34" s="341"/>
      <c r="E34" s="342"/>
      <c r="F34" s="342"/>
    </row>
    <row r="35" spans="1:28" ht="20.85" customHeight="1">
      <c r="C35" s="38" t="str">
        <f>'25 - Lista Entidades AC 2024'!B8</f>
        <v>Quadro 25 - Lista de entidades da Administração Central em 2024</v>
      </c>
      <c r="D35" s="341"/>
      <c r="E35" s="342"/>
      <c r="F35" s="342"/>
    </row>
    <row r="36" spans="1:28">
      <c r="A36"/>
      <c r="B36" s="275"/>
      <c r="C36" s="275"/>
      <c r="D36" s="275"/>
      <c r="E36" s="275"/>
      <c r="F36" s="275"/>
      <c r="G36"/>
      <c r="H36"/>
      <c r="I36"/>
      <c r="J36"/>
      <c r="K36"/>
      <c r="L36"/>
      <c r="M36"/>
      <c r="N36"/>
      <c r="O36"/>
      <c r="P36"/>
      <c r="Q36"/>
      <c r="R36"/>
      <c r="S36"/>
      <c r="T36"/>
      <c r="U36"/>
      <c r="V36"/>
      <c r="W36"/>
      <c r="X36"/>
      <c r="Y36"/>
      <c r="Z36"/>
      <c r="AA36"/>
      <c r="AB36"/>
    </row>
    <row r="37" spans="1:28"/>
    <row r="38" spans="1:28"/>
  </sheetData>
  <mergeCells count="4">
    <mergeCell ref="B5:C5"/>
    <mergeCell ref="D9:D35"/>
    <mergeCell ref="E9:E35"/>
    <mergeCell ref="F9:F35"/>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Medidas COVID-19 AP'!A1" display="'3 - Medidas COVID-19 AP'!A1" xr:uid="{00000000-0004-0000-0100-000002000000}"/>
    <hyperlink ref="C12" location="'4 - Medidas COVID-19 Subsetores'!A1" display="'4 - Medidas COVID-19 Subsetores'!A1" xr:uid="{00000000-0004-0000-0100-000003000000}"/>
    <hyperlink ref="C13" location="'3 - Conta AC + SS'!A1" display="'3 - Conta AC + SS'!A1" xr:uid="{00000000-0004-0000-0100-000004000000}"/>
    <hyperlink ref="C14" location="'4 - Conta AC'!A1" display="'4 - Conta AC'!A1" xr:uid="{00000000-0004-0000-0100-000005000000}"/>
    <hyperlink ref="C15" location="'5 - Estado'!A1" display="'5 - Estado'!A1" xr:uid="{00000000-0004-0000-0100-000006000000}"/>
    <hyperlink ref="C16" location="'6 - R_Est'!A1" display="'6 - R_Est'!A1" xr:uid="{00000000-0004-0000-0100-000007000000}"/>
    <hyperlink ref="C17" location="'7 - SFA'!A1" display="'7 - SFA'!A1" xr:uid="{00000000-0004-0000-0100-000008000000}"/>
    <hyperlink ref="C18" location="'8 - EPR'!A1" display="'8 - EPR'!A1" xr:uid="{00000000-0004-0000-0100-000009000000}"/>
    <hyperlink ref="C19" location="'9 - CGA'!A1" display="'9 - CGA'!A1" xr:uid="{00000000-0004-0000-0100-00000A000000}"/>
    <hyperlink ref="C20" location="'10 - SS'!A1" display="'10 - SS'!A1" xr:uid="{00000000-0004-0000-0100-00000B000000}"/>
    <hyperlink ref="C21" location="'11 - SS Eco'!A1" display="'11 - SS Eco'!A1" xr:uid="{00000000-0004-0000-0100-00000C000000}"/>
    <hyperlink ref="C22" location="'12 - Adm R'!A1" display="'12 - Adm R'!A1" xr:uid="{00000000-0004-0000-0100-00000D000000}"/>
    <hyperlink ref="C23" location="'13 - Adm Loc'!A1" display="'13 - Adm Loc'!A1" xr:uid="{00000000-0004-0000-0100-00000E000000}"/>
    <hyperlink ref="C27" location="'17 - Despesa Ativos '!A1" display="'17 - Despesa Ativos '!A1" xr:uid="{00000000-0004-0000-0100-00000F000000}"/>
    <hyperlink ref="C28" location="'18 - SNS exec fin'!A1" display="'18 - SNS exec fin'!A1" xr:uid="{00000000-0004-0000-0100-000010000000}"/>
    <hyperlink ref="C29" location="'19 - Dív não Fin'!A1" display="'19 - Dív não Fin'!A1" xr:uid="{00000000-0004-0000-0100-000011000000}"/>
    <hyperlink ref="C30" location="'20 - CGA Ind'!A1" display="'20 - CGA Ind'!A1" xr:uid="{00000000-0004-0000-0100-000012000000}"/>
    <hyperlink ref="C31" location="'21 - Ef Temp AC+SS'!A1" display="'21 - Ef Temp AC+SS'!A1" xr:uid="{00000000-0004-0000-0100-000013000000}"/>
    <hyperlink ref="C32" location="'22 - Estimativas'!A1" display="'22 - Estimativas'!A1" xr:uid="{00000000-0004-0000-0100-000014000000}"/>
    <hyperlink ref="C33" location="'23 - Util. Cond. Dot. Orç'!A1" display="'23 - Util. Cond. Dot. Orç'!A1" xr:uid="{00000000-0004-0000-0100-000015000000}"/>
    <hyperlink ref="C34" location="'24 - Desp. Efetiva por PO'!A1" display="'24 - Desp. Efetiva por PO'!A1" xr:uid="{00000000-0004-0000-0100-000016000000}"/>
    <hyperlink ref="C35" location="'25 - Lista Entidades AC 2024'!A1" display="'25 - Lista Entidades AC 2024'!A1" xr:uid="{00000000-0004-0000-0100-000017000000}"/>
    <hyperlink ref="C24" location="'14 - PRR Conta AC'!A1" display="'14 - PRR Conta AC'!A1" xr:uid="{00000000-0004-0000-0100-000018000000}"/>
    <hyperlink ref="C25" location="'15 - PRR Exec Programa'!A1" display="'15 - PRR Exec Programa'!A1" xr:uid="{00000000-0004-0000-0100-000019000000}"/>
    <hyperlink ref="C26" location="'16 - PRR Exec Componente'!A1" display="'16 - PRR Exec Componente'!A1" xr:uid="{00000000-0004-0000-0100-00001A000000}"/>
  </hyperlinks>
  <pageMargins left="0.70866141732283472" right="0.70866141732283472" top="0.74803149606299213" bottom="0.74803149606299213" header="0.31496062992125984" footer="0.31496062992125984"/>
  <pageSetup paperSize="9" scale="58" orientation="portrait" r:id="rId1"/>
  <ignoredErrors>
    <ignoredError sqref="F27:F35 F10:F23 E10:E23 E27:E35 E24:E26"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Q36"/>
  <sheetViews>
    <sheetView showGridLines="0" zoomScaleNormal="100" workbookViewId="0"/>
  </sheetViews>
  <sheetFormatPr defaultColWidth="0" defaultRowHeight="14.85" customHeight="1" zeroHeight="1"/>
  <cols>
    <col min="1" max="1" width="8.5703125" style="98" customWidth="1"/>
    <col min="2" max="2" width="35.42578125" style="98" customWidth="1"/>
    <col min="3" max="9" width="9.42578125" style="98" customWidth="1"/>
    <col min="10" max="10" width="8.5703125" style="98" customWidth="1"/>
    <col min="11" max="17" width="0" hidden="1" customWidth="1"/>
    <col min="18" max="16384" width="9.42578125" hidden="1"/>
  </cols>
  <sheetData>
    <row r="1" spans="2:10" ht="14.85" customHeight="1"/>
    <row r="2" spans="2:10" ht="15"/>
    <row r="3" spans="2:10" ht="15"/>
    <row r="4" spans="2:10" ht="15"/>
    <row r="5" spans="2:10" ht="15"/>
    <row r="6" spans="2:10" ht="15"/>
    <row r="7" spans="2:10" ht="50.1" customHeight="1">
      <c r="B7" s="13"/>
      <c r="C7" s="14"/>
      <c r="D7" s="12"/>
      <c r="E7" s="12"/>
      <c r="F7" s="12"/>
      <c r="G7" s="12"/>
      <c r="H7" s="12"/>
      <c r="I7" s="12"/>
    </row>
    <row r="8" spans="2:10" ht="15.75">
      <c r="B8" s="1" t="str">
        <f>IF(Indice_index!$Z$1=1,"Quadro 17 - Despesa com Ativos Financeiros do Estado","17 - State Financial assets expenditure")</f>
        <v>Quadro 17 - Despesa com Ativos Financeiros do Estado</v>
      </c>
      <c r="C8" s="2"/>
      <c r="D8" s="2"/>
      <c r="E8" s="2"/>
      <c r="F8" s="2"/>
      <c r="G8" s="2"/>
      <c r="H8" s="2"/>
      <c r="I8" s="2"/>
    </row>
    <row r="9" spans="2:10" ht="15">
      <c r="B9" s="3" t="str">
        <f>+'3 - Conta AC + SS'!B9</f>
        <v>Período: janeiro a setembro</v>
      </c>
      <c r="C9" s="3"/>
      <c r="D9" s="3"/>
      <c r="E9" s="3"/>
      <c r="F9" s="3"/>
      <c r="G9" s="3"/>
      <c r="H9" s="3" t="str">
        <f>IF(Indice_index!$Z$1=1,"€ Milhões","€ Millions")</f>
        <v>€ Milhões</v>
      </c>
    </row>
    <row r="10" spans="2:10"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377" t="str">
        <f>IF(Indice_index!$Z$1=1,"Execução Acumulada","Accumulated Execution")</f>
        <v>Execução Acumulada</v>
      </c>
      <c r="H10" s="377" t="str">
        <f>IF(Indice_index!$Z$1=1,"Grau de Execução (%)","Execution Rate (%)")</f>
        <v>Grau de Execução (%)</v>
      </c>
    </row>
    <row r="11" spans="2:10" ht="15" customHeight="1">
      <c r="B11" s="376"/>
      <c r="C11" s="24">
        <v>2023</v>
      </c>
      <c r="D11" s="24">
        <v>2024</v>
      </c>
      <c r="E11" s="271">
        <v>45505</v>
      </c>
      <c r="F11" s="271">
        <v>45536</v>
      </c>
      <c r="G11" s="376"/>
      <c r="H11" s="376"/>
    </row>
    <row r="12" spans="2:10" ht="14.1" customHeight="1">
      <c r="B12" s="311" t="str">
        <f>IF(Indice_index!$Z$1=1,"Empréstimos a curto prazo","Short term loans")</f>
        <v>Empréstimos a curto prazo</v>
      </c>
      <c r="C12" s="312">
        <v>35.365682</v>
      </c>
      <c r="D12" s="312">
        <v>10</v>
      </c>
      <c r="E12" s="312">
        <v>0</v>
      </c>
      <c r="F12" s="312">
        <v>0</v>
      </c>
      <c r="G12" s="312">
        <v>0</v>
      </c>
      <c r="H12" s="312">
        <v>0</v>
      </c>
      <c r="I12" s="99"/>
    </row>
    <row r="13" spans="2:10" ht="14.1" customHeight="1">
      <c r="B13" s="311" t="str">
        <f>IF(Indice_index!$Z$1=1,"Empréstimos a médio e longo prazos","Medium-long term loans")</f>
        <v>Empréstimos a médio e longo prazos</v>
      </c>
      <c r="C13" s="312">
        <v>546.58508176999999</v>
      </c>
      <c r="D13" s="312">
        <v>5916.9812060000004</v>
      </c>
      <c r="E13" s="312">
        <v>56</v>
      </c>
      <c r="F13" s="312">
        <v>16.68248887</v>
      </c>
      <c r="G13" s="312">
        <v>503.83326732999996</v>
      </c>
      <c r="H13" s="312">
        <v>8.5150391692827672</v>
      </c>
      <c r="I13" s="338"/>
      <c r="J13" s="339"/>
    </row>
    <row r="14" spans="2:10" ht="14.1" customHeight="1">
      <c r="B14" s="313" t="str">
        <f>IF(Indice_index!$Z$1=1,"Entidades públicas","Public entities")</f>
        <v>Entidades públicas</v>
      </c>
      <c r="C14" s="302">
        <v>0</v>
      </c>
      <c r="D14" s="302">
        <v>2003</v>
      </c>
      <c r="E14" s="302">
        <v>0</v>
      </c>
      <c r="F14" s="302">
        <v>0</v>
      </c>
      <c r="G14" s="302">
        <v>0</v>
      </c>
      <c r="H14" s="312">
        <v>0</v>
      </c>
      <c r="I14" s="338"/>
      <c r="J14" s="339"/>
    </row>
    <row r="15" spans="2:10" ht="14.1" customHeight="1">
      <c r="B15" s="313" t="str">
        <f>IF(Indice_index!$Z$1=1,"Serviços e fundos autónomos","Autonomous Services and Funds ")</f>
        <v>Serviços e fundos autónomos</v>
      </c>
      <c r="C15" s="302">
        <v>41.378942689999995</v>
      </c>
      <c r="D15" s="302">
        <v>847.23227300000008</v>
      </c>
      <c r="E15" s="302">
        <v>56</v>
      </c>
      <c r="F15" s="302">
        <v>0</v>
      </c>
      <c r="G15" s="302">
        <v>375.15077845999997</v>
      </c>
      <c r="H15" s="312">
        <v>44.279566585868238</v>
      </c>
      <c r="I15" s="338"/>
      <c r="J15" s="339"/>
    </row>
    <row r="16" spans="2:10" ht="14.1" customHeight="1">
      <c r="B16" s="313" t="str">
        <f>IF(Indice_index!$Z$1=1,"Entidades públicas reclassificadas","Reclassified public entities")</f>
        <v>Entidades públicas reclassificadas</v>
      </c>
      <c r="C16" s="302">
        <v>297.97900799999996</v>
      </c>
      <c r="D16" s="302">
        <v>2197.9015929999996</v>
      </c>
      <c r="E16" s="302">
        <v>0</v>
      </c>
      <c r="F16" s="302">
        <v>1.68248887</v>
      </c>
      <c r="G16" s="302">
        <v>1.68248887</v>
      </c>
      <c r="H16" s="312">
        <v>7.6549781635287265E-2</v>
      </c>
      <c r="I16" s="338"/>
      <c r="J16" s="339"/>
    </row>
    <row r="17" spans="2:10" ht="14.1" customHeight="1">
      <c r="B17" s="313" t="str">
        <f>IF(Indice_index!$Z$1=1,"Administração Regional","Regional Government")</f>
        <v>Administração Regional</v>
      </c>
      <c r="C17" s="302">
        <v>0</v>
      </c>
      <c r="D17" s="302">
        <v>0</v>
      </c>
      <c r="E17" s="302">
        <v>0</v>
      </c>
      <c r="F17" s="302">
        <v>0</v>
      </c>
      <c r="G17" s="302">
        <v>110</v>
      </c>
      <c r="H17" s="312">
        <v>0</v>
      </c>
      <c r="I17" s="338"/>
      <c r="J17" s="339"/>
    </row>
    <row r="18" spans="2:10" ht="14.1" customHeight="1">
      <c r="B18" s="313" t="str">
        <f>IF(Indice_index!$Z$1=1,"Países terceiros","Other countries")</f>
        <v>Países terceiros</v>
      </c>
      <c r="C18" s="302">
        <v>2</v>
      </c>
      <c r="D18" s="302">
        <v>15</v>
      </c>
      <c r="E18" s="302">
        <v>0</v>
      </c>
      <c r="F18" s="302">
        <v>15</v>
      </c>
      <c r="G18" s="302">
        <v>17</v>
      </c>
      <c r="H18" s="312">
        <v>113.33333333333333</v>
      </c>
      <c r="I18" s="338"/>
      <c r="J18" s="339"/>
    </row>
    <row r="19" spans="2:10" ht="14.1" customHeight="1">
      <c r="B19" s="313" t="str">
        <f>IF(Indice_index!$Z$1=1,"Fundo de Resolução Europeu","European Resolution Fund")</f>
        <v>Fundo de Resolução Europeu</v>
      </c>
      <c r="C19" s="302">
        <v>0</v>
      </c>
      <c r="D19" s="302">
        <v>852.5</v>
      </c>
      <c r="E19" s="302">
        <v>0</v>
      </c>
      <c r="F19" s="302">
        <v>0</v>
      </c>
      <c r="G19" s="302">
        <v>0</v>
      </c>
      <c r="H19" s="302">
        <v>0</v>
      </c>
      <c r="I19" s="338"/>
      <c r="J19" s="339"/>
    </row>
    <row r="20" spans="2:10" ht="14.1" customHeight="1">
      <c r="B20" s="313" t="str">
        <f>IF(Indice_index!$Z$1=1,"Portugal 2020","Portugal 2020")</f>
        <v>Portugal 2020</v>
      </c>
      <c r="C20" s="302">
        <v>29.915272030000001</v>
      </c>
      <c r="D20" s="302">
        <v>0</v>
      </c>
      <c r="E20" s="302">
        <v>0</v>
      </c>
      <c r="F20" s="302">
        <v>0</v>
      </c>
      <c r="G20" s="302">
        <v>0</v>
      </c>
      <c r="H20" s="302">
        <v>0</v>
      </c>
      <c r="I20" s="338"/>
      <c r="J20" s="339"/>
    </row>
    <row r="21" spans="2:10" ht="14.1" customHeight="1">
      <c r="B21" s="313" t="str">
        <f>IF(Indice_index!$Z$1=1,"Administração Local (IFRRU)","Local Administration (IFRRU)")</f>
        <v>Administração Local (IFRRU)</v>
      </c>
      <c r="C21" s="302">
        <v>174.32352725000001</v>
      </c>
      <c r="D21" s="302">
        <v>0</v>
      </c>
      <c r="E21" s="302">
        <v>0</v>
      </c>
      <c r="F21" s="302">
        <v>0</v>
      </c>
      <c r="G21" s="302">
        <v>0</v>
      </c>
      <c r="H21" s="302">
        <v>0</v>
      </c>
      <c r="I21" s="338"/>
      <c r="J21" s="339"/>
    </row>
    <row r="22" spans="2:10" ht="14.1" customHeight="1">
      <c r="B22" s="313" t="str">
        <f>IF(Indice_index!$Z$1=1,"Fundos públicos","Public Funds")</f>
        <v>Fundos públicos</v>
      </c>
      <c r="C22" s="302">
        <v>0</v>
      </c>
      <c r="D22" s="302">
        <v>0</v>
      </c>
      <c r="E22" s="302">
        <v>0</v>
      </c>
      <c r="F22" s="302">
        <v>0</v>
      </c>
      <c r="G22" s="302">
        <v>0</v>
      </c>
      <c r="H22" s="302">
        <v>0</v>
      </c>
      <c r="I22" s="338"/>
      <c r="J22" s="339"/>
    </row>
    <row r="23" spans="2:10" ht="14.1" customHeight="1">
      <c r="B23" s="313" t="str">
        <f>IF(Indice_index!$Z$1=1,"Outros fundos","Other Funds")</f>
        <v>Outros fundos</v>
      </c>
      <c r="C23" s="302">
        <v>0.98833180000000009</v>
      </c>
      <c r="D23" s="302">
        <v>1.34734</v>
      </c>
      <c r="E23" s="302">
        <v>0</v>
      </c>
      <c r="F23" s="302">
        <v>0</v>
      </c>
      <c r="G23" s="302">
        <v>0</v>
      </c>
      <c r="H23" s="302">
        <v>0</v>
      </c>
      <c r="I23" s="338"/>
      <c r="J23" s="339"/>
    </row>
    <row r="24" spans="2:10" ht="14.1" customHeight="1">
      <c r="B24" s="311" t="str">
        <f>IF(Indice_index!$Z$1=1,"Dotações de capital","Capital injections")</f>
        <v>Dotações de capital</v>
      </c>
      <c r="C24" s="312">
        <v>2965.4340333800001</v>
      </c>
      <c r="D24" s="312">
        <v>2977.3686670000002</v>
      </c>
      <c r="E24" s="312">
        <v>129.29736999999997</v>
      </c>
      <c r="F24" s="312">
        <v>61.935000000000045</v>
      </c>
      <c r="G24" s="312">
        <v>1838.8002686200002</v>
      </c>
      <c r="H24" s="312">
        <v>61.759240264752876</v>
      </c>
      <c r="I24" s="338"/>
      <c r="J24" s="339"/>
    </row>
    <row r="25" spans="2:10" ht="14.1" customHeight="1">
      <c r="B25" s="313" t="str">
        <f>IF(Indice_index!$Z$1=1,"Empresas públicas não financeiras","Non financial public enterprises")</f>
        <v>Empresas públicas não financeiras</v>
      </c>
      <c r="C25" s="302">
        <v>0</v>
      </c>
      <c r="D25" s="302">
        <v>355.55599999999998</v>
      </c>
      <c r="E25" s="302">
        <v>0</v>
      </c>
      <c r="F25" s="302">
        <v>0</v>
      </c>
      <c r="G25" s="302">
        <v>343</v>
      </c>
      <c r="H25" s="302">
        <v>96.46862941421324</v>
      </c>
      <c r="I25" s="338"/>
      <c r="J25" s="339"/>
    </row>
    <row r="26" spans="2:10" ht="14.1" customHeight="1">
      <c r="B26" s="313" t="str">
        <f>IF(Indice_index!$Z$1=1,"Entidades públicas reclassificadas","Reclassified public entities")</f>
        <v>Entidades públicas reclassificadas</v>
      </c>
      <c r="C26" s="302">
        <v>2955.3574360000002</v>
      </c>
      <c r="D26" s="302">
        <v>2605.5883680000002</v>
      </c>
      <c r="E26" s="302">
        <v>129.29736999999997</v>
      </c>
      <c r="F26" s="302">
        <v>61.935000000000045</v>
      </c>
      <c r="G26" s="302">
        <v>1485.7655562300001</v>
      </c>
      <c r="H26" s="302">
        <v>57.022267004148674</v>
      </c>
      <c r="I26" s="338"/>
      <c r="J26" s="339"/>
    </row>
    <row r="27" spans="2:10" ht="14.1" customHeight="1">
      <c r="B27" s="313" t="str">
        <f>IF(Indice_index!$Z$1=1,"Fundos públicos","Public Funds")</f>
        <v>Fundos públicos</v>
      </c>
      <c r="C27" s="302">
        <v>10</v>
      </c>
      <c r="D27" s="302">
        <v>10</v>
      </c>
      <c r="E27" s="302">
        <v>0</v>
      </c>
      <c r="F27" s="302">
        <v>0</v>
      </c>
      <c r="G27" s="302">
        <v>10</v>
      </c>
      <c r="H27" s="302">
        <v>100</v>
      </c>
      <c r="I27" s="338"/>
      <c r="J27" s="339"/>
    </row>
    <row r="28" spans="2:10" ht="14.1" customHeight="1">
      <c r="B28" s="313" t="str">
        <f>IF(Indice_index!$Z$1=1,"Outros fundos","Other Funds")</f>
        <v>Outros fundos</v>
      </c>
      <c r="C28" s="302">
        <v>7.6597380000000007E-2</v>
      </c>
      <c r="D28" s="302">
        <v>6.2242990000000002</v>
      </c>
      <c r="E28" s="302">
        <v>0</v>
      </c>
      <c r="F28" s="302">
        <v>0</v>
      </c>
      <c r="G28" s="302">
        <v>3.4712390000000003E-2</v>
      </c>
      <c r="H28" s="302">
        <v>0.55769155691267402</v>
      </c>
      <c r="I28" s="338"/>
      <c r="J28" s="339"/>
    </row>
    <row r="29" spans="2:10" ht="14.1" customHeight="1">
      <c r="B29" s="311" t="str">
        <f>IF(Indice_index!$Z$1=1,"Aquisição de participações","Acquisition of shares")</f>
        <v>Aquisição de participações</v>
      </c>
      <c r="C29" s="312">
        <v>6.2228570000000003</v>
      </c>
      <c r="D29" s="312">
        <v>0</v>
      </c>
      <c r="E29" s="312">
        <v>0</v>
      </c>
      <c r="F29" s="312">
        <v>0</v>
      </c>
      <c r="G29" s="312">
        <v>2.4973101600000001</v>
      </c>
      <c r="H29" s="302"/>
      <c r="I29" s="338"/>
      <c r="J29" s="339"/>
    </row>
    <row r="30" spans="2:10" ht="14.1" customHeight="1">
      <c r="B30" s="311" t="str">
        <f>IF(Indice_index!$Z$1=1,"Execução de garantias","Guarantees executions")</f>
        <v>Execução de garantias</v>
      </c>
      <c r="C30" s="312">
        <v>143.54789148999998</v>
      </c>
      <c r="D30" s="312">
        <v>112.3994</v>
      </c>
      <c r="E30" s="312">
        <v>0.11124109000000004</v>
      </c>
      <c r="F30" s="312">
        <v>17.225129210000013</v>
      </c>
      <c r="G30" s="312">
        <v>78.512736720000007</v>
      </c>
      <c r="H30" s="312">
        <v>69.851562125776482</v>
      </c>
      <c r="I30" s="338"/>
      <c r="J30" s="339"/>
    </row>
    <row r="31" spans="2:10" ht="14.1" customHeight="1">
      <c r="B31" s="311" t="str">
        <f>IF(Indice_index!$Z$1=1,"Expropriações","Expropriations")</f>
        <v>Expropriações</v>
      </c>
      <c r="C31" s="312">
        <v>0</v>
      </c>
      <c r="D31" s="312">
        <v>1</v>
      </c>
      <c r="E31" s="312">
        <v>0</v>
      </c>
      <c r="F31" s="312">
        <v>0</v>
      </c>
      <c r="G31" s="312">
        <v>0</v>
      </c>
      <c r="H31" s="312">
        <v>0</v>
      </c>
      <c r="I31" s="338"/>
      <c r="J31" s="339"/>
    </row>
    <row r="32" spans="2:10" ht="14.1" customHeight="1">
      <c r="B32" s="311" t="str">
        <f>IF(Indice_index!$Z$1=1,"Participações em organizações internacionais","International Organizations membership")</f>
        <v>Participações em organizações internacionais</v>
      </c>
      <c r="C32" s="312">
        <v>1.8009701</v>
      </c>
      <c r="D32" s="312">
        <v>27.356069999999999</v>
      </c>
      <c r="E32" s="312">
        <v>15.248328999999998</v>
      </c>
      <c r="F32" s="312">
        <v>-1.3412211700000043</v>
      </c>
      <c r="G32" s="312">
        <v>59.854262069999997</v>
      </c>
      <c r="H32" s="312">
        <v>218.79700581991492</v>
      </c>
      <c r="I32" s="338"/>
      <c r="J32" s="339"/>
    </row>
    <row r="33" spans="2:10" ht="14.1" customHeight="1">
      <c r="B33" s="100" t="str">
        <f>IF(Indice_index!$Z$1=1,"Total dos ativos financeiros","Financial Assets - Total")</f>
        <v>Total dos ativos financeiros</v>
      </c>
      <c r="C33" s="29">
        <v>3698.9565157400002</v>
      </c>
      <c r="D33" s="29">
        <v>9045.1053430000011</v>
      </c>
      <c r="E33" s="29">
        <v>200.65694008999998</v>
      </c>
      <c r="F33" s="29">
        <v>94.501396910000039</v>
      </c>
      <c r="G33" s="29">
        <v>2483.4978449</v>
      </c>
      <c r="H33" s="29">
        <v>27.45681504773161</v>
      </c>
      <c r="I33" s="338"/>
      <c r="J33" s="339"/>
    </row>
    <row r="34" spans="2:10" ht="15">
      <c r="B34" s="198" t="str">
        <f>IF(Indice_index!$Z$1=1,"Fonte: Ministério das Finanças.","Source: Ministry of Finance.")</f>
        <v>Fonte: Ministério das Finanças.</v>
      </c>
      <c r="C34" s="10"/>
      <c r="D34" s="10"/>
      <c r="E34" s="10"/>
      <c r="F34" s="10"/>
      <c r="G34" s="10"/>
      <c r="H34" s="10"/>
      <c r="I34" s="10"/>
    </row>
    <row r="35" spans="2:10" ht="24.6" customHeight="1">
      <c r="B35" s="417" t="str">
        <f>IF(Indice_index!$Z$1=1,"Nota: A despesa mensal de setembro 2024 relativa às “Participações em organizações internacionais” apresenta um valor negativo devido a acerto de diferenças cambiais.","Note: The monthly expense for September 2024 relating to “International Organizations membership” presents a negative value due to the adjustment related to exchange rate differences.")</f>
        <v>Nota: A despesa mensal de setembro 2024 relativa às “Participações em organizações internacionais” apresenta um valor negativo devido a acerto de diferenças cambiais.</v>
      </c>
      <c r="C35" s="417"/>
      <c r="D35" s="417"/>
      <c r="E35" s="417"/>
      <c r="F35" s="417"/>
      <c r="G35" s="417"/>
      <c r="H35" s="417"/>
    </row>
    <row r="36" spans="2:10" ht="15" customHeight="1"/>
  </sheetData>
  <mergeCells count="5">
    <mergeCell ref="B10:B11"/>
    <mergeCell ref="E10:F10"/>
    <mergeCell ref="H10:H11"/>
    <mergeCell ref="G10:G11"/>
    <mergeCell ref="B35:H35"/>
  </mergeCells>
  <conditionalFormatting sqref="C12:H32">
    <cfRule type="cellIs" dxfId="52"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1"/>
  <sheetViews>
    <sheetView showGridLines="0" zoomScaleNormal="100" workbookViewId="0"/>
  </sheetViews>
  <sheetFormatPr defaultColWidth="0" defaultRowHeight="15" zeroHeight="1"/>
  <cols>
    <col min="1" max="1" width="8.5703125" style="101" customWidth="1"/>
    <col min="2" max="2" width="47.28515625" style="101" customWidth="1"/>
    <col min="3" max="6" width="9.5703125" style="101" customWidth="1"/>
    <col min="7" max="9" width="8.5703125" style="101" customWidth="1"/>
    <col min="10" max="16384" width="8.5703125" hidden="1"/>
  </cols>
  <sheetData>
    <row r="1" spans="2:8"/>
    <row r="2" spans="2:8"/>
    <row r="3" spans="2:8"/>
    <row r="4" spans="2:8"/>
    <row r="5" spans="2:8"/>
    <row r="6" spans="2:8"/>
    <row r="7" spans="2:8" ht="50.1" customHeight="1">
      <c r="B7" s="13"/>
      <c r="C7" s="14"/>
      <c r="D7" s="12"/>
      <c r="E7" s="12"/>
      <c r="F7" s="12"/>
      <c r="G7" s="12"/>
      <c r="H7" s="12"/>
    </row>
    <row r="8" spans="2:8"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2:8">
      <c r="B9" s="3" t="str">
        <f>+'3 - Conta AC + SS'!B9</f>
        <v>Período: janeiro a setembro</v>
      </c>
      <c r="C9" s="3"/>
      <c r="D9" s="3"/>
      <c r="E9" s="3"/>
      <c r="F9" s="3"/>
      <c r="G9" s="3"/>
      <c r="H9" s="3" t="str">
        <f>IF(Indice_index!$Z$1=1,"€ Milhões","€ Millions")</f>
        <v>€ Milhões</v>
      </c>
    </row>
    <row r="10" spans="2:8" ht="26.85" customHeight="1">
      <c r="B10" s="377"/>
      <c r="C10" s="24" t="str">
        <f>IF(Indice_index!$Z$1=1,"Execução provisória","Provisional execution")</f>
        <v>Execução provisória</v>
      </c>
      <c r="D10" s="24" t="str">
        <f>IF(Indice_index!$Z$1=1,"Orçamento Inicial","Budget")</f>
        <v>Orçamento Inicial</v>
      </c>
      <c r="E10" s="378" t="str">
        <f>IF(Indice_index!$Z$1=1,"Execução Acumulada","Accumulated Execution")</f>
        <v>Execução Acumulada</v>
      </c>
      <c r="F10" s="375"/>
      <c r="G10" s="378" t="str">
        <f>IF(Indice_index!$Z$1=1,"Variação Homóloga Acumulada","YOY Change Rate")</f>
        <v>Variação Homóloga Acumulada</v>
      </c>
      <c r="H10" s="375"/>
    </row>
    <row r="11" spans="2:8" ht="26.85" customHeight="1">
      <c r="B11" s="376"/>
      <c r="C11" s="24">
        <v>2023</v>
      </c>
      <c r="D11" s="24">
        <v>2024</v>
      </c>
      <c r="E11" s="24">
        <v>2023</v>
      </c>
      <c r="F11" s="24">
        <v>2024</v>
      </c>
      <c r="G11" s="24" t="str">
        <f>IF(Indice_index!$Z$1=1,"TVHA (%)","YOY Change Rate (%)")</f>
        <v>TVHA (%)</v>
      </c>
      <c r="H11" s="24" t="str">
        <f>IF(Indice_index!$Z$1=1,"Contributo VHA (pp)","YOY Change Contrib. (pp)")</f>
        <v>Contributo VHA (pp)</v>
      </c>
    </row>
    <row r="12" spans="2:8" s="250" customFormat="1" ht="14.1" customHeight="1">
      <c r="B12" s="311" t="str">
        <f>IF(Indice_index!$Z$1=1,"Receita corrente","Current revenue")</f>
        <v>Receita corrente</v>
      </c>
      <c r="C12" s="312">
        <f>C13+C16+C17</f>
        <v>13524.80487527</v>
      </c>
      <c r="D12" s="312">
        <f t="shared" ref="D12" si="0">D13+D16+D17</f>
        <v>14525.2</v>
      </c>
      <c r="E12" s="312">
        <v>9672.4048752699982</v>
      </c>
      <c r="F12" s="312">
        <v>10417.796895089999</v>
      </c>
      <c r="G12" s="312">
        <f t="shared" ref="G12:G38" si="1">IFERROR(IF(ABS((F12-E12)/E12)*100&gt;500,"n.r.",((F12-E12)/E12)*100),0)</f>
        <v>7.7063773635633108</v>
      </c>
      <c r="H12" s="312">
        <f t="shared" ref="H12:H18" si="2">IFERROR((F12-E12)/$E$19*100,"-")</f>
        <v>7.6620168401380795</v>
      </c>
    </row>
    <row r="13" spans="2:8" s="250" customFormat="1" ht="14.1" customHeight="1">
      <c r="B13" s="313" t="str">
        <f>IF(Indice_index!$Z$1=1,"Receita fiscal","Tax")</f>
        <v>Receita fiscal</v>
      </c>
      <c r="C13" s="302">
        <f>SUM(C14:C15)</f>
        <v>117</v>
      </c>
      <c r="D13" s="302">
        <f t="shared" ref="D13" si="3">SUM(D14:D15)</f>
        <v>106.5</v>
      </c>
      <c r="E13" s="302">
        <v>85.3</v>
      </c>
      <c r="F13" s="302">
        <v>82.2</v>
      </c>
      <c r="G13" s="302">
        <f t="shared" si="1"/>
        <v>-3.6342321219226195</v>
      </c>
      <c r="H13" s="302">
        <f t="shared" si="2"/>
        <v>-3.186545008915409E-2</v>
      </c>
    </row>
    <row r="14" spans="2:8" s="250" customFormat="1" ht="14.1" customHeight="1">
      <c r="B14" s="330" t="str">
        <f>IF(Indice_index!$Z$1=1,"Impostos diretos","Direct taxes")</f>
        <v>Impostos diretos</v>
      </c>
      <c r="C14" s="302">
        <v>0</v>
      </c>
      <c r="D14" s="302">
        <v>0</v>
      </c>
      <c r="E14" s="302">
        <v>0</v>
      </c>
      <c r="F14" s="302">
        <v>0</v>
      </c>
      <c r="G14" s="302">
        <f t="shared" si="1"/>
        <v>0</v>
      </c>
      <c r="H14" s="302">
        <f t="shared" si="2"/>
        <v>0</v>
      </c>
    </row>
    <row r="15" spans="2:8" s="250" customFormat="1" ht="14.1" customHeight="1">
      <c r="B15" s="330" t="str">
        <f>IF(Indice_index!$Z$1=1,"Impostos indiretos","Indirect taxes")</f>
        <v>Impostos indiretos</v>
      </c>
      <c r="C15" s="302">
        <v>117</v>
      </c>
      <c r="D15" s="302">
        <v>106.5</v>
      </c>
      <c r="E15" s="302">
        <v>85.3</v>
      </c>
      <c r="F15" s="302">
        <v>82.2</v>
      </c>
      <c r="G15" s="302">
        <f t="shared" si="1"/>
        <v>-3.6342321219226195</v>
      </c>
      <c r="H15" s="302">
        <f t="shared" si="2"/>
        <v>-3.186545008915409E-2</v>
      </c>
    </row>
    <row r="16" spans="2:8" s="250" customFormat="1" ht="14.1" customHeight="1">
      <c r="B16" s="313" t="str">
        <f>IF(Indice_index!$Z$1=1,"Contribuições de Segurança Social","Social security contributions")</f>
        <v>Contribuições de Segurança Social</v>
      </c>
      <c r="C16" s="302">
        <v>0</v>
      </c>
      <c r="D16" s="302">
        <v>0</v>
      </c>
      <c r="E16" s="302">
        <v>0</v>
      </c>
      <c r="F16" s="302">
        <v>0</v>
      </c>
      <c r="G16" s="302">
        <f t="shared" si="1"/>
        <v>0</v>
      </c>
      <c r="H16" s="302">
        <f t="shared" si="2"/>
        <v>0</v>
      </c>
    </row>
    <row r="17" spans="2:8" s="250" customFormat="1" ht="14.1" customHeight="1">
      <c r="B17" s="313" t="str">
        <f>IF(Indice_index!$Z$1=1,"Outras receitas correntes","Other current revenue")</f>
        <v>Outras receitas correntes</v>
      </c>
      <c r="C17" s="302">
        <v>13407.80487527</v>
      </c>
      <c r="D17" s="302">
        <v>14418.7</v>
      </c>
      <c r="E17" s="302">
        <v>9587.104875269999</v>
      </c>
      <c r="F17" s="302">
        <v>10335.596895089999</v>
      </c>
      <c r="G17" s="302">
        <f t="shared" si="1"/>
        <v>7.8072789393463289</v>
      </c>
      <c r="H17" s="302">
        <f t="shared" si="2"/>
        <v>7.6938822902272195</v>
      </c>
    </row>
    <row r="18" spans="2:8" s="250" customFormat="1" ht="14.1" customHeight="1">
      <c r="B18" s="311" t="str">
        <f>IF(Indice_index!$Z$1=1,"Receita de capital","Capital revenue")</f>
        <v>Receita de capital</v>
      </c>
      <c r="C18" s="312">
        <v>100.8</v>
      </c>
      <c r="D18" s="312">
        <v>563.5</v>
      </c>
      <c r="E18" s="312">
        <v>56</v>
      </c>
      <c r="F18" s="312">
        <v>60.5</v>
      </c>
      <c r="G18" s="312">
        <f t="shared" si="1"/>
        <v>8.0357142857142865</v>
      </c>
      <c r="H18" s="312">
        <f t="shared" si="2"/>
        <v>4.6256298516514083E-2</v>
      </c>
    </row>
    <row r="19" spans="2:8" ht="14.1" customHeight="1">
      <c r="B19" s="32" t="str">
        <f>IF(Indice_index!$Z$1=1,"Receita efetiva","Effective revenue")</f>
        <v>Receita efetiva</v>
      </c>
      <c r="C19" s="19">
        <f>C12+C18</f>
        <v>13625.604875269999</v>
      </c>
      <c r="D19" s="19">
        <f t="shared" ref="D19" si="4">D12+D18</f>
        <v>15088.7</v>
      </c>
      <c r="E19" s="19">
        <v>9728.4048752699982</v>
      </c>
      <c r="F19" s="19">
        <v>10478.296895089999</v>
      </c>
      <c r="G19" s="19">
        <f t="shared" si="1"/>
        <v>7.7082731386545937</v>
      </c>
      <c r="H19" s="19"/>
    </row>
    <row r="20" spans="2:8" s="250" customFormat="1" ht="14.1" customHeight="1">
      <c r="B20" s="311" t="str">
        <f>IF(Indice_index!$Z$1=1,"Despesa corrente","Current expenditure")</f>
        <v>Despesa corrente</v>
      </c>
      <c r="C20" s="312">
        <f>C21+C25+C31+C32+C33</f>
        <v>13698.6</v>
      </c>
      <c r="D20" s="312">
        <f t="shared" ref="D20" si="5">D21+D25+D31+D32+D33</f>
        <v>14283.795</v>
      </c>
      <c r="E20" s="312">
        <v>9876.4</v>
      </c>
      <c r="F20" s="312">
        <v>10757.4</v>
      </c>
      <c r="G20" s="312">
        <f t="shared" si="1"/>
        <v>8.9202543436879829</v>
      </c>
      <c r="H20" s="312">
        <f>IFERROR((F20-E20)/$E$38*100,"-")</f>
        <v>8.7432887071643375</v>
      </c>
    </row>
    <row r="21" spans="2:8" s="250" customFormat="1" ht="14.1" customHeight="1">
      <c r="B21" s="313" t="str">
        <f>IF(Indice_index!$Z$1=1,"Despesas com o pessoal","Employees")</f>
        <v>Despesas com o pessoal</v>
      </c>
      <c r="C21" s="302">
        <f>SUM(C22:C24)</f>
        <v>5803.2</v>
      </c>
      <c r="D21" s="302">
        <f t="shared" ref="D21" si="6">SUM(D22:D24)</f>
        <v>6199.9950000000008</v>
      </c>
      <c r="E21" s="302">
        <v>4187.7999999999993</v>
      </c>
      <c r="F21" s="302">
        <v>4705.2</v>
      </c>
      <c r="G21" s="302">
        <f t="shared" si="1"/>
        <v>12.354935765795899</v>
      </c>
      <c r="H21" s="302">
        <f>IFERROR((F21-E21)/$E$38*100,"-")</f>
        <v>5.1348213133789251</v>
      </c>
    </row>
    <row r="22" spans="2:8" s="250" customFormat="1" ht="14.1" customHeight="1">
      <c r="B22" s="330" t="str">
        <f>IF(Indice_index!$Z$1=1,"Remunerações certas e permanentes","Certain and permanent wages")</f>
        <v>Remunerações certas e permanentes</v>
      </c>
      <c r="C22" s="302">
        <v>3726.8</v>
      </c>
      <c r="D22" s="302">
        <v>4043.9</v>
      </c>
      <c r="E22" s="302">
        <v>2677.7999999999997</v>
      </c>
      <c r="F22" s="302">
        <v>3054</v>
      </c>
      <c r="G22" s="302">
        <f t="shared" si="1"/>
        <v>14.048846067667501</v>
      </c>
      <c r="H22" s="302">
        <f t="shared" ref="H22:H33" si="7">IFERROR((F22-E22)/$E$38*100,"-")</f>
        <v>3.7335132935700637</v>
      </c>
    </row>
    <row r="23" spans="2:8" s="250" customFormat="1" ht="14.1" customHeight="1">
      <c r="B23" s="330" t="str">
        <f>IF(Indice_index!$Z$1=1,"Abonos variáveis ou eventuais","Variable or contingent bonuses")</f>
        <v>Abonos variáveis ou eventuais</v>
      </c>
      <c r="C23" s="302">
        <v>1007.6999999999999</v>
      </c>
      <c r="D23" s="302">
        <v>1010.87</v>
      </c>
      <c r="E23" s="302">
        <v>743.59999999999991</v>
      </c>
      <c r="F23" s="302">
        <v>794.1</v>
      </c>
      <c r="G23" s="302">
        <f t="shared" si="1"/>
        <v>6.7912856374394996</v>
      </c>
      <c r="H23" s="302">
        <f t="shared" si="7"/>
        <v>0.50117602691464247</v>
      </c>
    </row>
    <row r="24" spans="2:8" s="250" customFormat="1" ht="14.1" customHeight="1">
      <c r="B24" s="330" t="str">
        <f>IF(Indice_index!$Z$1=1,"Segurança Social","Social security")</f>
        <v>Segurança Social</v>
      </c>
      <c r="C24" s="302">
        <v>1068.7</v>
      </c>
      <c r="D24" s="302">
        <v>1145.2249999999999</v>
      </c>
      <c r="E24" s="302">
        <v>766.4</v>
      </c>
      <c r="F24" s="302">
        <v>857.1</v>
      </c>
      <c r="G24" s="302">
        <f t="shared" si="1"/>
        <v>11.834551148225476</v>
      </c>
      <c r="H24" s="302">
        <f t="shared" si="7"/>
        <v>0.90013199289421753</v>
      </c>
    </row>
    <row r="25" spans="2:8" s="250" customFormat="1" ht="14.1" customHeight="1">
      <c r="B25" s="313" t="str">
        <f>IF(Indice_index!$Z$1=1,"Aquisição de bens e serviços","Purchase of goods and services")</f>
        <v>Aquisição de bens e serviços</v>
      </c>
      <c r="C25" s="302">
        <f>SUM(C26:C30)</f>
        <v>7741.7000000000007</v>
      </c>
      <c r="D25" s="302">
        <f t="shared" ref="D25" si="8">SUM(D26:D30)</f>
        <v>7963.1999999999989</v>
      </c>
      <c r="E25" s="302">
        <v>5576.8</v>
      </c>
      <c r="F25" s="302">
        <v>5888.5</v>
      </c>
      <c r="G25" s="302">
        <f t="shared" si="1"/>
        <v>5.5892267967293039</v>
      </c>
      <c r="H25" s="302">
        <f t="shared" si="7"/>
        <v>3.0933973780058142</v>
      </c>
    </row>
    <row r="26" spans="2:8" s="250" customFormat="1" ht="14.1" customHeight="1">
      <c r="B26" s="330" t="str">
        <f>IF(Indice_index!$Z$1=1,"Produtos vendidos em farmácias","Medicines")</f>
        <v>Produtos vendidos em farmácias</v>
      </c>
      <c r="C26" s="302">
        <v>1718</v>
      </c>
      <c r="D26" s="302">
        <v>1719.3</v>
      </c>
      <c r="E26" s="302">
        <v>1270.7</v>
      </c>
      <c r="F26" s="302">
        <v>1332.1</v>
      </c>
      <c r="G26" s="302">
        <f t="shared" si="1"/>
        <v>4.8319823719209776</v>
      </c>
      <c r="H26" s="302">
        <f t="shared" si="7"/>
        <v>0.60935065450611703</v>
      </c>
    </row>
    <row r="27" spans="2:8" s="250" customFormat="1" ht="24" customHeight="1">
      <c r="B27" s="337" t="str">
        <f>IF(Indice_index!$Z$1=1,"Meios complementares de diagnóstico e terapêutica e outros subcontratos","Complementary diagnosis and therapeutic means and other subcontracts")</f>
        <v>Meios complementares de diagnóstico e terapêutica e outros subcontratos</v>
      </c>
      <c r="C27" s="302">
        <v>1817.7000000000003</v>
      </c>
      <c r="D27" s="302">
        <v>1850.2000000000003</v>
      </c>
      <c r="E27" s="302">
        <v>1318.4</v>
      </c>
      <c r="F27" s="302">
        <v>1330.5</v>
      </c>
      <c r="G27" s="302">
        <f t="shared" si="1"/>
        <v>0.91777912621358526</v>
      </c>
      <c r="H27" s="302">
        <f t="shared" si="7"/>
        <v>0.12008376090429929</v>
      </c>
    </row>
    <row r="28" spans="2:8" s="250" customFormat="1" ht="14.1" customHeight="1">
      <c r="B28" s="330" t="str">
        <f>IF(Indice_index!$Z$1=1,"Parcerias público-privadas (PPP)","Public-Private Partnerships (PPP)")</f>
        <v>Parcerias público-privadas (PPP)</v>
      </c>
      <c r="C28" s="302">
        <v>134.80000000000001</v>
      </c>
      <c r="D28" s="302">
        <v>144.19999999999999</v>
      </c>
      <c r="E28" s="302">
        <v>101</v>
      </c>
      <c r="F28" s="302">
        <v>126.9</v>
      </c>
      <c r="G28" s="302">
        <f t="shared" si="1"/>
        <v>25.64356435643565</v>
      </c>
      <c r="H28" s="302">
        <f t="shared" si="7"/>
        <v>0.2570387940017666</v>
      </c>
    </row>
    <row r="29" spans="2:8" s="250" customFormat="1" ht="14.1" customHeight="1">
      <c r="B29" s="330" t="str">
        <f>IF(Indice_index!$Z$1=1,"Aquisição de bens (compras inventários)","Purchase of goods (inventories)")</f>
        <v>Aquisição de bens (compras inventários)</v>
      </c>
      <c r="C29" s="302">
        <v>2735.2</v>
      </c>
      <c r="D29" s="302">
        <v>2956.4999999999995</v>
      </c>
      <c r="E29" s="302">
        <v>1925.8000000000002</v>
      </c>
      <c r="F29" s="302">
        <v>2102</v>
      </c>
      <c r="G29" s="302">
        <f t="shared" si="1"/>
        <v>9.1494443867483533</v>
      </c>
      <c r="H29" s="302">
        <f t="shared" si="7"/>
        <v>1.7486577414328655</v>
      </c>
    </row>
    <row r="30" spans="2:8" s="250" customFormat="1" ht="14.1" customHeight="1">
      <c r="B30" s="330" t="str">
        <f>IF(Indice_index!$Z$1=1,"Outras aquisições de bens e serviços","Other acquisitions of goods and services")</f>
        <v>Outras aquisições de bens e serviços</v>
      </c>
      <c r="C30" s="302">
        <v>1336</v>
      </c>
      <c r="D30" s="302">
        <v>1293</v>
      </c>
      <c r="E30" s="302">
        <v>960.9</v>
      </c>
      <c r="F30" s="302">
        <v>997</v>
      </c>
      <c r="G30" s="302">
        <f t="shared" si="1"/>
        <v>3.7568945779997942</v>
      </c>
      <c r="H30" s="302">
        <f t="shared" si="7"/>
        <v>0.35826642716076362</v>
      </c>
    </row>
    <row r="31" spans="2:8" s="250" customFormat="1" ht="14.1" customHeight="1">
      <c r="B31" s="313" t="str">
        <f>IF(Indice_index!$Z$1=1,"Juros e outros encargos","Interests and other charges")</f>
        <v>Juros e outros encargos</v>
      </c>
      <c r="C31" s="302">
        <v>3.6</v>
      </c>
      <c r="D31" s="302">
        <v>0.6</v>
      </c>
      <c r="E31" s="302">
        <v>2.2000000000000002</v>
      </c>
      <c r="F31" s="302">
        <v>2.2999999999999998</v>
      </c>
      <c r="G31" s="302">
        <f t="shared" si="1"/>
        <v>4.545454545454529</v>
      </c>
      <c r="H31" s="302">
        <f t="shared" si="7"/>
        <v>9.9242777606859322E-4</v>
      </c>
    </row>
    <row r="32" spans="2:8" s="250" customFormat="1" ht="14.1" customHeight="1">
      <c r="B32" s="313" t="str">
        <f>IF(Indice_index!$Z$1=1,"Transferências correntes","Current transfers")</f>
        <v>Transferências correntes</v>
      </c>
      <c r="C32" s="302">
        <v>146.30000000000001</v>
      </c>
      <c r="D32" s="302">
        <v>100</v>
      </c>
      <c r="E32" s="302">
        <v>106.5</v>
      </c>
      <c r="F32" s="302">
        <v>156.29999999999998</v>
      </c>
      <c r="G32" s="302">
        <f t="shared" si="1"/>
        <v>46.760563380281674</v>
      </c>
      <c r="H32" s="302">
        <f t="shared" si="7"/>
        <v>0.49422903248216099</v>
      </c>
    </row>
    <row r="33" spans="2:8" s="250" customFormat="1" ht="14.1" customHeight="1">
      <c r="B33" s="313" t="str">
        <f>IF(Indice_index!$Z$1=1,"Outras despesas correntes","Other current expenditures")</f>
        <v>Outras despesas correntes</v>
      </c>
      <c r="C33" s="302">
        <v>3.8</v>
      </c>
      <c r="D33" s="302">
        <v>20</v>
      </c>
      <c r="E33" s="302">
        <v>3.1</v>
      </c>
      <c r="F33" s="302">
        <v>5.0999999999999996</v>
      </c>
      <c r="G33" s="302">
        <f t="shared" si="1"/>
        <v>64.51612903225805</v>
      </c>
      <c r="H33" s="302">
        <f t="shared" si="7"/>
        <v>1.9848555521371929E-2</v>
      </c>
    </row>
    <row r="34" spans="2:8" s="250" customFormat="1" ht="14.1" customHeight="1">
      <c r="B34" s="311" t="str">
        <f>IF(Indice_index!$Z$1=1,"Despesa de capital","Capital expenditure")</f>
        <v>Despesa de capital</v>
      </c>
      <c r="C34" s="312">
        <f>SUM(C35:C37)</f>
        <v>362.1</v>
      </c>
      <c r="D34" s="312">
        <f t="shared" ref="D34" si="9">SUM(D35:D37)</f>
        <v>804.90000000000009</v>
      </c>
      <c r="E34" s="312">
        <v>199.9</v>
      </c>
      <c r="F34" s="312">
        <v>214.1</v>
      </c>
      <c r="G34" s="312">
        <f t="shared" si="1"/>
        <v>7.1035517758879383</v>
      </c>
      <c r="H34" s="312">
        <f>IFERROR((F34-E34)/$E$38*100,"-")</f>
        <v>0.14092474420174061</v>
      </c>
    </row>
    <row r="35" spans="2:8" s="250" customFormat="1" ht="14.1" customHeight="1">
      <c r="B35" s="313" t="str">
        <f>IF(Indice_index!$Z$1=1,"Investimentos","Investments")</f>
        <v>Investimentos</v>
      </c>
      <c r="C35" s="302">
        <v>341.5</v>
      </c>
      <c r="D35" s="302">
        <v>774.2</v>
      </c>
      <c r="E35" s="302">
        <v>186.1</v>
      </c>
      <c r="F35" s="302">
        <v>197.1</v>
      </c>
      <c r="G35" s="302">
        <f t="shared" si="1"/>
        <v>5.910800644814616</v>
      </c>
      <c r="H35" s="302">
        <f>IFERROR((F35-E35)/$E$38*100,"-")</f>
        <v>0.10916705536754563</v>
      </c>
    </row>
    <row r="36" spans="2:8" s="250" customFormat="1" ht="14.1" customHeight="1">
      <c r="B36" s="313" t="str">
        <f>IF(Indice_index!$Z$1=1,"Transferências de capital","Capital transfers")</f>
        <v>Transferências de capital</v>
      </c>
      <c r="C36" s="302">
        <v>20.6</v>
      </c>
      <c r="D36" s="302">
        <v>30.7</v>
      </c>
      <c r="E36" s="302">
        <v>13.8</v>
      </c>
      <c r="F36" s="302">
        <v>17</v>
      </c>
      <c r="G36" s="302">
        <f t="shared" si="1"/>
        <v>23.188405797101446</v>
      </c>
      <c r="H36" s="302">
        <f>IFERROR((F36-E36)/$E$38*100,"-")</f>
        <v>3.1757688834195087E-2</v>
      </c>
    </row>
    <row r="37" spans="2:8" s="250" customFormat="1" ht="14.1" customHeight="1">
      <c r="B37" s="313" t="str">
        <f>IF(Indice_index!$Z$1=1,"Outras despesas de capital","Other capital expenditures")</f>
        <v>Outras despesas de capital</v>
      </c>
      <c r="C37" s="302">
        <v>0</v>
      </c>
      <c r="D37" s="302">
        <v>0</v>
      </c>
      <c r="E37" s="302">
        <v>0</v>
      </c>
      <c r="F37" s="302">
        <v>0</v>
      </c>
      <c r="G37" s="302">
        <f t="shared" si="1"/>
        <v>0</v>
      </c>
      <c r="H37" s="302">
        <f>IFERROR((F37-E37)/$E$38*100,"-")</f>
        <v>0</v>
      </c>
    </row>
    <row r="38" spans="2:8" ht="14.1" customHeight="1">
      <c r="B38" s="32" t="str">
        <f>IF(Indice_index!$Z$1=1,"Despesa efetiva","Effective expenditure")</f>
        <v>Despesa efetiva</v>
      </c>
      <c r="C38" s="19">
        <f>C20+C34</f>
        <v>14060.7</v>
      </c>
      <c r="D38" s="19">
        <f t="shared" ref="D38" si="10">D20+D34</f>
        <v>15088.695</v>
      </c>
      <c r="E38" s="19">
        <v>10076.299999999999</v>
      </c>
      <c r="F38" s="19">
        <v>10971.5</v>
      </c>
      <c r="G38" s="19">
        <f t="shared" si="1"/>
        <v>8.8842134513660849</v>
      </c>
      <c r="H38" s="19"/>
    </row>
    <row r="39" spans="2:8" ht="14.1" customHeight="1">
      <c r="B39" s="32" t="str">
        <f>IF(Indice_index!$Z$1=1,"Saldo global","Overall balance")</f>
        <v>Saldo global</v>
      </c>
      <c r="C39" s="19">
        <f>C19-C38</f>
        <v>-435.09512473000177</v>
      </c>
      <c r="D39" s="19">
        <f t="shared" ref="D39" si="11">D19-D38</f>
        <v>5.0000000010186341E-3</v>
      </c>
      <c r="E39" s="19">
        <v>-347.89512473000104</v>
      </c>
      <c r="F39" s="19">
        <v>-493.20310491000055</v>
      </c>
      <c r="G39" s="19"/>
      <c r="H39" s="19"/>
    </row>
    <row r="40" spans="2:8" ht="15" customHeight="1">
      <c r="B40" s="10" t="str">
        <f>IF(Indice_index!$Z$1=1,"Fonte: Administração Central do Sistema de Saúde, I.P.","Source: Health System Central Administration.")</f>
        <v>Fonte: Administração Central do Sistema de Saúde, I.P.</v>
      </c>
      <c r="C40" s="10"/>
      <c r="D40" s="10"/>
      <c r="E40" s="10"/>
      <c r="F40" s="10"/>
      <c r="G40" s="10"/>
      <c r="H40" s="10"/>
    </row>
    <row r="41" spans="2:8"/>
  </sheetData>
  <mergeCells count="3">
    <mergeCell ref="B10:B11"/>
    <mergeCell ref="E10:F10"/>
    <mergeCell ref="G10:H10"/>
  </mergeCells>
  <conditionalFormatting sqref="C12:H18">
    <cfRule type="cellIs" dxfId="51" priority="3" operator="equal">
      <formula>0</formula>
    </cfRule>
  </conditionalFormatting>
  <conditionalFormatting sqref="C20:H37">
    <cfRule type="cellIs" dxfId="50"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ignoredErrors>
    <ignoredError sqref="G36" formula="1"/>
    <ignoredError sqref="C13:D13 C25:D25"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95"/>
  <sheetViews>
    <sheetView showGridLines="0" zoomScaleNormal="100" workbookViewId="0"/>
  </sheetViews>
  <sheetFormatPr defaultColWidth="0" defaultRowHeight="14.85" customHeight="1" zeroHeight="1"/>
  <cols>
    <col min="1" max="1" width="8.5703125" style="101" customWidth="1"/>
    <col min="2" max="2" width="2.42578125" style="86" customWidth="1"/>
    <col min="3" max="3" width="27.5703125" style="86" customWidth="1"/>
    <col min="4" max="17" width="8.42578125" style="86" customWidth="1"/>
    <col min="18" max="18" width="11" style="86" bestFit="1" customWidth="1"/>
    <col min="19" max="19" width="0" hidden="1" customWidth="1"/>
    <col min="20" max="16384" width="9.42578125" hidden="1"/>
  </cols>
  <sheetData>
    <row r="1" spans="2:17" ht="14.85" customHeight="1"/>
    <row r="2" spans="2:17" ht="15"/>
    <row r="3" spans="2:17" ht="15"/>
    <row r="4" spans="2:17" ht="15"/>
    <row r="5" spans="2:17" ht="15"/>
    <row r="6" spans="2:17" ht="15"/>
    <row r="7" spans="2:17" ht="49.5" customHeight="1">
      <c r="B7" s="13"/>
      <c r="C7" s="14"/>
      <c r="D7" s="12"/>
      <c r="E7" s="12"/>
      <c r="F7" s="12"/>
      <c r="G7" s="12"/>
      <c r="H7" s="12"/>
      <c r="I7" s="12"/>
      <c r="J7" s="12"/>
      <c r="K7" s="11"/>
      <c r="L7" s="11"/>
      <c r="M7" s="11"/>
      <c r="N7" s="11"/>
      <c r="O7" s="11"/>
      <c r="P7"/>
      <c r="Q7"/>
    </row>
    <row r="8" spans="2:17"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2:17" ht="15">
      <c r="B9" s="3" t="str">
        <f>+'3 - Conta AC + SS'!B9</f>
        <v>Período: janeiro a setembro</v>
      </c>
      <c r="C9" s="3"/>
      <c r="D9" s="3"/>
      <c r="E9" s="3"/>
      <c r="F9" s="3"/>
      <c r="G9" s="3"/>
      <c r="H9" s="3"/>
      <c r="I9" s="3"/>
      <c r="J9" s="3"/>
      <c r="K9" s="3"/>
      <c r="L9" s="3"/>
      <c r="M9" s="3"/>
      <c r="N9" s="3"/>
      <c r="O9" s="3"/>
      <c r="P9" s="3"/>
      <c r="Q9" s="3" t="str">
        <f>IF(Indice_index!$Z$1=1,"€ Milhões","€ Millions")</f>
        <v>€ Milhões</v>
      </c>
    </row>
    <row r="10" spans="2:17" ht="14.1" customHeight="1">
      <c r="B10" s="374"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74"/>
      <c r="D10" s="374"/>
      <c r="E10" s="374"/>
      <c r="F10" s="374"/>
      <c r="G10" s="374"/>
      <c r="H10" s="374"/>
      <c r="I10" s="374"/>
      <c r="J10" s="374"/>
      <c r="K10" s="425"/>
      <c r="L10" s="374"/>
      <c r="M10" s="374"/>
      <c r="N10" s="374"/>
      <c r="O10" s="374"/>
      <c r="P10" s="374"/>
      <c r="Q10" s="375"/>
    </row>
    <row r="11" spans="2:17" ht="14.1" customHeight="1">
      <c r="B11" s="398" t="str">
        <f>IF(Indice_index!$Z$1=1,"Natureza da Dívida","Nature of Debt")</f>
        <v>Natureza da Dívida</v>
      </c>
      <c r="C11" s="428"/>
      <c r="D11" s="378">
        <v>2023</v>
      </c>
      <c r="E11" s="374"/>
      <c r="F11" s="374"/>
      <c r="G11" s="375"/>
      <c r="H11" s="378">
        <v>2024</v>
      </c>
      <c r="I11" s="374"/>
      <c r="J11" s="374"/>
      <c r="K11" s="374"/>
      <c r="L11" s="374"/>
      <c r="M11" s="374"/>
      <c r="N11" s="374"/>
      <c r="O11" s="374"/>
      <c r="P11" s="375"/>
      <c r="Q11" s="398" t="str">
        <f>IF(Indice_index!$Z$1=1,"variação mensal","monthly variation")</f>
        <v>variação mensal</v>
      </c>
    </row>
    <row r="12" spans="2:17" ht="14.1" customHeight="1">
      <c r="B12" s="347"/>
      <c r="C12" s="429"/>
      <c r="D12" s="24" t="str">
        <f>IF(Indice_index!$Z$1=1,"set*","Sep*")</f>
        <v>set*</v>
      </c>
      <c r="E12" s="24" t="str">
        <f>IF(Indice_index!$Z$1=1,"out*","Oct*")</f>
        <v>out*</v>
      </c>
      <c r="F12" s="24" t="str">
        <f>IF(Indice_index!$Z$1=1,"nov*","Nov*")</f>
        <v>nov*</v>
      </c>
      <c r="G12" s="204" t="str">
        <f>IF(Indice_index!$Z$1=1,"dez*","Dec*")</f>
        <v>dez*</v>
      </c>
      <c r="H12" s="24" t="str">
        <f>IF(Indice_index!$Z$1=1,"jan*","Jan*")</f>
        <v>jan*</v>
      </c>
      <c r="I12" s="204" t="str">
        <f>IF(Indice_index!$Z$1=1,"fev*","Feb*")</f>
        <v>fev*</v>
      </c>
      <c r="J12" s="24" t="str">
        <f>IF(Indice_index!$Z$1=1,"mar*","Mar*")</f>
        <v>mar*</v>
      </c>
      <c r="K12" s="24" t="str">
        <f>IF(Indice_index!$Z$1=1,"abr*","Apr*")</f>
        <v>abr*</v>
      </c>
      <c r="L12" s="24" t="str">
        <f>IF(Indice_index!$Z$1=1,"mai*","May*")</f>
        <v>mai*</v>
      </c>
      <c r="M12" s="24" t="str">
        <f>IF(Indice_index!$Z$1=1,"jun*","Jun*")</f>
        <v>jun*</v>
      </c>
      <c r="N12" s="24" t="str">
        <f>IF(Indice_index!$Z$1=1,"jul*","Jul*")</f>
        <v>jul*</v>
      </c>
      <c r="O12" s="24" t="str">
        <f>IF(Indice_index!$Z$1=1,"ago*","Aug*")</f>
        <v>ago*</v>
      </c>
      <c r="P12" s="24" t="str">
        <f>IF(Indice_index!$Z$1=1,"set*","Sep*")</f>
        <v>set*</v>
      </c>
      <c r="Q12" s="347"/>
    </row>
    <row r="13" spans="2:17" ht="14.1" customHeight="1">
      <c r="B13" s="430" t="str">
        <f>IF(Indice_index!$Z$1=1,"AC","CG")</f>
        <v>AC</v>
      </c>
      <c r="C13" s="301" t="str">
        <f>IF(Indice_index!$Z$1=1,"Aquisição de bens e serviços","Goods and services acquisition")</f>
        <v>Aquisição de bens e serviços</v>
      </c>
      <c r="D13" s="302">
        <v>393.20028837000001</v>
      </c>
      <c r="E13" s="302">
        <v>425.42331234000005</v>
      </c>
      <c r="F13" s="302">
        <v>432.93137755999987</v>
      </c>
      <c r="G13" s="302">
        <v>332.58970309999989</v>
      </c>
      <c r="H13" s="302">
        <v>349.12324980000022</v>
      </c>
      <c r="I13" s="302">
        <v>412.40959406000007</v>
      </c>
      <c r="J13" s="302">
        <v>502.83758834999992</v>
      </c>
      <c r="K13" s="302">
        <v>531.65093082000033</v>
      </c>
      <c r="L13" s="302">
        <v>529.13904708999996</v>
      </c>
      <c r="M13" s="302">
        <v>447.49885458999967</v>
      </c>
      <c r="N13" s="302">
        <v>457.41221067000004</v>
      </c>
      <c r="O13" s="302">
        <v>437.16274260999995</v>
      </c>
      <c r="P13" s="302">
        <v>389.22899454000043</v>
      </c>
      <c r="Q13" s="302">
        <f>P13-O13</f>
        <v>-47.933748069999524</v>
      </c>
    </row>
    <row r="14" spans="2:17" ht="14.1" customHeight="1">
      <c r="B14" s="430"/>
      <c r="C14" s="301" t="str">
        <f>IF(Indice_index!$Z$1=1,"Aquisição de bens de capital","Capital goods acquisition")</f>
        <v>Aquisição de bens de capital</v>
      </c>
      <c r="D14" s="302">
        <v>43.649030090000004</v>
      </c>
      <c r="E14" s="302">
        <v>32.241096339999991</v>
      </c>
      <c r="F14" s="302">
        <v>52.905642970000009</v>
      </c>
      <c r="G14" s="302">
        <v>12.570613289999999</v>
      </c>
      <c r="H14" s="302">
        <v>19.539914070000002</v>
      </c>
      <c r="I14" s="302">
        <v>63.012797159999977</v>
      </c>
      <c r="J14" s="302">
        <v>35.844764360000006</v>
      </c>
      <c r="K14" s="302">
        <v>32.558759099999989</v>
      </c>
      <c r="L14" s="302">
        <v>37.478844660000007</v>
      </c>
      <c r="M14" s="302">
        <v>85.537628410000011</v>
      </c>
      <c r="N14" s="302">
        <v>78.085896089999991</v>
      </c>
      <c r="O14" s="302">
        <v>63.658295339999967</v>
      </c>
      <c r="P14" s="302">
        <v>50.954304550000003</v>
      </c>
      <c r="Q14" s="302">
        <f t="shared" ref="Q14:Q30" si="0">P14-O14</f>
        <v>-12.703990789999963</v>
      </c>
    </row>
    <row r="15" spans="2:17" ht="14.1" customHeight="1">
      <c r="B15" s="430"/>
      <c r="C15" s="301" t="str">
        <f>IF(Indice_index!$Z$1=1,"Transferências para AP","Transfers inside GG")</f>
        <v>Transferências para AP</v>
      </c>
      <c r="D15" s="302">
        <v>56.146969329999997</v>
      </c>
      <c r="E15" s="302">
        <v>49.75608458</v>
      </c>
      <c r="F15" s="302">
        <v>46.716399490000001</v>
      </c>
      <c r="G15" s="302">
        <v>40.146007840000003</v>
      </c>
      <c r="H15" s="302">
        <v>33.478617070000006</v>
      </c>
      <c r="I15" s="302">
        <v>38.180768560000004</v>
      </c>
      <c r="J15" s="302">
        <v>66.302482489999989</v>
      </c>
      <c r="K15" s="302">
        <v>68.147630550000002</v>
      </c>
      <c r="L15" s="302">
        <v>88.892998819999988</v>
      </c>
      <c r="M15" s="302">
        <v>78.848559780000002</v>
      </c>
      <c r="N15" s="302">
        <v>88.396114010000019</v>
      </c>
      <c r="O15" s="302">
        <v>80.239939150000012</v>
      </c>
      <c r="P15" s="302">
        <v>107.89751774000001</v>
      </c>
      <c r="Q15" s="302">
        <f t="shared" si="0"/>
        <v>27.65757859</v>
      </c>
    </row>
    <row r="16" spans="2:17" ht="14.1" customHeight="1">
      <c r="B16" s="430"/>
      <c r="C16" s="301" t="str">
        <f>IF(Indice_index!$Z$1=1,"Transferências para fora das AP","Transfers outside GG")</f>
        <v>Transferências para fora das AP</v>
      </c>
      <c r="D16" s="302">
        <v>50.97450714999998</v>
      </c>
      <c r="E16" s="302">
        <v>64.485738959999992</v>
      </c>
      <c r="F16" s="302">
        <v>166.89308636000004</v>
      </c>
      <c r="G16" s="302">
        <v>10.059896500000001</v>
      </c>
      <c r="H16" s="302">
        <v>25.658524369999999</v>
      </c>
      <c r="I16" s="302">
        <v>19.54087899</v>
      </c>
      <c r="J16" s="302">
        <v>20.731482369999995</v>
      </c>
      <c r="K16" s="302">
        <v>33.858520529999993</v>
      </c>
      <c r="L16" s="302">
        <v>43.85670813000003</v>
      </c>
      <c r="M16" s="302">
        <v>33.165216740000005</v>
      </c>
      <c r="N16" s="302">
        <v>20.812734380000009</v>
      </c>
      <c r="O16" s="302">
        <v>27.5862187</v>
      </c>
      <c r="P16" s="302">
        <v>36.492902050000005</v>
      </c>
      <c r="Q16" s="302">
        <f t="shared" si="0"/>
        <v>8.9066833500000051</v>
      </c>
    </row>
    <row r="17" spans="2:17" ht="14.1" customHeight="1">
      <c r="B17" s="430"/>
      <c r="C17" s="301" t="str">
        <f>IF(Indice_index!$Z$1=1,"Outras","Others")</f>
        <v>Outras</v>
      </c>
      <c r="D17" s="302">
        <v>119.31379493000004</v>
      </c>
      <c r="E17" s="302">
        <v>129.56222091000009</v>
      </c>
      <c r="F17" s="302">
        <v>172.60644016000006</v>
      </c>
      <c r="G17" s="302">
        <v>114.03119601999991</v>
      </c>
      <c r="H17" s="302">
        <v>129.47204675999987</v>
      </c>
      <c r="I17" s="302">
        <v>129.12422052000005</v>
      </c>
      <c r="J17" s="302">
        <v>160.87436430000005</v>
      </c>
      <c r="K17" s="302">
        <v>154.29093803999984</v>
      </c>
      <c r="L17" s="302">
        <v>161.27133981999987</v>
      </c>
      <c r="M17" s="302">
        <v>213.18705807000001</v>
      </c>
      <c r="N17" s="302">
        <v>162.77703533999997</v>
      </c>
      <c r="O17" s="302">
        <v>134.12642475000001</v>
      </c>
      <c r="P17" s="302">
        <v>121.13950855000002</v>
      </c>
      <c r="Q17" s="302">
        <f t="shared" si="0"/>
        <v>-12.986916199999996</v>
      </c>
    </row>
    <row r="18" spans="2:17" ht="14.1" customHeight="1">
      <c r="B18" s="431" t="str">
        <f>IF(Indice_index!$Z$1=1,"Total da Administração Central","Central Government - Total")</f>
        <v>Total da Administração Central</v>
      </c>
      <c r="C18" s="432"/>
      <c r="D18" s="19">
        <v>663.2845898700001</v>
      </c>
      <c r="E18" s="19">
        <v>701.46845313000006</v>
      </c>
      <c r="F18" s="19">
        <v>872.05294653999988</v>
      </c>
      <c r="G18" s="19">
        <v>509.39741674999976</v>
      </c>
      <c r="H18" s="19">
        <v>557.27235207000012</v>
      </c>
      <c r="I18" s="19">
        <v>662.26825929000006</v>
      </c>
      <c r="J18" s="19">
        <v>786.59068186999991</v>
      </c>
      <c r="K18" s="19">
        <v>820.50677904000008</v>
      </c>
      <c r="L18" s="19">
        <v>860.6389385199999</v>
      </c>
      <c r="M18" s="19">
        <v>858.23731758999963</v>
      </c>
      <c r="N18" s="19">
        <v>807.48399049000011</v>
      </c>
      <c r="O18" s="19">
        <v>742.77362055000003</v>
      </c>
      <c r="P18" s="19">
        <v>705.71322743000042</v>
      </c>
      <c r="Q18" s="19">
        <f t="shared" si="0"/>
        <v>-37.060393119999617</v>
      </c>
    </row>
    <row r="19" spans="2:17" ht="14.1" customHeight="1">
      <c r="B19" s="430" t="str">
        <f>IF(Indice_index!$Z$1=1,"AR","RG")</f>
        <v>AR</v>
      </c>
      <c r="C19" s="301" t="str">
        <f>IF(Indice_index!$Z$1=1,"Aquisição de bens e serviços","Goods and Services Acquisition")</f>
        <v>Aquisição de bens e serviços</v>
      </c>
      <c r="D19" s="302">
        <v>86.083972009999997</v>
      </c>
      <c r="E19" s="302">
        <v>79.257553480000013</v>
      </c>
      <c r="F19" s="303">
        <v>80.18575051000002</v>
      </c>
      <c r="G19" s="303">
        <v>75.500116880000064</v>
      </c>
      <c r="H19" s="303">
        <v>121.66949869999999</v>
      </c>
      <c r="I19" s="303">
        <v>78.582300310000008</v>
      </c>
      <c r="J19" s="303">
        <v>87.640884260000036</v>
      </c>
      <c r="K19" s="303">
        <v>74.65594612999999</v>
      </c>
      <c r="L19" s="303">
        <v>76.335623529999992</v>
      </c>
      <c r="M19" s="303">
        <v>72.199604660000006</v>
      </c>
      <c r="N19" s="303">
        <v>99.250310689999964</v>
      </c>
      <c r="O19" s="303">
        <v>46.448886899999977</v>
      </c>
      <c r="P19" s="303">
        <v>73.647289369999996</v>
      </c>
      <c r="Q19" s="302">
        <f t="shared" si="0"/>
        <v>27.198402470000019</v>
      </c>
    </row>
    <row r="20" spans="2:17" ht="14.1" customHeight="1">
      <c r="B20" s="430"/>
      <c r="C20" s="301" t="str">
        <f>IF(Indice_index!$Z$1=1,"Aquisição de bens de capital","Capital Goods Acquisition")</f>
        <v>Aquisição de bens de capital</v>
      </c>
      <c r="D20" s="302">
        <v>30.17975332</v>
      </c>
      <c r="E20" s="302">
        <v>36.335350020000007</v>
      </c>
      <c r="F20" s="304">
        <v>30.574134809999997</v>
      </c>
      <c r="G20" s="304">
        <v>25.613794649999996</v>
      </c>
      <c r="H20" s="304">
        <v>24.518919529999998</v>
      </c>
      <c r="I20" s="304">
        <v>24.513869900000003</v>
      </c>
      <c r="J20" s="304">
        <v>30.270246150000002</v>
      </c>
      <c r="K20" s="304">
        <v>28.179851540000005</v>
      </c>
      <c r="L20" s="304">
        <v>27.376691000000001</v>
      </c>
      <c r="M20" s="304">
        <v>30.137657990000001</v>
      </c>
      <c r="N20" s="304">
        <v>32.828556429999999</v>
      </c>
      <c r="O20" s="304">
        <v>30.572322400000004</v>
      </c>
      <c r="P20" s="304">
        <v>37.777629880000006</v>
      </c>
      <c r="Q20" s="302">
        <f t="shared" si="0"/>
        <v>7.2053074800000019</v>
      </c>
    </row>
    <row r="21" spans="2:17" ht="14.1" customHeight="1">
      <c r="B21" s="430"/>
      <c r="C21" s="301" t="str">
        <f>IF(Indice_index!$Z$1=1,"Transferências para AP","Transfers inside GG")</f>
        <v>Transferências para AP</v>
      </c>
      <c r="D21" s="302">
        <v>11.88154647</v>
      </c>
      <c r="E21" s="302">
        <v>4.1943275399999997</v>
      </c>
      <c r="F21" s="304">
        <v>4.2421514399999998</v>
      </c>
      <c r="G21" s="304">
        <v>52.653010790000003</v>
      </c>
      <c r="H21" s="304">
        <v>36.016843659999999</v>
      </c>
      <c r="I21" s="304">
        <v>35.304871339999998</v>
      </c>
      <c r="J21" s="304">
        <v>36.02855959</v>
      </c>
      <c r="K21" s="304">
        <v>38.780952520000007</v>
      </c>
      <c r="L21" s="304">
        <v>40.46208335</v>
      </c>
      <c r="M21" s="304">
        <v>19.99641154</v>
      </c>
      <c r="N21" s="304">
        <v>20.989519529999999</v>
      </c>
      <c r="O21" s="304">
        <v>15.793457699999998</v>
      </c>
      <c r="P21" s="304">
        <v>3.31664563</v>
      </c>
      <c r="Q21" s="302">
        <f t="shared" si="0"/>
        <v>-12.476812069999998</v>
      </c>
    </row>
    <row r="22" spans="2:17" ht="14.1" customHeight="1">
      <c r="B22" s="430"/>
      <c r="C22" s="301" t="str">
        <f>IF(Indice_index!$Z$1=1,"Transferências para fora das AP","Transfers outside GG")</f>
        <v>Transferências para fora das AP</v>
      </c>
      <c r="D22" s="302">
        <v>26.53265554</v>
      </c>
      <c r="E22" s="302">
        <v>24.405611660000002</v>
      </c>
      <c r="F22" s="304">
        <v>31.739620039999998</v>
      </c>
      <c r="G22" s="304">
        <v>31.776042220000001</v>
      </c>
      <c r="H22" s="304">
        <v>27.556429039999998</v>
      </c>
      <c r="I22" s="304">
        <v>26.778189569999999</v>
      </c>
      <c r="J22" s="304">
        <v>28.146563450000002</v>
      </c>
      <c r="K22" s="304">
        <v>27.621798289999997</v>
      </c>
      <c r="L22" s="304">
        <v>31.559616410000004</v>
      </c>
      <c r="M22" s="304">
        <v>30.940836279999999</v>
      </c>
      <c r="N22" s="304">
        <v>30.770600060000003</v>
      </c>
      <c r="O22" s="304">
        <v>29.021108290000001</v>
      </c>
      <c r="P22" s="304">
        <v>34.904629619999994</v>
      </c>
      <c r="Q22" s="302">
        <f t="shared" si="0"/>
        <v>5.8835213299999936</v>
      </c>
    </row>
    <row r="23" spans="2:17" ht="14.1" customHeight="1">
      <c r="B23" s="430"/>
      <c r="C23" s="301" t="str">
        <f>IF(Indice_index!$Z$1=1,"Outras","Others")</f>
        <v>Outras</v>
      </c>
      <c r="D23" s="302">
        <v>27.460842610000022</v>
      </c>
      <c r="E23" s="302">
        <v>45.72648408000002</v>
      </c>
      <c r="F23" s="305">
        <v>37.74320892999998</v>
      </c>
      <c r="G23" s="305">
        <v>20.286404300000001</v>
      </c>
      <c r="H23" s="305">
        <v>28.116376290000012</v>
      </c>
      <c r="I23" s="305">
        <v>32.601703530000002</v>
      </c>
      <c r="J23" s="305">
        <v>28.515561100000021</v>
      </c>
      <c r="K23" s="305">
        <v>49.996260710000001</v>
      </c>
      <c r="L23" s="305">
        <v>40.893409340000019</v>
      </c>
      <c r="M23" s="305">
        <v>57.555737510000014</v>
      </c>
      <c r="N23" s="305">
        <v>32.36594586999999</v>
      </c>
      <c r="O23" s="305">
        <v>37.134584449999984</v>
      </c>
      <c r="P23" s="305">
        <v>29.934220030000009</v>
      </c>
      <c r="Q23" s="302">
        <f t="shared" si="0"/>
        <v>-7.2003644199999748</v>
      </c>
    </row>
    <row r="24" spans="2:17" ht="14.1" customHeight="1">
      <c r="B24" s="431" t="str">
        <f>IF(Indice_index!$Z$1=1,"Total da Administração Regional","Regional Government - Total")</f>
        <v>Total da Administração Regional</v>
      </c>
      <c r="C24" s="432"/>
      <c r="D24" s="19">
        <v>182.13876995000001</v>
      </c>
      <c r="E24" s="19">
        <v>189.91932678000006</v>
      </c>
      <c r="F24" s="19">
        <v>184.48486573</v>
      </c>
      <c r="G24" s="19">
        <v>205.82936884000003</v>
      </c>
      <c r="H24" s="19">
        <v>237.87806721999999</v>
      </c>
      <c r="I24" s="19">
        <v>197.78093465000001</v>
      </c>
      <c r="J24" s="19">
        <v>210.60181455000006</v>
      </c>
      <c r="K24" s="19">
        <v>219.23480918999999</v>
      </c>
      <c r="L24" s="19">
        <v>216.62742363000001</v>
      </c>
      <c r="M24" s="19">
        <v>210.83024798000002</v>
      </c>
      <c r="N24" s="19">
        <v>216.20493257999993</v>
      </c>
      <c r="O24" s="19">
        <v>158.97035973999996</v>
      </c>
      <c r="P24" s="19">
        <v>179.58041452999998</v>
      </c>
      <c r="Q24" s="19">
        <f t="shared" si="0"/>
        <v>20.610054790000021</v>
      </c>
    </row>
    <row r="25" spans="2:17" ht="14.1" customHeight="1">
      <c r="B25" s="433" t="str">
        <f>IF(Indice_index!$Z$1=1,"AL","LG")</f>
        <v>AL</v>
      </c>
      <c r="C25" s="306" t="str">
        <f>IF(Indice_index!$Z$1=1,"Aquisição de bens e serviços","Goods and services acquisition")</f>
        <v>Aquisição de bens e serviços</v>
      </c>
      <c r="D25" s="302">
        <v>383.79647126999987</v>
      </c>
      <c r="E25" s="303">
        <v>389.5166660000001</v>
      </c>
      <c r="F25" s="303">
        <v>409.68559555000013</v>
      </c>
      <c r="G25" s="303">
        <v>392.30310218000005</v>
      </c>
      <c r="H25" s="303">
        <v>359.35581697999999</v>
      </c>
      <c r="I25" s="303">
        <v>359.51245863000008</v>
      </c>
      <c r="J25" s="302">
        <v>368.3436272400001</v>
      </c>
      <c r="K25" s="307">
        <v>380.82034369000002</v>
      </c>
      <c r="L25" s="307">
        <v>389.76913767000002</v>
      </c>
      <c r="M25" s="307">
        <v>398.64909722000016</v>
      </c>
      <c r="N25" s="307">
        <v>396.99352950000002</v>
      </c>
      <c r="O25" s="307">
        <v>395.02736624999989</v>
      </c>
      <c r="P25" s="307">
        <v>353.67330289999967</v>
      </c>
      <c r="Q25" s="302">
        <f t="shared" si="0"/>
        <v>-41.354063350000217</v>
      </c>
    </row>
    <row r="26" spans="2:17" ht="14.1" customHeight="1">
      <c r="B26" s="430"/>
      <c r="C26" s="308" t="str">
        <f>IF(Indice_index!$Z$1=1,"Aquisição de bens de capital","Capital goods acquisition")</f>
        <v>Aquisição de bens de capital</v>
      </c>
      <c r="D26" s="302">
        <v>212.48229663000006</v>
      </c>
      <c r="E26" s="304">
        <v>232.35136308999998</v>
      </c>
      <c r="F26" s="304">
        <v>240.62645032000003</v>
      </c>
      <c r="G26" s="304">
        <v>167.32853947000004</v>
      </c>
      <c r="H26" s="304">
        <v>151.59343559000004</v>
      </c>
      <c r="I26" s="304">
        <v>177.65577449000003</v>
      </c>
      <c r="J26" s="302">
        <v>186.30748641</v>
      </c>
      <c r="K26" s="307">
        <v>224.07709483999983</v>
      </c>
      <c r="L26" s="307">
        <v>238.71184731999998</v>
      </c>
      <c r="M26" s="307">
        <v>239.70526794000023</v>
      </c>
      <c r="N26" s="307">
        <v>254.62201070000003</v>
      </c>
      <c r="O26" s="307">
        <v>268.15637744000009</v>
      </c>
      <c r="P26" s="307">
        <v>233.14623204000017</v>
      </c>
      <c r="Q26" s="302">
        <f t="shared" si="0"/>
        <v>-35.010145399999914</v>
      </c>
    </row>
    <row r="27" spans="2:17" ht="14.1" customHeight="1">
      <c r="B27" s="430"/>
      <c r="C27" s="308" t="str">
        <f>IF(Indice_index!$Z$1=1,"Transferências para AP","Transfers inside GG")</f>
        <v>Transferências para AP</v>
      </c>
      <c r="D27" s="302">
        <v>55.891194130000002</v>
      </c>
      <c r="E27" s="304">
        <v>53.984200799999982</v>
      </c>
      <c r="F27" s="304">
        <v>55.559008279999993</v>
      </c>
      <c r="G27" s="304">
        <v>54.155798379999986</v>
      </c>
      <c r="H27" s="304">
        <v>55.636232869999994</v>
      </c>
      <c r="I27" s="304">
        <v>61.906092940000008</v>
      </c>
      <c r="J27" s="302">
        <v>60.994696580000017</v>
      </c>
      <c r="K27" s="307">
        <v>61.275647259999978</v>
      </c>
      <c r="L27" s="307">
        <v>61.70514634000002</v>
      </c>
      <c r="M27" s="307">
        <v>44.877375639999997</v>
      </c>
      <c r="N27" s="307">
        <v>43.725837360000007</v>
      </c>
      <c r="O27" s="307">
        <v>43.110736780000003</v>
      </c>
      <c r="P27" s="307">
        <v>39.812344549999992</v>
      </c>
      <c r="Q27" s="302">
        <f t="shared" si="0"/>
        <v>-3.2983922300000117</v>
      </c>
    </row>
    <row r="28" spans="2:17" ht="14.1" customHeight="1">
      <c r="B28" s="430"/>
      <c r="C28" s="308" t="str">
        <f>IF(Indice_index!$Z$1=1,"Transferências para fora das AP","Transfers outside GG")</f>
        <v>Transferências para fora das AP</v>
      </c>
      <c r="D28" s="302">
        <v>67.281531579999992</v>
      </c>
      <c r="E28" s="304">
        <v>69.896775829999996</v>
      </c>
      <c r="F28" s="304">
        <v>68.452817099999976</v>
      </c>
      <c r="G28" s="304">
        <v>56.263205380000009</v>
      </c>
      <c r="H28" s="304">
        <v>61.711426769999989</v>
      </c>
      <c r="I28" s="304">
        <v>68.890659569999997</v>
      </c>
      <c r="J28" s="302">
        <v>72.100927749999983</v>
      </c>
      <c r="K28" s="307">
        <v>75.963629929999996</v>
      </c>
      <c r="L28" s="307">
        <v>72.736498669999975</v>
      </c>
      <c r="M28" s="307">
        <v>75.617976169999963</v>
      </c>
      <c r="N28" s="307">
        <v>75.247040749999996</v>
      </c>
      <c r="O28" s="307">
        <v>71.876930109999989</v>
      </c>
      <c r="P28" s="307">
        <v>66.875317169999988</v>
      </c>
      <c r="Q28" s="302">
        <f t="shared" si="0"/>
        <v>-5.0016129400000011</v>
      </c>
    </row>
    <row r="29" spans="2:17" ht="14.1" customHeight="1">
      <c r="B29" s="430"/>
      <c r="C29" s="309" t="str">
        <f>IF(Indice_index!$Z$1=1,"Outras","Others")</f>
        <v>Outras</v>
      </c>
      <c r="D29" s="302">
        <v>511.75941133999953</v>
      </c>
      <c r="E29" s="305">
        <v>523.95960963999948</v>
      </c>
      <c r="F29" s="305">
        <v>580.7165535099989</v>
      </c>
      <c r="G29" s="305">
        <v>496.2702172000005</v>
      </c>
      <c r="H29" s="305">
        <v>480.54659306000002</v>
      </c>
      <c r="I29" s="305">
        <v>536.23230701999944</v>
      </c>
      <c r="J29" s="302">
        <v>541.64473375999853</v>
      </c>
      <c r="K29" s="310">
        <v>553.99644195000099</v>
      </c>
      <c r="L29" s="310">
        <v>567.50258941000084</v>
      </c>
      <c r="M29" s="310">
        <v>546.72840083999961</v>
      </c>
      <c r="N29" s="310">
        <v>498.23532035999972</v>
      </c>
      <c r="O29" s="310">
        <v>493.98509281000099</v>
      </c>
      <c r="P29" s="310">
        <v>472.40273287000059</v>
      </c>
      <c r="Q29" s="302">
        <f t="shared" si="0"/>
        <v>-21.582359940000401</v>
      </c>
    </row>
    <row r="30" spans="2:17" ht="14.1" customHeight="1">
      <c r="B30" s="431" t="str">
        <f>IF(Indice_index!$Z$1=1,"Total da Administração Local","Local Government - Total")</f>
        <v>Total da Administração Local</v>
      </c>
      <c r="C30" s="432"/>
      <c r="D30" s="19">
        <v>1231.2109049499995</v>
      </c>
      <c r="E30" s="19">
        <v>1269.7086153599994</v>
      </c>
      <c r="F30" s="19">
        <v>1355.040424759999</v>
      </c>
      <c r="G30" s="19">
        <v>1166.3208626100006</v>
      </c>
      <c r="H30" s="19">
        <v>1108.8435052699999</v>
      </c>
      <c r="I30" s="19">
        <v>1204.1972926499996</v>
      </c>
      <c r="J30" s="19">
        <v>1229.3914717399985</v>
      </c>
      <c r="K30" s="19">
        <v>1296.1331576700009</v>
      </c>
      <c r="L30" s="19">
        <v>1330.4252194100009</v>
      </c>
      <c r="M30" s="19">
        <v>1305.5781178100001</v>
      </c>
      <c r="N30" s="19">
        <v>1268.8237386699998</v>
      </c>
      <c r="O30" s="19">
        <v>1272.156503390001</v>
      </c>
      <c r="P30" s="19">
        <v>1165.9099295300005</v>
      </c>
      <c r="Q30" s="19">
        <f t="shared" si="0"/>
        <v>-106.24657386000058</v>
      </c>
    </row>
    <row r="31" spans="2:17" ht="14.1" customHeight="1">
      <c r="B31" s="426" t="str">
        <f>IF(Indice_index!$Z$1=1,"Total das Administrações Públicas","General Government - Total")</f>
        <v>Total das Administrações Públicas</v>
      </c>
      <c r="C31" s="427"/>
      <c r="D31" s="208">
        <f t="shared" ref="D31:O31" si="1">D30+D24+D18</f>
        <v>2076.6342647699998</v>
      </c>
      <c r="E31" s="208">
        <f t="shared" si="1"/>
        <v>2161.0963952699994</v>
      </c>
      <c r="F31" s="208">
        <f t="shared" si="1"/>
        <v>2411.5782370299989</v>
      </c>
      <c r="G31" s="208">
        <f t="shared" si="1"/>
        <v>1881.5476482000006</v>
      </c>
      <c r="H31" s="208">
        <f t="shared" si="1"/>
        <v>1903.9939245600001</v>
      </c>
      <c r="I31" s="208">
        <f t="shared" si="1"/>
        <v>2064.2464865899997</v>
      </c>
      <c r="J31" s="208">
        <f t="shared" si="1"/>
        <v>2226.5839681599982</v>
      </c>
      <c r="K31" s="208">
        <f t="shared" si="1"/>
        <v>2335.874745900001</v>
      </c>
      <c r="L31" s="208">
        <f t="shared" si="1"/>
        <v>2407.6915815600009</v>
      </c>
      <c r="M31" s="208">
        <f t="shared" si="1"/>
        <v>2374.6456833799998</v>
      </c>
      <c r="N31" s="208">
        <f t="shared" si="1"/>
        <v>2292.5126617399997</v>
      </c>
      <c r="O31" s="208">
        <f t="shared" si="1"/>
        <v>2173.9004836800013</v>
      </c>
      <c r="P31" s="208">
        <f t="shared" ref="P31" si="2">P30+P24+P18</f>
        <v>2051.2035714900012</v>
      </c>
      <c r="Q31" s="208">
        <f t="shared" ref="Q31" si="3">P31-O31</f>
        <v>-122.69691219000015</v>
      </c>
    </row>
    <row r="32" spans="2:17" ht="15" customHeight="1">
      <c r="B32" s="10" t="str">
        <f>IF(Indice_index!$Z$1=1,"Notas:","Notes:")</f>
        <v>Notas:</v>
      </c>
      <c r="C32" s="10"/>
      <c r="D32" s="10"/>
      <c r="E32" s="10"/>
      <c r="F32" s="10"/>
      <c r="G32" s="10"/>
      <c r="H32" s="10"/>
      <c r="I32" s="10"/>
      <c r="J32" s="10"/>
      <c r="K32" s="10"/>
      <c r="L32" s="10"/>
      <c r="M32" s="10"/>
      <c r="N32" s="10"/>
      <c r="O32" s="10"/>
      <c r="P32" s="10"/>
      <c r="Q32" s="10"/>
    </row>
    <row r="33" spans="2:17" ht="15">
      <c r="B33" s="424" t="str">
        <f>IF(Indice_index!$Z$1=1,"Conceito de passivo não financeiro no âmbito da Lei Lei n.º 8/2012, de 21 de Fevereiro de 2012 (Lei dos Compromissos e Pagamentos em Atraso).","Definition of non financial liability according to the Law of Commitment and Arrears (Law no. 8/2012 of 21 February).")</f>
        <v>Conceito de passivo não financeiro no âmbito da Lei Lei n.º 8/2012, de 21 de Fevereiro de 2012 (Lei dos Compromissos e Pagamentos em Atraso).</v>
      </c>
      <c r="C33" s="424"/>
      <c r="D33" s="424"/>
      <c r="E33" s="424"/>
      <c r="F33" s="424"/>
      <c r="G33" s="424"/>
      <c r="H33" s="424"/>
      <c r="I33" s="424"/>
      <c r="J33" s="424"/>
      <c r="K33" s="424"/>
      <c r="L33" s="424"/>
      <c r="M33" s="424"/>
      <c r="N33" s="424"/>
      <c r="O33" s="424"/>
      <c r="P33" s="424"/>
      <c r="Q33" s="424"/>
    </row>
    <row r="34" spans="2:17" ht="36.75" customHeight="1">
      <c r="B34" s="419" t="str">
        <f>IF(Indice_index!$Z$1=1,C94,C95)</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4" s="419"/>
      <c r="D34" s="419"/>
      <c r="E34" s="419"/>
      <c r="F34" s="419"/>
      <c r="G34" s="419"/>
      <c r="H34" s="419"/>
      <c r="I34" s="419"/>
      <c r="J34" s="419"/>
      <c r="K34" s="419"/>
      <c r="L34" s="419"/>
      <c r="M34" s="419"/>
      <c r="N34" s="419"/>
      <c r="O34" s="419"/>
      <c r="P34" s="419"/>
      <c r="Q34" s="419"/>
    </row>
    <row r="35" spans="2:17" ht="15">
      <c r="B35" s="420" t="str">
        <f>IF(Indice_index!$Z$1=1,"AC: Exclui a contribuição financeira para a União Europeia, pelo facto de a mesma não ser considerada em dívida.","CG:Excludes financial contribution to EU, as it is not considered to be in debt.")</f>
        <v>AC: Exclui a contribuição financeira para a União Europeia, pelo facto de a mesma não ser considerada em dívida.</v>
      </c>
      <c r="C35" s="420"/>
      <c r="D35" s="420"/>
      <c r="E35" s="420"/>
      <c r="F35" s="420"/>
      <c r="G35" s="420"/>
      <c r="H35" s="420"/>
      <c r="I35" s="420"/>
      <c r="J35" s="420"/>
      <c r="K35" s="420"/>
      <c r="L35" s="420"/>
      <c r="M35" s="420"/>
      <c r="N35" s="420"/>
      <c r="O35" s="420"/>
      <c r="P35" s="420"/>
      <c r="Q35" s="420"/>
    </row>
    <row r="36" spans="2:17" ht="15">
      <c r="B36" s="423" t="str">
        <f>IF(Indice_index!$Z$1=1,"AC: Dados revistos de jan. 24 a ago. 24","CG: revised data from Jan. 24 to Aug.24.")</f>
        <v>AC: Dados revistos de jan. 24 a ago. 24</v>
      </c>
      <c r="C36" s="423"/>
      <c r="D36" s="423"/>
      <c r="E36" s="423"/>
      <c r="F36" s="423"/>
      <c r="G36" s="423"/>
      <c r="H36" s="423"/>
      <c r="I36" s="423"/>
      <c r="J36" s="423"/>
      <c r="K36" s="423"/>
      <c r="L36" s="423"/>
      <c r="M36" s="423"/>
      <c r="N36" s="423"/>
      <c r="O36" s="423"/>
      <c r="P36" s="423"/>
      <c r="Q36" s="423"/>
    </row>
    <row r="37" spans="2:17" ht="24.75" customHeight="1">
      <c r="B37" s="421" t="str">
        <f>IF(Indice_index!$Z$1=1,"Fonte: Direção-Geral do Orçamento, Direção Geral das Autarquias Locais, Direção Regional do Orçamento e Tesouro da Região Autónoma dos Açores e Direção Regional do Orçamento e Tesouro da Região Autónoma da Madeira","Source: Budget General Directorate, DGAL, Azores Autonomous Region Budget and Treasury Regional Directorate and Madeira Autonomous Region Budget and Treasury Regional Directorate.")</f>
        <v>Fonte: Direção-Geral do Orçamento, Direção Geral das Autarquias Locais, Direção Regional do Orçamento e Tesouro da Região Autónoma dos Açores e Direção Regional do Orçamento e Tesouro da Região Autónoma da Madeira</v>
      </c>
      <c r="C37" s="421"/>
      <c r="D37" s="421"/>
      <c r="E37" s="421"/>
      <c r="F37" s="421"/>
      <c r="G37" s="421"/>
      <c r="H37" s="421"/>
      <c r="I37" s="421"/>
      <c r="J37" s="421"/>
      <c r="K37" s="421"/>
      <c r="L37" s="421"/>
      <c r="M37" s="421"/>
      <c r="N37" s="421"/>
      <c r="O37" s="421"/>
      <c r="P37" s="421"/>
      <c r="Q37" s="421"/>
    </row>
    <row r="38" spans="2:17" ht="15" customHeight="1">
      <c r="B38" s="122"/>
      <c r="C38" s="186"/>
      <c r="D38" s="61"/>
      <c r="E38" s="61"/>
      <c r="F38" s="61"/>
      <c r="G38" s="61"/>
      <c r="H38" s="61"/>
      <c r="I38" s="61"/>
      <c r="J38" s="61"/>
      <c r="K38" s="61"/>
      <c r="L38" s="61"/>
      <c r="M38" s="61"/>
      <c r="N38" s="61"/>
      <c r="O38" s="61"/>
      <c r="P38" s="61"/>
      <c r="Q38" s="143" t="str">
        <f>IF(Indice_index!$Z$1=1,"€ Milhões","€ Millions")</f>
        <v>€ Milhões</v>
      </c>
    </row>
    <row r="39" spans="2:17" ht="16.350000000000001" customHeight="1">
      <c r="B39" s="187"/>
      <c r="C39" s="374"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9" s="374"/>
      <c r="E39" s="374"/>
      <c r="F39" s="374"/>
      <c r="G39" s="374"/>
      <c r="H39" s="374"/>
      <c r="I39" s="374"/>
      <c r="J39" s="374"/>
      <c r="K39" s="374"/>
      <c r="L39" s="374"/>
      <c r="M39" s="374"/>
      <c r="N39" s="374"/>
      <c r="O39" s="374"/>
      <c r="P39" s="374"/>
      <c r="Q39" s="374"/>
    </row>
    <row r="40" spans="2:17" ht="15.6" customHeight="1">
      <c r="B40" s="61"/>
      <c r="C40" s="398" t="s">
        <v>13</v>
      </c>
      <c r="D40" s="378">
        <v>2023</v>
      </c>
      <c r="E40" s="374"/>
      <c r="F40" s="374"/>
      <c r="G40" s="375"/>
      <c r="H40" s="378">
        <v>2024</v>
      </c>
      <c r="I40" s="374"/>
      <c r="J40" s="374"/>
      <c r="K40" s="374"/>
      <c r="L40" s="374"/>
      <c r="M40" s="374"/>
      <c r="N40" s="374"/>
      <c r="O40" s="374"/>
      <c r="P40" s="375"/>
      <c r="Q40" s="398" t="str">
        <f>IF(Indice_index!$Z$1=1,"variação mensal","monthly variation")</f>
        <v>variação mensal</v>
      </c>
    </row>
    <row r="41" spans="2:17" ht="13.5" customHeight="1">
      <c r="B41" s="122"/>
      <c r="C41" s="347"/>
      <c r="D41" s="24" t="str">
        <f>IF(Indice_index!$Z$1=1,"set*","Sep*")</f>
        <v>set*</v>
      </c>
      <c r="E41" s="24" t="str">
        <f>IF(Indice_index!$Z$1=1,"out*","Oct*")</f>
        <v>out*</v>
      </c>
      <c r="F41" s="24" t="str">
        <f>IF(Indice_index!$Z$1=1,"nov*","Nov*")</f>
        <v>nov*</v>
      </c>
      <c r="G41" s="204" t="str">
        <f>IF(Indice_index!$Z$1=1,"dez*","Dec*")</f>
        <v>dez*</v>
      </c>
      <c r="H41" s="24" t="str">
        <f>IF(Indice_index!$Z$1=1,"jan*","Jan*")</f>
        <v>jan*</v>
      </c>
      <c r="I41" s="204" t="str">
        <f>IF(Indice_index!$Z$1=1,"fev*","Feb*")</f>
        <v>fev*</v>
      </c>
      <c r="J41" s="24" t="str">
        <f>IF(Indice_index!$Z$1=1,"mar*","Mar*")</f>
        <v>mar*</v>
      </c>
      <c r="K41" s="24" t="str">
        <f>IF(Indice_index!$Z$1=1,"abr*","Apr*")</f>
        <v>abr*</v>
      </c>
      <c r="L41" s="24" t="str">
        <f>IF(Indice_index!$Z$1=1,"mai*","May*")</f>
        <v>mai*</v>
      </c>
      <c r="M41" s="24" t="str">
        <f>IF(Indice_index!$Z$1=1,"jun*","Jun*")</f>
        <v>jun*</v>
      </c>
      <c r="N41" s="24" t="str">
        <f>IF(Indice_index!$Z$1=1,"jul*","Jul*")</f>
        <v>jul*</v>
      </c>
      <c r="O41" s="24" t="str">
        <f>IF(Indice_index!$Z$1=1,"ago*","Aug*")</f>
        <v>ago*</v>
      </c>
      <c r="P41" s="24" t="str">
        <f>IF(Indice_index!$Z$1=1,"set*","Sep*")</f>
        <v>set*</v>
      </c>
      <c r="Q41" s="347"/>
    </row>
    <row r="42" spans="2:17" ht="14.1" customHeight="1">
      <c r="B42" s="81"/>
      <c r="C42" s="311" t="str">
        <f>IF(Indice_index!$Z$1=1,"Administrações Públicas","General Government")</f>
        <v>Administrações Públicas</v>
      </c>
      <c r="D42" s="312">
        <f>SUM(D43:D48)</f>
        <v>952.95980724000015</v>
      </c>
      <c r="E42" s="312">
        <f t="shared" ref="E42:N42" si="4">SUM(E43:E48)</f>
        <v>1143.4159287299999</v>
      </c>
      <c r="F42" s="312">
        <f t="shared" si="4"/>
        <v>1288.1520230399999</v>
      </c>
      <c r="G42" s="312">
        <f t="shared" si="4"/>
        <v>454.66789959000062</v>
      </c>
      <c r="H42" s="312">
        <f t="shared" si="4"/>
        <v>435.14726094000002</v>
      </c>
      <c r="I42" s="312">
        <f t="shared" si="4"/>
        <v>444.3041502100001</v>
      </c>
      <c r="J42" s="312">
        <f t="shared" si="4"/>
        <v>436.04825518000007</v>
      </c>
      <c r="K42" s="312">
        <f t="shared" si="4"/>
        <v>486.42002861000003</v>
      </c>
      <c r="L42" s="312">
        <f t="shared" si="4"/>
        <v>540.18015157000013</v>
      </c>
      <c r="M42" s="312">
        <f t="shared" si="4"/>
        <v>581.72455848999994</v>
      </c>
      <c r="N42" s="312">
        <f t="shared" si="4"/>
        <v>597.63080687999991</v>
      </c>
      <c r="O42" s="312">
        <f>SUM(O43:O48)</f>
        <v>630.83929631000001</v>
      </c>
      <c r="P42" s="312">
        <f>SUM(P43:P48)</f>
        <v>626.24958819999995</v>
      </c>
      <c r="Q42" s="312">
        <f>P42-O42</f>
        <v>-4.5897081100000605</v>
      </c>
    </row>
    <row r="43" spans="2:17" ht="14.1" customHeight="1">
      <c r="B43" s="81"/>
      <c r="C43" s="313" t="str">
        <f>IF(Indice_index!$Z$1=1,"Admin. Central excl. Subs. Saúde","Central Government excl. Health Subsector")</f>
        <v>Admin. Central excl. Subs. Saúde</v>
      </c>
      <c r="D43" s="302">
        <v>86.428589479999999</v>
      </c>
      <c r="E43" s="302">
        <v>83.433747480000008</v>
      </c>
      <c r="F43" s="302">
        <v>83.553969699999996</v>
      </c>
      <c r="G43" s="302">
        <v>70.884140510000009</v>
      </c>
      <c r="H43" s="302">
        <v>93.476929580000018</v>
      </c>
      <c r="I43" s="302">
        <v>106.89177034000002</v>
      </c>
      <c r="J43" s="302">
        <v>124.05021035000001</v>
      </c>
      <c r="K43" s="302">
        <v>128.91494168999998</v>
      </c>
      <c r="L43" s="302">
        <v>125.96711809</v>
      </c>
      <c r="M43" s="302">
        <v>128.08420963</v>
      </c>
      <c r="N43" s="302">
        <v>124.92991214000001</v>
      </c>
      <c r="O43" s="302">
        <v>124.90098169000001</v>
      </c>
      <c r="P43" s="302">
        <v>51.622456219999997</v>
      </c>
      <c r="Q43" s="302">
        <f t="shared" ref="Q43:Q51" si="5">P43-O43</f>
        <v>-73.278525470000005</v>
      </c>
    </row>
    <row r="44" spans="2:17" ht="14.1" customHeight="1">
      <c r="B44" s="81"/>
      <c r="C44" s="313" t="str">
        <f>IF(Indice_index!$Z$1=1,"Subsector da Saúde","Health Subsector")</f>
        <v>Subsector da Saúde</v>
      </c>
      <c r="D44" s="302">
        <v>2.1561574899999951</v>
      </c>
      <c r="E44" s="302">
        <v>55.602899350000001</v>
      </c>
      <c r="F44" s="302">
        <v>61.226972430000011</v>
      </c>
      <c r="G44" s="302">
        <v>50.356786720000017</v>
      </c>
      <c r="H44" s="302">
        <v>2.5671973900000005</v>
      </c>
      <c r="I44" s="302">
        <v>1.274720910000005</v>
      </c>
      <c r="J44" s="302">
        <v>3.1902910800000002</v>
      </c>
      <c r="K44" s="302">
        <v>4.1484867500000009</v>
      </c>
      <c r="L44" s="302">
        <v>3.3982930200000006</v>
      </c>
      <c r="M44" s="302">
        <v>3.4451016400000007</v>
      </c>
      <c r="N44" s="302">
        <v>3.5048761199999996</v>
      </c>
      <c r="O44" s="302">
        <v>0.62192630999999998</v>
      </c>
      <c r="P44" s="302">
        <v>0.86296452000000001</v>
      </c>
      <c r="Q44" s="302">
        <f t="shared" si="5"/>
        <v>0.24103821000000003</v>
      </c>
    </row>
    <row r="45" spans="2:17" ht="14.1" customHeight="1">
      <c r="B45" s="81"/>
      <c r="C45" s="313" t="str">
        <f>IF(Indice_index!$Z$1=1,"Unidades de Saúde EPE","HNS - EPE Health Units")</f>
        <v>Unidades de Saúde EPE</v>
      </c>
      <c r="D45" s="302">
        <v>632.94367767000017</v>
      </c>
      <c r="E45" s="302">
        <v>768.89177740999992</v>
      </c>
      <c r="F45" s="302">
        <v>885.94002604999991</v>
      </c>
      <c r="G45" s="302">
        <v>90.275915590000025</v>
      </c>
      <c r="H45" s="302">
        <v>111.97252839000002</v>
      </c>
      <c r="I45" s="302">
        <v>123.70540233000003</v>
      </c>
      <c r="J45" s="302">
        <v>81.795939290000007</v>
      </c>
      <c r="K45" s="302">
        <v>112.28967412000003</v>
      </c>
      <c r="L45" s="302">
        <v>161.00723443000001</v>
      </c>
      <c r="M45" s="302">
        <v>202.16883377999997</v>
      </c>
      <c r="N45" s="302">
        <v>233.14515338000007</v>
      </c>
      <c r="O45" s="302">
        <v>287.64056455000002</v>
      </c>
      <c r="P45" s="302">
        <v>355.80908412999997</v>
      </c>
      <c r="Q45" s="302">
        <f t="shared" si="5"/>
        <v>68.168519579999952</v>
      </c>
    </row>
    <row r="46" spans="2:17" ht="14.1" customHeight="1">
      <c r="B46" s="81"/>
      <c r="C46" s="313" t="str">
        <f>IF(Indice_index!$Z$1=1,"Entidades Públicas Reclassificadas","Reclassified Public Entities")</f>
        <v>Entidades Públicas Reclassificadas</v>
      </c>
      <c r="D46" s="302">
        <v>17.103868360000003</v>
      </c>
      <c r="E46" s="302">
        <v>14.530786600000001</v>
      </c>
      <c r="F46" s="302">
        <v>22.820231900000003</v>
      </c>
      <c r="G46" s="302">
        <v>16.598336139999997</v>
      </c>
      <c r="H46" s="302">
        <v>20.270144350000002</v>
      </c>
      <c r="I46" s="302">
        <v>13.733313710000001</v>
      </c>
      <c r="J46" s="302">
        <v>13.752013620000001</v>
      </c>
      <c r="K46" s="302">
        <v>13.467831</v>
      </c>
      <c r="L46" s="302">
        <v>13.504840649999998</v>
      </c>
      <c r="M46" s="302">
        <v>13.571582110000001</v>
      </c>
      <c r="N46" s="302">
        <v>13.622644090000001</v>
      </c>
      <c r="O46" s="302">
        <v>14.256467319999997</v>
      </c>
      <c r="P46" s="302">
        <v>8.2788472800000008</v>
      </c>
      <c r="Q46" s="302">
        <f t="shared" si="5"/>
        <v>-5.9776200399999961</v>
      </c>
    </row>
    <row r="47" spans="2:17" ht="14.1" customHeight="1">
      <c r="B47" s="81"/>
      <c r="C47" s="313" t="str">
        <f>IF(Indice_index!$Z$1=1,"Administração Local","Local Government")</f>
        <v>Administração Local</v>
      </c>
      <c r="D47" s="302">
        <v>43.528427720000003</v>
      </c>
      <c r="E47" s="302">
        <v>42.699257490000001</v>
      </c>
      <c r="F47" s="302">
        <v>45.527830860000009</v>
      </c>
      <c r="G47" s="302">
        <v>33.351280209999999</v>
      </c>
      <c r="H47" s="302">
        <v>34.768465940000006</v>
      </c>
      <c r="I47" s="302">
        <v>32.466074569999989</v>
      </c>
      <c r="J47" s="302">
        <v>36.956254300000005</v>
      </c>
      <c r="K47" s="302">
        <v>39.279573559999996</v>
      </c>
      <c r="L47" s="302">
        <v>37.377576950000019</v>
      </c>
      <c r="M47" s="302">
        <v>35.964675310000011</v>
      </c>
      <c r="N47" s="302">
        <v>34.106139719999994</v>
      </c>
      <c r="O47" s="302">
        <v>36.100382749999987</v>
      </c>
      <c r="P47" s="302">
        <v>34.366259460000002</v>
      </c>
      <c r="Q47" s="302">
        <f t="shared" si="5"/>
        <v>-1.7341232899999852</v>
      </c>
    </row>
    <row r="48" spans="2:17" ht="14.1" customHeight="1">
      <c r="B48" s="102"/>
      <c r="C48" s="313" t="str">
        <f>IF(Indice_index!$Z$1=1,"Administração Regional","Regional Government")</f>
        <v>Administração Regional</v>
      </c>
      <c r="D48" s="302">
        <v>170.79908652000006</v>
      </c>
      <c r="E48" s="302">
        <v>178.25746040000001</v>
      </c>
      <c r="F48" s="302">
        <v>189.08299209999993</v>
      </c>
      <c r="G48" s="302">
        <v>193.20144042000058</v>
      </c>
      <c r="H48" s="302">
        <v>172.09199528999997</v>
      </c>
      <c r="I48" s="302">
        <v>166.23286835000002</v>
      </c>
      <c r="J48" s="302">
        <v>176.30354654000001</v>
      </c>
      <c r="K48" s="302">
        <v>188.31952149</v>
      </c>
      <c r="L48" s="302">
        <v>198.92508843000007</v>
      </c>
      <c r="M48" s="302">
        <v>198.49015601999992</v>
      </c>
      <c r="N48" s="302">
        <v>188.32208142999986</v>
      </c>
      <c r="O48" s="302">
        <v>167.31897369000001</v>
      </c>
      <c r="P48" s="302">
        <v>175.30997659000002</v>
      </c>
      <c r="Q48" s="302">
        <f t="shared" si="5"/>
        <v>7.9910029000000122</v>
      </c>
    </row>
    <row r="49" spans="2:18" ht="14.1" customHeight="1">
      <c r="B49" s="81"/>
      <c r="C49" s="311" t="str">
        <f>IF(Indice_index!$Z$1=1,"Outras Entidades","Other Entities")</f>
        <v>Outras Entidades</v>
      </c>
      <c r="D49" s="312">
        <f t="shared" ref="D49:P49" si="6">SUM(D50)</f>
        <v>0.44664528999999997</v>
      </c>
      <c r="E49" s="312">
        <f t="shared" si="6"/>
        <v>0.44664528999999997</v>
      </c>
      <c r="F49" s="312">
        <f t="shared" si="6"/>
        <v>0.44664528999999997</v>
      </c>
      <c r="G49" s="312">
        <f t="shared" si="6"/>
        <v>0.44664528999999997</v>
      </c>
      <c r="H49" s="312">
        <f t="shared" si="6"/>
        <v>0.44664528999999997</v>
      </c>
      <c r="I49" s="312">
        <f t="shared" si="6"/>
        <v>0.44664528999999997</v>
      </c>
      <c r="J49" s="312">
        <f t="shared" si="6"/>
        <v>0.44664528999999997</v>
      </c>
      <c r="K49" s="312">
        <f t="shared" si="6"/>
        <v>0.44664528999999997</v>
      </c>
      <c r="L49" s="312">
        <f t="shared" si="6"/>
        <v>0.44664528999999997</v>
      </c>
      <c r="M49" s="312">
        <f t="shared" si="6"/>
        <v>0.44664528999999997</v>
      </c>
      <c r="N49" s="312">
        <f t="shared" si="6"/>
        <v>0.44664528999999997</v>
      </c>
      <c r="O49" s="312">
        <f t="shared" si="6"/>
        <v>0.44664528999999997</v>
      </c>
      <c r="P49" s="312">
        <f t="shared" si="6"/>
        <v>0.44664528999999997</v>
      </c>
      <c r="Q49" s="312">
        <f t="shared" si="5"/>
        <v>0</v>
      </c>
    </row>
    <row r="50" spans="2:18" ht="14.1" customHeight="1">
      <c r="B50" s="102"/>
      <c r="C50" s="313" t="str">
        <f>IF(Indice_index!$Z$1=1,"Empr. Públicas Não Reclassificadas","Non-reclassified Public Enterprises")</f>
        <v>Empr. Públicas Não Reclassificadas</v>
      </c>
      <c r="D50" s="302">
        <v>0.44664528999999997</v>
      </c>
      <c r="E50" s="302">
        <v>0.44664528999999997</v>
      </c>
      <c r="F50" s="302">
        <v>0.44664528999999997</v>
      </c>
      <c r="G50" s="302">
        <v>0.44664528999999997</v>
      </c>
      <c r="H50" s="302">
        <v>0.44664528999999997</v>
      </c>
      <c r="I50" s="302">
        <v>0.44664528999999997</v>
      </c>
      <c r="J50" s="302">
        <v>0.44664528999999997</v>
      </c>
      <c r="K50" s="302">
        <v>0.44664528999999997</v>
      </c>
      <c r="L50" s="302">
        <v>0.44664528999999997</v>
      </c>
      <c r="M50" s="302">
        <v>0.44664528999999997</v>
      </c>
      <c r="N50" s="302">
        <v>0.44664528999999997</v>
      </c>
      <c r="O50" s="302">
        <v>0.44664528999999997</v>
      </c>
      <c r="P50" s="302">
        <v>0.44664528999999997</v>
      </c>
      <c r="Q50" s="302">
        <f t="shared" si="5"/>
        <v>0</v>
      </c>
    </row>
    <row r="51" spans="2:18" ht="14.1" customHeight="1">
      <c r="B51" s="102"/>
      <c r="C51" s="209" t="str">
        <f>IF(Indice_index!$Z$1=1,"Total","Total")</f>
        <v>Total</v>
      </c>
      <c r="D51" s="29">
        <f t="shared" ref="D51:N51" si="7">D49+D42</f>
        <v>953.40645253000014</v>
      </c>
      <c r="E51" s="29">
        <f t="shared" si="7"/>
        <v>1143.86257402</v>
      </c>
      <c r="F51" s="29">
        <f t="shared" si="7"/>
        <v>1288.59866833</v>
      </c>
      <c r="G51" s="29">
        <f t="shared" si="7"/>
        <v>455.11454488000061</v>
      </c>
      <c r="H51" s="29">
        <f t="shared" si="7"/>
        <v>435.59390623000002</v>
      </c>
      <c r="I51" s="29">
        <f t="shared" si="7"/>
        <v>444.75079550000009</v>
      </c>
      <c r="J51" s="29">
        <f t="shared" si="7"/>
        <v>436.49490047000006</v>
      </c>
      <c r="K51" s="29">
        <f t="shared" si="7"/>
        <v>486.86667390000002</v>
      </c>
      <c r="L51" s="29">
        <f t="shared" si="7"/>
        <v>540.62679686000013</v>
      </c>
      <c r="M51" s="29">
        <f t="shared" si="7"/>
        <v>582.17120377999993</v>
      </c>
      <c r="N51" s="29">
        <f t="shared" si="7"/>
        <v>598.0774521699999</v>
      </c>
      <c r="O51" s="29">
        <f t="shared" ref="O51:P51" si="8">O49+O42</f>
        <v>631.2859416</v>
      </c>
      <c r="P51" s="29">
        <f t="shared" si="8"/>
        <v>626.69623348999994</v>
      </c>
      <c r="Q51" s="29">
        <f t="shared" si="5"/>
        <v>-4.5897081100000605</v>
      </c>
    </row>
    <row r="52" spans="2:18" ht="15">
      <c r="B52" s="81"/>
      <c r="C52" s="10" t="str">
        <f>IF(Indice_index!$Z$1=1,"Notas:","Notes:")</f>
        <v>Notas:</v>
      </c>
      <c r="D52" s="10"/>
      <c r="E52" s="10"/>
      <c r="F52" s="10"/>
      <c r="G52" s="10"/>
      <c r="H52" s="10"/>
      <c r="I52" s="10"/>
      <c r="J52" s="10"/>
      <c r="K52" s="10"/>
      <c r="L52" s="10"/>
      <c r="M52" s="10"/>
      <c r="N52" s="10"/>
      <c r="O52" s="10"/>
      <c r="P52" s="10"/>
      <c r="Q52" s="10"/>
    </row>
    <row r="53" spans="2:18" ht="15" customHeight="1">
      <c r="B53" s="81"/>
      <c r="C53" s="323"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3" s="324"/>
      <c r="E53" s="324"/>
      <c r="F53" s="324"/>
      <c r="G53" s="324"/>
      <c r="H53" s="324"/>
      <c r="I53" s="324"/>
      <c r="J53" s="324"/>
      <c r="K53" s="324"/>
      <c r="L53" s="324"/>
      <c r="M53" s="324"/>
      <c r="N53" s="324"/>
      <c r="O53" s="324"/>
      <c r="P53" s="324"/>
      <c r="Q53" s="324"/>
      <c r="R53" s="325"/>
    </row>
    <row r="54" spans="2:18" ht="36.75" customHeight="1">
      <c r="B54" s="81"/>
      <c r="C54" s="424" t="str">
        <f>IF(Indice_index!$Z$1=1,C94,C95)</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4" s="424"/>
      <c r="E54" s="424"/>
      <c r="F54" s="424"/>
      <c r="G54" s="424"/>
      <c r="H54" s="424"/>
      <c r="I54" s="424"/>
      <c r="J54" s="424"/>
      <c r="K54" s="424"/>
      <c r="L54" s="424"/>
      <c r="M54" s="424"/>
      <c r="N54" s="424"/>
      <c r="O54" s="424"/>
      <c r="P54" s="424"/>
      <c r="Q54" s="424"/>
      <c r="R54" s="325"/>
    </row>
    <row r="55" spans="2:18" ht="18" hidden="1" customHeight="1">
      <c r="B55" s="81"/>
      <c r="C55" s="420"/>
      <c r="D55" s="420"/>
      <c r="E55" s="420"/>
      <c r="F55" s="420"/>
      <c r="G55" s="420"/>
      <c r="H55" s="420"/>
      <c r="I55" s="420"/>
      <c r="J55" s="420"/>
      <c r="K55" s="420"/>
      <c r="L55" s="420"/>
      <c r="M55" s="420"/>
      <c r="N55" s="420"/>
      <c r="O55" s="420"/>
      <c r="P55" s="420"/>
      <c r="Q55" s="420"/>
      <c r="R55" s="325"/>
    </row>
    <row r="56" spans="2:18" ht="15" hidden="1" customHeight="1">
      <c r="B56" s="81"/>
      <c r="C56" s="420"/>
      <c r="D56" s="420"/>
      <c r="E56" s="420"/>
      <c r="F56" s="420"/>
      <c r="G56" s="420"/>
      <c r="H56" s="420"/>
      <c r="I56" s="420"/>
      <c r="J56" s="420"/>
      <c r="K56" s="420"/>
      <c r="L56" s="420"/>
      <c r="M56" s="420"/>
      <c r="N56" s="420"/>
      <c r="O56" s="420"/>
      <c r="P56" s="420"/>
      <c r="Q56" s="420"/>
      <c r="R56" s="420"/>
    </row>
    <row r="57" spans="2:18" s="249" customFormat="1" ht="24.75" customHeight="1">
      <c r="C57" s="422" t="str">
        <f>IF(Indice_index!$Z$1=1,C91,C92)</f>
        <v>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v>
      </c>
      <c r="D57" s="422"/>
      <c r="E57" s="422"/>
      <c r="F57" s="422"/>
      <c r="G57" s="422"/>
      <c r="H57" s="422"/>
      <c r="I57" s="422"/>
      <c r="J57" s="422"/>
      <c r="K57" s="422"/>
      <c r="L57" s="422"/>
      <c r="M57" s="422"/>
      <c r="N57" s="422"/>
      <c r="O57" s="422"/>
      <c r="P57" s="422"/>
      <c r="Q57" s="422"/>
      <c r="R57" s="326"/>
    </row>
    <row r="58" spans="2:18" ht="24.75" customHeight="1">
      <c r="B58" s="81"/>
      <c r="C58" s="418" t="str">
        <f>IF(Indice_index!$Z$1=1,C62,C63)</f>
        <v>Fontes: Compilado pela Direção-Geral do Orçamento,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8" s="418"/>
      <c r="E58" s="418"/>
      <c r="F58" s="418"/>
      <c r="G58" s="418"/>
      <c r="H58" s="418"/>
      <c r="I58" s="418"/>
      <c r="J58" s="418"/>
      <c r="K58" s="418"/>
      <c r="L58" s="418"/>
      <c r="M58" s="418"/>
      <c r="N58" s="418"/>
      <c r="O58" s="418"/>
      <c r="P58" s="418"/>
      <c r="Q58" s="418"/>
      <c r="R58" s="325"/>
    </row>
    <row r="59" spans="2:18" ht="15">
      <c r="B59" s="81"/>
      <c r="D59" s="203"/>
      <c r="E59" s="203"/>
      <c r="F59" s="203"/>
      <c r="G59" s="203"/>
      <c r="H59" s="203"/>
      <c r="I59" s="203"/>
      <c r="J59" s="203"/>
      <c r="K59" s="203"/>
      <c r="L59" s="203"/>
      <c r="M59" s="203"/>
      <c r="N59" s="203"/>
      <c r="O59" s="203"/>
      <c r="P59" s="203"/>
      <c r="Q59" s="203"/>
    </row>
    <row r="60" spans="2:18" ht="15" hidden="1">
      <c r="B60" s="61"/>
      <c r="C60" s="61"/>
      <c r="D60" s="61"/>
      <c r="E60" s="61"/>
      <c r="F60" s="61"/>
      <c r="G60" s="61"/>
      <c r="H60" s="61"/>
      <c r="I60" s="61"/>
      <c r="J60" s="61"/>
      <c r="K60" s="61"/>
      <c r="L60" s="61"/>
      <c r="M60" s="61"/>
      <c r="N60" s="61"/>
      <c r="O60" s="61"/>
      <c r="P60" s="61"/>
      <c r="Q60" s="61"/>
    </row>
    <row r="61" spans="2:18" ht="15" hidden="1">
      <c r="C61" s="61"/>
      <c r="D61" s="103"/>
      <c r="E61" s="103"/>
      <c r="F61" s="103"/>
      <c r="G61" s="103"/>
      <c r="H61" s="103"/>
      <c r="I61" s="103"/>
      <c r="J61" s="103"/>
      <c r="K61" s="103"/>
      <c r="L61" s="103"/>
      <c r="M61" s="103"/>
      <c r="N61" s="103"/>
      <c r="O61" s="103"/>
      <c r="P61" s="61"/>
      <c r="Q61" s="61"/>
    </row>
    <row r="62" spans="2:18" ht="15" hidden="1">
      <c r="C62" s="104" t="s">
        <v>14</v>
      </c>
      <c r="D62" s="105"/>
      <c r="E62" s="105"/>
      <c r="F62" s="105"/>
      <c r="G62" s="105"/>
      <c r="H62" s="105"/>
      <c r="I62" s="105"/>
      <c r="J62" s="105"/>
      <c r="K62" s="105"/>
      <c r="L62" s="105"/>
      <c r="M62" s="105"/>
    </row>
    <row r="63" spans="2:18" ht="14.85" hidden="1" customHeight="1">
      <c r="C63" s="104" t="s">
        <v>602</v>
      </c>
      <c r="D63" s="104"/>
      <c r="E63" s="104"/>
      <c r="F63" s="104"/>
      <c r="G63" s="104"/>
      <c r="H63" s="104"/>
      <c r="I63" s="104"/>
      <c r="J63" s="104"/>
      <c r="K63" s="104"/>
      <c r="L63" s="104"/>
      <c r="M63" s="104"/>
      <c r="N63" s="104"/>
      <c r="O63" s="104"/>
      <c r="P63" s="104"/>
      <c r="Q63" s="104"/>
    </row>
    <row r="91" spans="3:3" ht="15" hidden="1">
      <c r="C91" s="252" t="s">
        <v>526</v>
      </c>
    </row>
    <row r="92" spans="3:3" ht="14.85" hidden="1" customHeight="1">
      <c r="C92" s="252" t="s">
        <v>527</v>
      </c>
    </row>
    <row r="93" spans="3:3" ht="15" hidden="1">
      <c r="C93" s="251"/>
    </row>
    <row r="94" spans="3:3" ht="15" hidden="1">
      <c r="C94" s="252" t="s">
        <v>600</v>
      </c>
    </row>
    <row r="95" spans="3:3" ht="15" hidden="1">
      <c r="C95" s="252" t="s">
        <v>601</v>
      </c>
    </row>
  </sheetData>
  <mergeCells count="27">
    <mergeCell ref="B33:Q33"/>
    <mergeCell ref="B10:Q10"/>
    <mergeCell ref="B31:C31"/>
    <mergeCell ref="B11:C12"/>
    <mergeCell ref="Q11:Q12"/>
    <mergeCell ref="B13:B17"/>
    <mergeCell ref="B18:C18"/>
    <mergeCell ref="B19:B23"/>
    <mergeCell ref="B24:C24"/>
    <mergeCell ref="B30:C30"/>
    <mergeCell ref="B25:B29"/>
    <mergeCell ref="H11:P11"/>
    <mergeCell ref="D11:G11"/>
    <mergeCell ref="C58:Q58"/>
    <mergeCell ref="B34:Q34"/>
    <mergeCell ref="B35:Q35"/>
    <mergeCell ref="B37:Q37"/>
    <mergeCell ref="C39:Q39"/>
    <mergeCell ref="C55:Q55"/>
    <mergeCell ref="Q40:Q41"/>
    <mergeCell ref="C40:C41"/>
    <mergeCell ref="C57:Q57"/>
    <mergeCell ref="B36:Q36"/>
    <mergeCell ref="C54:Q54"/>
    <mergeCell ref="C56:R56"/>
    <mergeCell ref="D40:G40"/>
    <mergeCell ref="H40:P40"/>
  </mergeCells>
  <conditionalFormatting sqref="C25:Q29">
    <cfRule type="cellIs" dxfId="49" priority="1" operator="equal">
      <formula>0</formula>
    </cfRule>
  </conditionalFormatting>
  <conditionalFormatting sqref="D13:Q17">
    <cfRule type="cellIs" dxfId="48" priority="3" operator="equal">
      <formula>0</formula>
    </cfRule>
  </conditionalFormatting>
  <conditionalFormatting sqref="D19:Q23">
    <cfRule type="cellIs" dxfId="47" priority="2" operator="equal">
      <formula>0</formula>
    </cfRule>
  </conditionalFormatting>
  <conditionalFormatting sqref="D42:Q50">
    <cfRule type="cellIs" dxfId="46" priority="9" operator="equal">
      <formula>0</formula>
    </cfRule>
  </conditionalFormatting>
  <conditionalFormatting sqref="O42:P42">
    <cfRule type="cellIs" dxfId="45" priority="11" operator="equal">
      <formula>0</formula>
    </cfRule>
  </conditionalFormatting>
  <pageMargins left="0.70866141732283472" right="0.70866141732283472" top="0.74803149606299213" bottom="0.74803149606299213" header="0.31496062992125984" footer="0.31496062992125984"/>
  <pageSetup paperSize="9" scale="6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287"/>
  <sheetViews>
    <sheetView showGridLines="0" zoomScaleNormal="100" workbookViewId="0"/>
  </sheetViews>
  <sheetFormatPr defaultColWidth="0" defaultRowHeight="14.85" customHeight="1" zeroHeight="1"/>
  <cols>
    <col min="1" max="1" width="8.5703125" style="101" customWidth="1"/>
    <col min="2" max="2" width="2.5703125" style="69" customWidth="1"/>
    <col min="3" max="3" width="9.5703125" style="69" customWidth="1"/>
    <col min="4" max="7" width="10.5703125" style="69" customWidth="1"/>
    <col min="8" max="8" width="11" style="69" customWidth="1"/>
    <col min="9" max="9" width="12.5703125" style="69" customWidth="1"/>
    <col min="10" max="15" width="10.5703125" style="69" customWidth="1"/>
    <col min="16" max="16" width="8.5703125" style="69" customWidth="1"/>
    <col min="17" max="16384" width="9.42578125" hidden="1"/>
  </cols>
  <sheetData>
    <row r="1" spans="1:16" ht="14.85" customHeight="1"/>
    <row r="2" spans="1:16" ht="15"/>
    <row r="3" spans="1:16" ht="15"/>
    <row r="4" spans="1:16" ht="15"/>
    <row r="5" spans="1:16" ht="15"/>
    <row r="6" spans="1:16" ht="15"/>
    <row r="7" spans="1:16" ht="50.1" customHeight="1">
      <c r="A7" s="12"/>
      <c r="B7" s="13"/>
      <c r="C7" s="14"/>
      <c r="D7" s="12"/>
      <c r="E7" s="12"/>
      <c r="F7" s="12"/>
      <c r="G7" s="12"/>
      <c r="H7" s="12"/>
      <c r="I7" s="12"/>
      <c r="J7" s="12"/>
      <c r="K7" s="12"/>
      <c r="L7" s="11"/>
      <c r="M7" s="11"/>
      <c r="N7" s="11"/>
      <c r="O7" s="11"/>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106"/>
      <c r="C9" s="106"/>
      <c r="D9" s="106"/>
      <c r="E9" s="106"/>
      <c r="F9" s="106"/>
      <c r="G9" s="106"/>
      <c r="H9" s="106"/>
      <c r="I9" s="106"/>
      <c r="J9" s="106"/>
      <c r="K9" s="106"/>
      <c r="L9" s="106"/>
      <c r="M9" s="106"/>
      <c r="N9" s="106"/>
      <c r="O9" s="106"/>
      <c r="P9" s="106"/>
    </row>
    <row r="10" spans="1:16" ht="16.350000000000001" customHeight="1">
      <c r="A10" s="86"/>
      <c r="B10" s="398"/>
      <c r="C10" s="425"/>
      <c r="D10" s="357" t="str">
        <f>IF(Indice_index!$Z$1=1,"Pensionistas","Pensioners")</f>
        <v>Pensionistas</v>
      </c>
      <c r="E10" s="358"/>
      <c r="F10" s="358"/>
      <c r="G10" s="358"/>
      <c r="H10" s="359"/>
      <c r="I10" s="221" t="str">
        <f>IF(Indice_index!$Z$1=1,"Subscritores","Subscribers")</f>
        <v>Subscritores</v>
      </c>
      <c r="J10" s="3"/>
      <c r="K10" s="3"/>
      <c r="L10" s="3"/>
      <c r="M10" s="3"/>
      <c r="N10" s="3"/>
      <c r="O10" s="3"/>
      <c r="P10" s="3"/>
    </row>
    <row r="11" spans="1:16" ht="16.350000000000001" customHeight="1">
      <c r="A11" s="86"/>
      <c r="B11" s="347"/>
      <c r="C11" s="348"/>
      <c r="D11" s="434" t="s">
        <v>604</v>
      </c>
      <c r="E11" s="374"/>
      <c r="F11" s="374"/>
      <c r="G11" s="435"/>
      <c r="H11" s="428" t="str">
        <f>IF(Indice_index!$Z$1=1,"Valor médio pago por pensionista (€)","Average Value paid per Pensioner (€)")</f>
        <v>Valor médio pago por pensionista (€)</v>
      </c>
      <c r="I11" s="377" t="str">
        <f>IF(Indice_index!$Z$1=1,"Número","Number")</f>
        <v>Número</v>
      </c>
      <c r="J11" s="3"/>
      <c r="K11" s="3"/>
      <c r="L11" s="3"/>
      <c r="M11" s="3"/>
      <c r="N11" s="3"/>
      <c r="O11" s="3"/>
      <c r="P11" s="3"/>
    </row>
    <row r="12" spans="1:16" ht="36" customHeight="1">
      <c r="A12" s="86"/>
      <c r="B12" s="347"/>
      <c r="C12" s="348"/>
      <c r="D12" s="24" t="str">
        <f>IF(Indice_index!$Z$1=1,"Velhice e Outros Motivos","Old age and other Reasons")</f>
        <v>Velhice e Outros Motivos</v>
      </c>
      <c r="E12" s="24" t="str">
        <f>IF(Indice_index!$Z$1=1,"Invalidez","Disability")</f>
        <v>Invalidez</v>
      </c>
      <c r="F12" s="24" t="str">
        <f>IF(Indice_index!$Z$1=1,"Sobrevivência e Outros","Survival and Others")</f>
        <v>Sobrevivência e Outros</v>
      </c>
      <c r="G12" s="24" t="str">
        <f>IF(Indice_index!$Z$1=1,"Total de Pensionistas","Total of Pensioners")</f>
        <v>Total de Pensionistas</v>
      </c>
      <c r="H12" s="359"/>
      <c r="I12" s="376"/>
      <c r="P12" s="107"/>
    </row>
    <row r="13" spans="1:16" ht="14.1" customHeight="1">
      <c r="A13" s="89"/>
      <c r="B13" s="360">
        <v>2020</v>
      </c>
      <c r="C13" s="360"/>
      <c r="D13" s="234"/>
      <c r="E13" s="257"/>
      <c r="F13" s="257"/>
      <c r="G13" s="257"/>
      <c r="H13" s="257"/>
      <c r="I13" s="257"/>
      <c r="K13" s="108"/>
      <c r="L13" s="108"/>
      <c r="M13" s="108"/>
      <c r="N13" s="108"/>
      <c r="O13" s="108"/>
      <c r="P13" s="108"/>
    </row>
    <row r="14" spans="1:16" ht="14.1" customHeight="1">
      <c r="A14" s="89"/>
      <c r="B14" s="258"/>
      <c r="C14" s="259" t="str">
        <f>IF(Indice_index!$Z$1=1,"janeiro","January")</f>
        <v>janeiro</v>
      </c>
      <c r="D14" s="260">
        <v>410101</v>
      </c>
      <c r="E14" s="260">
        <v>71061</v>
      </c>
      <c r="F14" s="260">
        <v>165420</v>
      </c>
      <c r="G14" s="260">
        <v>646582</v>
      </c>
      <c r="H14" s="260">
        <v>1146.5</v>
      </c>
      <c r="I14" s="260">
        <v>429965</v>
      </c>
      <c r="K14" s="108"/>
      <c r="L14" s="108"/>
      <c r="M14" s="108"/>
      <c r="N14" s="108"/>
      <c r="O14" s="108"/>
      <c r="P14" s="108"/>
    </row>
    <row r="15" spans="1:16" ht="14.1" customHeight="1">
      <c r="A15" s="89"/>
      <c r="B15" s="258"/>
      <c r="C15" s="259" t="str">
        <f>IF(Indice_index!$Z$1=1,"fevereiro","February")</f>
        <v>fevereiro</v>
      </c>
      <c r="D15" s="260">
        <v>410094</v>
      </c>
      <c r="E15" s="260">
        <v>70877</v>
      </c>
      <c r="F15" s="260">
        <v>165251</v>
      </c>
      <c r="G15" s="260">
        <v>646222</v>
      </c>
      <c r="H15" s="260">
        <v>1125.4000000000001</v>
      </c>
      <c r="I15" s="260">
        <v>428711</v>
      </c>
      <c r="K15" s="108"/>
      <c r="L15" s="108"/>
      <c r="M15" s="108"/>
      <c r="N15" s="108"/>
      <c r="O15" s="108"/>
      <c r="P15" s="108"/>
    </row>
    <row r="16" spans="1:16" ht="14.1" customHeight="1">
      <c r="A16" s="89"/>
      <c r="B16" s="258"/>
      <c r="C16" s="259" t="str">
        <f>IF(Indice_index!$Z$1=1,"março","March")</f>
        <v>março</v>
      </c>
      <c r="D16" s="260">
        <v>410087</v>
      </c>
      <c r="E16" s="260">
        <v>70899</v>
      </c>
      <c r="F16" s="260">
        <v>165182</v>
      </c>
      <c r="G16" s="260">
        <v>646168</v>
      </c>
      <c r="H16" s="260">
        <v>1121.3</v>
      </c>
      <c r="I16" s="260">
        <v>427630</v>
      </c>
      <c r="K16" s="108"/>
      <c r="L16" s="108"/>
      <c r="M16" s="108"/>
      <c r="N16" s="108"/>
      <c r="O16" s="108"/>
      <c r="P16" s="108"/>
    </row>
    <row r="17" spans="1:16" ht="14.1" customHeight="1">
      <c r="A17" s="89"/>
      <c r="B17" s="258"/>
      <c r="C17" s="259" t="str">
        <f>IF(Indice_index!$Z$1=1,"abril","April")</f>
        <v>abril</v>
      </c>
      <c r="D17" s="260">
        <v>410375</v>
      </c>
      <c r="E17" s="260">
        <v>70760</v>
      </c>
      <c r="F17" s="260">
        <v>165317</v>
      </c>
      <c r="G17" s="260">
        <v>646452</v>
      </c>
      <c r="H17" s="260">
        <v>1121.3</v>
      </c>
      <c r="I17" s="260">
        <v>426527</v>
      </c>
      <c r="K17" s="108"/>
      <c r="L17" s="108"/>
      <c r="M17" s="108"/>
      <c r="N17" s="108"/>
      <c r="O17" s="108"/>
      <c r="P17" s="108"/>
    </row>
    <row r="18" spans="1:16" ht="14.1" customHeight="1">
      <c r="B18" s="258"/>
      <c r="C18" s="259" t="str">
        <f>IF(Indice_index!$Z$1=1,"maio","May")</f>
        <v>maio</v>
      </c>
      <c r="D18" s="260">
        <v>410802</v>
      </c>
      <c r="E18" s="260">
        <v>70571</v>
      </c>
      <c r="F18" s="260">
        <v>165247</v>
      </c>
      <c r="G18" s="260">
        <v>646620</v>
      </c>
      <c r="H18" s="260">
        <v>1119.5999999999999</v>
      </c>
      <c r="I18" s="260">
        <v>425361</v>
      </c>
      <c r="K18" s="108"/>
      <c r="L18" s="108"/>
      <c r="M18" s="108"/>
      <c r="N18" s="108"/>
      <c r="O18" s="108"/>
    </row>
    <row r="19" spans="1:16" ht="14.1" customHeight="1">
      <c r="B19" s="258"/>
      <c r="C19" s="259" t="str">
        <f>IF(Indice_index!$Z$1=1,"junho","June")</f>
        <v>junho</v>
      </c>
      <c r="D19" s="260">
        <v>411240</v>
      </c>
      <c r="E19" s="260">
        <v>70372</v>
      </c>
      <c r="F19" s="260">
        <v>165253</v>
      </c>
      <c r="G19" s="260">
        <v>646865</v>
      </c>
      <c r="H19" s="260">
        <v>1119.5999999999999</v>
      </c>
      <c r="I19" s="260">
        <v>424164</v>
      </c>
      <c r="K19" s="108"/>
      <c r="L19" s="108"/>
      <c r="M19" s="108"/>
      <c r="N19" s="108"/>
      <c r="O19" s="108"/>
    </row>
    <row r="20" spans="1:16" ht="14.1" customHeight="1">
      <c r="B20" s="258"/>
      <c r="C20" s="259" t="str">
        <f>IF(Indice_index!$Z$1=1,"julho","July")</f>
        <v>julho</v>
      </c>
      <c r="D20" s="260">
        <v>411780</v>
      </c>
      <c r="E20" s="260">
        <v>70237</v>
      </c>
      <c r="F20" s="260">
        <v>165534</v>
      </c>
      <c r="G20" s="260">
        <v>647551</v>
      </c>
      <c r="H20" s="260">
        <v>2184.8000000000002</v>
      </c>
      <c r="I20" s="260">
        <v>422899</v>
      </c>
      <c r="K20" s="108"/>
      <c r="L20" s="108"/>
      <c r="M20" s="108"/>
      <c r="N20" s="108"/>
      <c r="O20" s="108"/>
    </row>
    <row r="21" spans="1:16" ht="14.1" customHeight="1">
      <c r="B21" s="258"/>
      <c r="C21" s="259" t="str">
        <f>IF(Indice_index!$Z$1=1,"agosto","August")</f>
        <v>agosto</v>
      </c>
      <c r="D21" s="260">
        <v>412314</v>
      </c>
      <c r="E21" s="260">
        <v>70041</v>
      </c>
      <c r="F21" s="260">
        <v>165867</v>
      </c>
      <c r="G21" s="260">
        <v>648222</v>
      </c>
      <c r="H21" s="260">
        <v>1124.2</v>
      </c>
      <c r="I21" s="260">
        <v>421587</v>
      </c>
      <c r="K21" s="109"/>
      <c r="L21" s="109"/>
      <c r="M21" s="109"/>
      <c r="N21" s="109"/>
      <c r="O21" s="109"/>
    </row>
    <row r="22" spans="1:16" ht="14.1" customHeight="1">
      <c r="B22" s="258"/>
      <c r="C22" s="259" t="str">
        <f>IF(Indice_index!$Z$1=1,"setembro","September")</f>
        <v>setembro</v>
      </c>
      <c r="D22" s="260">
        <v>412631</v>
      </c>
      <c r="E22" s="260">
        <v>69806</v>
      </c>
      <c r="F22" s="260">
        <v>165824</v>
      </c>
      <c r="G22" s="260">
        <v>648261</v>
      </c>
      <c r="H22" s="260">
        <v>1124.9000000000001</v>
      </c>
      <c r="I22" s="260">
        <v>419894</v>
      </c>
      <c r="K22" s="109"/>
      <c r="L22" s="109"/>
      <c r="M22" s="109"/>
      <c r="N22" s="109"/>
      <c r="O22" s="109"/>
    </row>
    <row r="23" spans="1:16" ht="14.1" customHeight="1">
      <c r="B23" s="258"/>
      <c r="C23" s="259" t="str">
        <f>IF(Indice_index!$Z$1=1,"outubro","October")</f>
        <v>outubro</v>
      </c>
      <c r="D23" s="260">
        <v>412895</v>
      </c>
      <c r="E23" s="260">
        <v>69624</v>
      </c>
      <c r="F23" s="260">
        <v>165869</v>
      </c>
      <c r="G23" s="260">
        <v>648388</v>
      </c>
      <c r="H23" s="260">
        <v>1119.8</v>
      </c>
      <c r="I23" s="260">
        <v>418736</v>
      </c>
      <c r="K23" s="109"/>
      <c r="L23" s="109"/>
      <c r="M23" s="109"/>
      <c r="N23" s="109"/>
      <c r="O23" s="109"/>
    </row>
    <row r="24" spans="1:16" ht="14.1" customHeight="1">
      <c r="B24" s="258"/>
      <c r="C24" s="259" t="str">
        <f>IF(Indice_index!$Z$1=1,"novembro","November")</f>
        <v>novembro</v>
      </c>
      <c r="D24" s="260">
        <v>413065</v>
      </c>
      <c r="E24" s="260">
        <v>69489</v>
      </c>
      <c r="F24" s="260">
        <v>166049</v>
      </c>
      <c r="G24" s="260">
        <v>648603</v>
      </c>
      <c r="H24" s="260">
        <v>2220.1999999999998</v>
      </c>
      <c r="I24" s="260">
        <v>418012</v>
      </c>
      <c r="K24" s="109"/>
      <c r="L24" s="109"/>
      <c r="M24" s="109"/>
      <c r="N24" s="109"/>
      <c r="O24" s="109"/>
    </row>
    <row r="25" spans="1:16" ht="14.1" customHeight="1">
      <c r="B25" s="261"/>
      <c r="C25" s="259" t="str">
        <f>IF(Indice_index!$Z$1=1,"dezembro","December")</f>
        <v>dezembro</v>
      </c>
      <c r="D25" s="260">
        <v>413108</v>
      </c>
      <c r="E25" s="260">
        <v>69321</v>
      </c>
      <c r="F25" s="260">
        <v>166218</v>
      </c>
      <c r="G25" s="260">
        <v>648647</v>
      </c>
      <c r="H25" s="260">
        <v>1140.3</v>
      </c>
      <c r="I25" s="260">
        <v>416874</v>
      </c>
      <c r="K25" s="109"/>
      <c r="L25" s="109"/>
      <c r="M25" s="109"/>
      <c r="N25" s="109"/>
      <c r="O25" s="109"/>
    </row>
    <row r="26" spans="1:16" ht="14.1" customHeight="1">
      <c r="B26" s="360" t="s">
        <v>15</v>
      </c>
      <c r="C26" s="360"/>
      <c r="D26" s="234"/>
      <c r="E26" s="257"/>
      <c r="F26" s="257"/>
      <c r="G26" s="257"/>
      <c r="I26" s="257"/>
      <c r="K26" s="108"/>
      <c r="L26" s="108"/>
      <c r="M26" s="108"/>
      <c r="N26" s="108"/>
      <c r="O26" s="108"/>
    </row>
    <row r="27" spans="1:16" ht="14.1" customHeight="1">
      <c r="B27" s="258"/>
      <c r="C27" s="259" t="str">
        <f>IF(Indice_index!$Z$1=1,"janeiro","January")</f>
        <v>janeiro</v>
      </c>
      <c r="D27" s="260">
        <v>413072</v>
      </c>
      <c r="E27" s="260">
        <v>69149</v>
      </c>
      <c r="F27" s="260">
        <v>166134</v>
      </c>
      <c r="G27" s="260">
        <v>648355</v>
      </c>
      <c r="H27" s="260">
        <v>1156.8</v>
      </c>
      <c r="I27" s="260">
        <v>415779</v>
      </c>
      <c r="K27" s="108"/>
      <c r="L27" s="108"/>
      <c r="M27" s="108"/>
      <c r="N27" s="108"/>
      <c r="O27" s="108"/>
    </row>
    <row r="28" spans="1:16" ht="14.1" customHeight="1">
      <c r="B28" s="258"/>
      <c r="C28" s="259" t="str">
        <f>IF(Indice_index!$Z$1=1,"fevereiro","February")</f>
        <v>fevereiro</v>
      </c>
      <c r="D28" s="260">
        <v>412612</v>
      </c>
      <c r="E28" s="260">
        <v>68915</v>
      </c>
      <c r="F28" s="260">
        <v>165958</v>
      </c>
      <c r="G28" s="260">
        <v>647485</v>
      </c>
      <c r="H28" s="260">
        <v>1128.3</v>
      </c>
      <c r="I28" s="260">
        <v>414791</v>
      </c>
      <c r="K28" s="108"/>
      <c r="L28" s="108"/>
      <c r="M28" s="108"/>
      <c r="N28" s="108"/>
      <c r="O28" s="108"/>
    </row>
    <row r="29" spans="1:16" ht="14.1" customHeight="1">
      <c r="B29" s="258"/>
      <c r="C29" s="259" t="str">
        <f>IF(Indice_index!$Z$1=1,"março","March")</f>
        <v>março</v>
      </c>
      <c r="D29" s="260">
        <v>411718</v>
      </c>
      <c r="E29" s="260">
        <v>68662</v>
      </c>
      <c r="F29" s="260">
        <v>165536</v>
      </c>
      <c r="G29" s="260">
        <v>645916</v>
      </c>
      <c r="H29" s="260">
        <v>1128.8</v>
      </c>
      <c r="I29" s="260">
        <v>413590</v>
      </c>
      <c r="K29" s="108"/>
      <c r="L29" s="108"/>
      <c r="M29" s="108"/>
      <c r="N29" s="108"/>
      <c r="O29" s="108"/>
    </row>
    <row r="30" spans="1:16" ht="14.1" customHeight="1">
      <c r="B30" s="258"/>
      <c r="C30" s="259" t="str">
        <f>IF(Indice_index!$Z$1=1,"abril","April")</f>
        <v>abril</v>
      </c>
      <c r="D30" s="260">
        <v>411435</v>
      </c>
      <c r="E30" s="260">
        <v>68332</v>
      </c>
      <c r="F30" s="260">
        <v>165633</v>
      </c>
      <c r="G30" s="260">
        <v>645400</v>
      </c>
      <c r="H30" s="260">
        <v>1133.4000000000001</v>
      </c>
      <c r="I30" s="260">
        <v>412461</v>
      </c>
      <c r="K30" s="108"/>
      <c r="L30" s="108"/>
      <c r="M30" s="108"/>
      <c r="N30" s="108"/>
      <c r="O30" s="108"/>
    </row>
    <row r="31" spans="1:16" ht="14.1" customHeight="1">
      <c r="B31" s="258"/>
      <c r="C31" s="259" t="str">
        <f>IF(Indice_index!$Z$1=1,"maio","May")</f>
        <v>maio</v>
      </c>
      <c r="D31" s="260">
        <v>411709</v>
      </c>
      <c r="E31" s="260">
        <v>68218</v>
      </c>
      <c r="F31" s="260">
        <v>165542</v>
      </c>
      <c r="G31" s="260">
        <v>645469</v>
      </c>
      <c r="H31" s="260">
        <v>1132.5</v>
      </c>
      <c r="I31" s="260">
        <v>411324</v>
      </c>
      <c r="K31" s="108"/>
      <c r="L31" s="108"/>
      <c r="M31" s="108"/>
      <c r="N31" s="108"/>
      <c r="O31" s="108"/>
    </row>
    <row r="32" spans="1:16" ht="14.1" customHeight="1">
      <c r="B32" s="258"/>
      <c r="C32" s="259" t="str">
        <f>IF(Indice_index!$Z$1=1,"junho","June")</f>
        <v>junho</v>
      </c>
      <c r="D32" s="260">
        <v>412113</v>
      </c>
      <c r="E32" s="260">
        <v>68103</v>
      </c>
      <c r="F32" s="260">
        <v>164864</v>
      </c>
      <c r="G32" s="260">
        <v>645080</v>
      </c>
      <c r="H32" s="260">
        <v>1132.2</v>
      </c>
      <c r="I32" s="260">
        <v>410051</v>
      </c>
      <c r="K32" s="108"/>
      <c r="L32" s="108"/>
      <c r="M32" s="108"/>
      <c r="N32" s="108"/>
      <c r="O32" s="108"/>
    </row>
    <row r="33" spans="2:15" ht="14.1" customHeight="1">
      <c r="B33" s="258"/>
      <c r="C33" s="259" t="str">
        <f>IF(Indice_index!$Z$1=1,"julho","July")</f>
        <v>julho</v>
      </c>
      <c r="D33" s="260">
        <v>412768</v>
      </c>
      <c r="E33" s="260">
        <v>67998</v>
      </c>
      <c r="F33" s="260">
        <v>165065</v>
      </c>
      <c r="G33" s="260">
        <v>645831</v>
      </c>
      <c r="H33" s="260">
        <v>2207.4</v>
      </c>
      <c r="I33" s="260">
        <v>408523</v>
      </c>
      <c r="K33" s="108"/>
      <c r="L33" s="108"/>
      <c r="M33" s="108"/>
      <c r="N33" s="108"/>
      <c r="O33" s="108"/>
    </row>
    <row r="34" spans="2:15" ht="14.1" customHeight="1">
      <c r="B34" s="258"/>
      <c r="C34" s="259" t="str">
        <f>IF(Indice_index!$Z$1=1,"agosto","August")</f>
        <v>agosto</v>
      </c>
      <c r="D34" s="260">
        <v>413403</v>
      </c>
      <c r="E34" s="260">
        <v>67917</v>
      </c>
      <c r="F34" s="260">
        <v>165331</v>
      </c>
      <c r="G34" s="260">
        <v>646651</v>
      </c>
      <c r="H34" s="260">
        <v>1135.3</v>
      </c>
      <c r="I34" s="260">
        <v>407205</v>
      </c>
      <c r="K34" s="109"/>
      <c r="L34" s="109"/>
      <c r="M34" s="109"/>
      <c r="N34" s="109"/>
      <c r="O34" s="109"/>
    </row>
    <row r="35" spans="2:15" ht="14.1" customHeight="1">
      <c r="B35" s="258"/>
      <c r="C35" s="259" t="str">
        <f>IF(Indice_index!$Z$1=1,"setembro","September")</f>
        <v>setembro</v>
      </c>
      <c r="D35" s="260">
        <v>413684</v>
      </c>
      <c r="E35" s="260">
        <v>67794</v>
      </c>
      <c r="F35" s="260">
        <v>165391</v>
      </c>
      <c r="G35" s="260">
        <v>646869</v>
      </c>
      <c r="H35" s="260">
        <v>1132.3</v>
      </c>
      <c r="I35" s="260">
        <v>405793</v>
      </c>
      <c r="K35" s="109"/>
      <c r="L35" s="109"/>
      <c r="M35" s="109"/>
      <c r="N35" s="109"/>
      <c r="O35" s="109"/>
    </row>
    <row r="36" spans="2:15" ht="14.1" customHeight="1">
      <c r="B36" s="258"/>
      <c r="C36" s="259" t="str">
        <f>IF(Indice_index!$Z$1=1,"outubro","October")</f>
        <v>outubro</v>
      </c>
      <c r="D36" s="260">
        <v>413984</v>
      </c>
      <c r="E36" s="260">
        <v>67651</v>
      </c>
      <c r="F36" s="260">
        <v>165294</v>
      </c>
      <c r="G36" s="260">
        <v>646929</v>
      </c>
      <c r="H36" s="260">
        <v>1133.2</v>
      </c>
      <c r="I36" s="260">
        <v>404860</v>
      </c>
      <c r="K36" s="109"/>
      <c r="L36" s="109"/>
      <c r="M36" s="109"/>
      <c r="N36" s="109"/>
      <c r="O36" s="109"/>
    </row>
    <row r="37" spans="2:15" ht="14.1" customHeight="1">
      <c r="B37" s="258"/>
      <c r="C37" s="259" t="str">
        <f>IF(Indice_index!$Z$1=1,"novembro","November")</f>
        <v>novembro</v>
      </c>
      <c r="D37" s="260">
        <v>414230</v>
      </c>
      <c r="E37" s="260">
        <v>67525</v>
      </c>
      <c r="F37" s="260">
        <v>165434</v>
      </c>
      <c r="G37" s="260">
        <v>647189</v>
      </c>
      <c r="H37" s="260">
        <v>2243</v>
      </c>
      <c r="I37" s="260">
        <v>403538</v>
      </c>
      <c r="K37" s="109"/>
      <c r="L37" s="109"/>
      <c r="M37" s="109"/>
      <c r="N37" s="109"/>
      <c r="O37" s="109"/>
    </row>
    <row r="38" spans="2:15" ht="14.1" customHeight="1">
      <c r="B38" s="261"/>
      <c r="C38" s="259" t="str">
        <f>IF(Indice_index!$Z$1=1,"dezembro","December")</f>
        <v>dezembro</v>
      </c>
      <c r="D38" s="260">
        <v>414572</v>
      </c>
      <c r="E38" s="260">
        <v>67370</v>
      </c>
      <c r="F38" s="260">
        <v>165541</v>
      </c>
      <c r="G38" s="260">
        <v>647483</v>
      </c>
      <c r="H38" s="260">
        <v>1151.7</v>
      </c>
      <c r="I38" s="260">
        <v>402099</v>
      </c>
      <c r="K38" s="109"/>
      <c r="L38" s="109"/>
      <c r="M38" s="109"/>
      <c r="N38" s="109"/>
      <c r="O38" s="109"/>
    </row>
    <row r="39" spans="2:15" ht="14.1" customHeight="1">
      <c r="B39" s="360" t="s">
        <v>16</v>
      </c>
      <c r="C39" s="360"/>
      <c r="D39" s="234"/>
      <c r="E39" s="257"/>
      <c r="F39" s="257"/>
      <c r="G39" s="257"/>
      <c r="I39" s="257"/>
      <c r="K39" s="108"/>
      <c r="L39" s="108"/>
      <c r="M39" s="108"/>
      <c r="N39" s="108"/>
      <c r="O39" s="108"/>
    </row>
    <row r="40" spans="2:15" ht="14.1" customHeight="1">
      <c r="B40" s="258"/>
      <c r="C40" s="259" t="str">
        <f>IF(Indice_index!$Z$1=1,"janeiro","January")</f>
        <v>janeiro</v>
      </c>
      <c r="D40" s="260">
        <v>414962</v>
      </c>
      <c r="E40" s="260">
        <v>67188</v>
      </c>
      <c r="F40" s="260">
        <v>165355</v>
      </c>
      <c r="G40" s="260">
        <v>647505</v>
      </c>
      <c r="H40" s="260">
        <v>1175.9000000000001</v>
      </c>
      <c r="I40" s="260">
        <v>400756</v>
      </c>
      <c r="K40" s="108"/>
      <c r="L40" s="108"/>
      <c r="M40" s="108"/>
      <c r="N40" s="108"/>
      <c r="O40" s="108"/>
    </row>
    <row r="41" spans="2:15" ht="14.1" customHeight="1">
      <c r="B41" s="258"/>
      <c r="C41" s="259" t="str">
        <f>IF(Indice_index!$Z$1=1,"fevereiro","February")</f>
        <v>fevereiro</v>
      </c>
      <c r="D41" s="260">
        <v>415095</v>
      </c>
      <c r="E41" s="260">
        <v>66947</v>
      </c>
      <c r="F41" s="260">
        <v>165213</v>
      </c>
      <c r="G41" s="260">
        <v>647255</v>
      </c>
      <c r="H41" s="260">
        <v>1146.3</v>
      </c>
      <c r="I41" s="260">
        <v>399744</v>
      </c>
      <c r="K41" s="108"/>
      <c r="L41" s="108"/>
      <c r="M41" s="108"/>
      <c r="N41" s="108"/>
      <c r="O41" s="108"/>
    </row>
    <row r="42" spans="2:15" ht="14.1" customHeight="1">
      <c r="B42" s="258"/>
      <c r="C42" s="259" t="str">
        <f>IF(Indice_index!$Z$1=1,"março","March")</f>
        <v>março</v>
      </c>
      <c r="D42" s="260">
        <v>415095</v>
      </c>
      <c r="E42" s="260">
        <v>66747</v>
      </c>
      <c r="F42" s="260">
        <v>165126</v>
      </c>
      <c r="G42" s="260">
        <v>646968</v>
      </c>
      <c r="H42" s="260">
        <v>1147.5999999999999</v>
      </c>
      <c r="I42" s="260">
        <v>398493</v>
      </c>
      <c r="K42" s="108"/>
      <c r="L42" s="108"/>
      <c r="M42" s="108"/>
      <c r="N42" s="108"/>
      <c r="O42" s="108"/>
    </row>
    <row r="43" spans="2:15" ht="14.1" customHeight="1">
      <c r="B43" s="258"/>
      <c r="C43" s="259" t="str">
        <f>IF(Indice_index!$Z$1=1,"abril","April")</f>
        <v>abril</v>
      </c>
      <c r="D43" s="260">
        <v>415264</v>
      </c>
      <c r="E43" s="260">
        <v>66550</v>
      </c>
      <c r="F43" s="260">
        <v>165266</v>
      </c>
      <c r="G43" s="260">
        <v>647080</v>
      </c>
      <c r="H43" s="260">
        <v>1150.2</v>
      </c>
      <c r="I43" s="260">
        <v>396892</v>
      </c>
      <c r="K43" s="108"/>
      <c r="L43" s="108"/>
      <c r="M43" s="108"/>
      <c r="N43" s="108"/>
      <c r="O43" s="108"/>
    </row>
    <row r="44" spans="2:15" ht="14.1" customHeight="1">
      <c r="B44" s="258"/>
      <c r="C44" s="259" t="str">
        <f>IF(Indice_index!$Z$1=1,"maio","May")</f>
        <v>maio</v>
      </c>
      <c r="D44" s="260">
        <v>415728</v>
      </c>
      <c r="E44" s="260">
        <v>66359</v>
      </c>
      <c r="F44" s="260">
        <v>164872</v>
      </c>
      <c r="G44" s="260">
        <v>646959</v>
      </c>
      <c r="H44" s="260">
        <v>1139.9000000000001</v>
      </c>
      <c r="I44" s="260">
        <v>395505</v>
      </c>
      <c r="K44" s="108"/>
      <c r="L44" s="108"/>
      <c r="M44" s="108"/>
      <c r="N44" s="108"/>
      <c r="O44" s="108"/>
    </row>
    <row r="45" spans="2:15" ht="14.1" customHeight="1">
      <c r="B45" s="258"/>
      <c r="C45" s="259" t="str">
        <f>IF(Indice_index!$Z$1=1,"junho","June")</f>
        <v>junho</v>
      </c>
      <c r="D45" s="260">
        <v>416271</v>
      </c>
      <c r="E45" s="260">
        <v>66188</v>
      </c>
      <c r="F45" s="260">
        <v>164928</v>
      </c>
      <c r="G45" s="260">
        <v>647387</v>
      </c>
      <c r="H45" s="260">
        <v>1150.7</v>
      </c>
      <c r="I45" s="260">
        <v>394221</v>
      </c>
      <c r="K45" s="108"/>
      <c r="L45" s="108"/>
      <c r="M45" s="108"/>
      <c r="N45" s="108"/>
      <c r="O45" s="108"/>
    </row>
    <row r="46" spans="2:15" ht="14.1" customHeight="1">
      <c r="B46" s="258"/>
      <c r="C46" s="259" t="str">
        <f>IF(Indice_index!$Z$1=1,"julho","July")</f>
        <v>julho</v>
      </c>
      <c r="D46" s="260">
        <v>416361</v>
      </c>
      <c r="E46" s="260">
        <v>65989</v>
      </c>
      <c r="F46" s="260">
        <v>164878</v>
      </c>
      <c r="G46" s="260">
        <v>647228</v>
      </c>
      <c r="H46" s="260">
        <v>2251</v>
      </c>
      <c r="I46" s="260">
        <v>392991</v>
      </c>
      <c r="K46" s="108"/>
      <c r="L46" s="108"/>
      <c r="M46" s="108"/>
      <c r="N46" s="108"/>
      <c r="O46" s="108"/>
    </row>
    <row r="47" spans="2:15" ht="14.1" customHeight="1">
      <c r="B47" s="258"/>
      <c r="C47" s="259" t="str">
        <f>IF(Indice_index!$Z$1=1,"agosto","August")</f>
        <v>agosto</v>
      </c>
      <c r="D47" s="260">
        <v>416437</v>
      </c>
      <c r="E47" s="260">
        <v>65794</v>
      </c>
      <c r="F47" s="260">
        <v>164898</v>
      </c>
      <c r="G47" s="260">
        <v>647129</v>
      </c>
      <c r="H47" s="260">
        <v>1155.8</v>
      </c>
      <c r="I47" s="260">
        <v>391692</v>
      </c>
      <c r="K47" s="109"/>
      <c r="L47" s="109"/>
      <c r="M47" s="109"/>
      <c r="N47" s="109"/>
      <c r="O47" s="109"/>
    </row>
    <row r="48" spans="2:15" ht="14.1" customHeight="1">
      <c r="B48" s="258"/>
      <c r="C48" s="259" t="str">
        <f>IF(Indice_index!$Z$1=1,"setembro","September")</f>
        <v>setembro</v>
      </c>
      <c r="D48" s="260">
        <v>416735</v>
      </c>
      <c r="E48" s="260">
        <v>65620</v>
      </c>
      <c r="F48" s="260">
        <v>164979</v>
      </c>
      <c r="G48" s="260">
        <v>647334</v>
      </c>
      <c r="H48" s="260">
        <v>1155</v>
      </c>
      <c r="I48" s="260">
        <v>390182</v>
      </c>
      <c r="K48" s="109"/>
      <c r="L48" s="109"/>
      <c r="M48" s="109"/>
      <c r="N48" s="109"/>
      <c r="O48" s="109"/>
    </row>
    <row r="49" spans="2:15" ht="14.1" customHeight="1">
      <c r="B49" s="258"/>
      <c r="C49" s="259" t="str">
        <f>IF(Indice_index!$Z$1=1,"outubro","October")</f>
        <v>outubro</v>
      </c>
      <c r="D49" s="260">
        <v>417089</v>
      </c>
      <c r="E49" s="260">
        <v>65423</v>
      </c>
      <c r="F49" s="260">
        <v>165004</v>
      </c>
      <c r="G49" s="260">
        <v>647516</v>
      </c>
      <c r="H49" s="260">
        <v>1155.2</v>
      </c>
      <c r="I49" s="260">
        <v>389139</v>
      </c>
      <c r="K49" s="109"/>
      <c r="L49" s="109"/>
      <c r="M49" s="109"/>
      <c r="N49" s="109"/>
      <c r="O49" s="109"/>
    </row>
    <row r="50" spans="2:15" ht="14.1" customHeight="1">
      <c r="B50" s="258"/>
      <c r="C50" s="259" t="str">
        <f>IF(Indice_index!$Z$1=1,"novembro","November")</f>
        <v>novembro</v>
      </c>
      <c r="D50" s="260">
        <v>417253</v>
      </c>
      <c r="E50" s="260">
        <v>65276</v>
      </c>
      <c r="F50" s="260">
        <v>165203</v>
      </c>
      <c r="G50" s="260">
        <v>647732</v>
      </c>
      <c r="H50" s="260">
        <v>2282.5</v>
      </c>
      <c r="I50" s="260">
        <v>387605</v>
      </c>
      <c r="K50" s="109"/>
      <c r="L50" s="109"/>
      <c r="M50" s="109"/>
      <c r="N50" s="109"/>
      <c r="O50" s="109"/>
    </row>
    <row r="51" spans="2:15" ht="14.1" customHeight="1">
      <c r="B51" s="261"/>
      <c r="C51" s="259" t="str">
        <f>IF(Indice_index!$Z$1=1,"dezembro","December")</f>
        <v>dezembro</v>
      </c>
      <c r="D51" s="260">
        <v>417828</v>
      </c>
      <c r="E51" s="260">
        <v>65110</v>
      </c>
      <c r="F51" s="260">
        <v>165419</v>
      </c>
      <c r="G51" s="260">
        <v>648357</v>
      </c>
      <c r="H51" s="260">
        <v>1174.5</v>
      </c>
      <c r="I51" s="260">
        <v>386216</v>
      </c>
      <c r="K51" s="109"/>
      <c r="L51" s="109"/>
      <c r="M51" s="109"/>
      <c r="N51" s="109"/>
      <c r="O51" s="109"/>
    </row>
    <row r="52" spans="2:15" ht="14.1" customHeight="1">
      <c r="B52" s="360">
        <v>2023</v>
      </c>
      <c r="C52" s="360"/>
      <c r="D52" s="234"/>
      <c r="E52" s="257"/>
      <c r="F52" s="257"/>
      <c r="G52" s="257"/>
      <c r="I52" s="257"/>
      <c r="K52" s="108"/>
      <c r="L52" s="108"/>
      <c r="M52" s="108"/>
      <c r="N52" s="108"/>
      <c r="O52" s="108"/>
    </row>
    <row r="53" spans="2:15" ht="14.1" customHeight="1">
      <c r="B53" s="262"/>
      <c r="C53" s="259" t="str">
        <f>IF(Indice_index!$Z$1=1,"janeiro","January")</f>
        <v>janeiro</v>
      </c>
      <c r="D53" s="260">
        <v>418291</v>
      </c>
      <c r="E53" s="260">
        <v>64924</v>
      </c>
      <c r="F53" s="260">
        <v>165337</v>
      </c>
      <c r="G53" s="260">
        <v>648552</v>
      </c>
      <c r="H53" s="260">
        <v>1238.5999999999999</v>
      </c>
      <c r="I53" s="260">
        <v>385147</v>
      </c>
      <c r="K53" s="108"/>
      <c r="L53" s="108"/>
      <c r="M53" s="108"/>
      <c r="N53" s="108"/>
      <c r="O53" s="108"/>
    </row>
    <row r="54" spans="2:15" ht="14.1" customHeight="1">
      <c r="B54" s="258"/>
      <c r="C54" s="259" t="str">
        <f>IF(Indice_index!$Z$1=1,"fevereiro","February")</f>
        <v>fevereiro</v>
      </c>
      <c r="D54" s="260">
        <v>418288</v>
      </c>
      <c r="E54" s="260">
        <v>64701</v>
      </c>
      <c r="F54" s="260">
        <v>165137</v>
      </c>
      <c r="G54" s="260">
        <v>648126</v>
      </c>
      <c r="H54" s="260">
        <v>1207.7</v>
      </c>
      <c r="I54" s="260">
        <v>383993</v>
      </c>
      <c r="K54" s="108"/>
      <c r="L54" s="108"/>
      <c r="M54" s="108"/>
      <c r="N54" s="108"/>
      <c r="O54" s="108"/>
    </row>
    <row r="55" spans="2:15" ht="14.1" customHeight="1">
      <c r="B55" s="258"/>
      <c r="C55" s="259" t="str">
        <f>IF(Indice_index!$Z$1=1,"março","March")</f>
        <v>março</v>
      </c>
      <c r="D55" s="260">
        <v>418292</v>
      </c>
      <c r="E55" s="260">
        <v>64484</v>
      </c>
      <c r="F55" s="260">
        <v>164977</v>
      </c>
      <c r="G55" s="260">
        <v>647753</v>
      </c>
      <c r="H55" s="260">
        <v>1210.7</v>
      </c>
      <c r="I55" s="260">
        <v>382686</v>
      </c>
      <c r="K55" s="108"/>
      <c r="L55" s="108"/>
      <c r="M55" s="108"/>
      <c r="N55" s="108"/>
      <c r="O55" s="108"/>
    </row>
    <row r="56" spans="2:15" ht="14.1" customHeight="1">
      <c r="B56" s="258"/>
      <c r="C56" s="259" t="str">
        <f>IF(Indice_index!$Z$1=1,"abril","April")</f>
        <v>abril</v>
      </c>
      <c r="D56" s="260">
        <v>418570</v>
      </c>
      <c r="E56" s="260">
        <v>64245</v>
      </c>
      <c r="F56" s="260">
        <v>164884</v>
      </c>
      <c r="G56" s="260">
        <v>647699</v>
      </c>
      <c r="H56" s="260">
        <v>1213.4000000000001</v>
      </c>
      <c r="I56" s="260">
        <v>381388</v>
      </c>
      <c r="K56" s="108"/>
      <c r="L56" s="108"/>
      <c r="M56" s="108"/>
      <c r="N56" s="108"/>
      <c r="O56" s="108"/>
    </row>
    <row r="57" spans="2:15" ht="14.1" customHeight="1">
      <c r="B57" s="258"/>
      <c r="C57" s="259" t="str">
        <f>IF(Indice_index!$Z$1=1,"maio","May")</f>
        <v>maio</v>
      </c>
      <c r="D57" s="260">
        <v>419157</v>
      </c>
      <c r="E57" s="260">
        <v>64065</v>
      </c>
      <c r="F57" s="260">
        <v>164315</v>
      </c>
      <c r="G57" s="260">
        <v>647537</v>
      </c>
      <c r="H57" s="260">
        <v>1220.5999999999999</v>
      </c>
      <c r="I57" s="260">
        <v>380239</v>
      </c>
      <c r="K57" s="108"/>
      <c r="L57" s="108"/>
      <c r="M57" s="108"/>
      <c r="N57" s="108"/>
      <c r="O57" s="108"/>
    </row>
    <row r="58" spans="2:15" ht="14.1" customHeight="1">
      <c r="B58" s="258"/>
      <c r="C58" s="259" t="str">
        <f>IF(Indice_index!$Z$1=1,"junho","June")</f>
        <v>junho</v>
      </c>
      <c r="D58" s="260">
        <v>419475</v>
      </c>
      <c r="E58" s="260">
        <v>63894</v>
      </c>
      <c r="F58" s="260">
        <v>164867</v>
      </c>
      <c r="G58" s="260">
        <v>648236</v>
      </c>
      <c r="H58" s="260">
        <v>1216.5</v>
      </c>
      <c r="I58" s="260">
        <v>378942</v>
      </c>
      <c r="K58" s="223"/>
      <c r="L58" s="108"/>
      <c r="M58" s="108"/>
      <c r="N58" s="108"/>
      <c r="O58" s="108"/>
    </row>
    <row r="59" spans="2:15" ht="14.1" customHeight="1">
      <c r="B59" s="258"/>
      <c r="C59" s="259" t="str">
        <f>IF(Indice_index!$Z$1=1,"julho","July")</f>
        <v>julho</v>
      </c>
      <c r="D59" s="260">
        <v>420183</v>
      </c>
      <c r="E59" s="260">
        <v>63716</v>
      </c>
      <c r="F59" s="260">
        <v>164974</v>
      </c>
      <c r="G59" s="260">
        <v>648873</v>
      </c>
      <c r="H59" s="260">
        <v>2404</v>
      </c>
      <c r="I59" s="260">
        <v>377782</v>
      </c>
      <c r="K59" s="223"/>
      <c r="L59" s="108"/>
      <c r="M59" s="108"/>
      <c r="N59" s="108"/>
      <c r="O59" s="108"/>
    </row>
    <row r="60" spans="2:15" ht="14.1" customHeight="1">
      <c r="B60" s="258"/>
      <c r="C60" s="259" t="str">
        <f>IF(Indice_index!$Z$1=1,"agosto","August")</f>
        <v>agosto</v>
      </c>
      <c r="D60" s="260">
        <v>420849</v>
      </c>
      <c r="E60" s="260">
        <v>63620</v>
      </c>
      <c r="F60" s="260">
        <v>165390</v>
      </c>
      <c r="G60" s="260">
        <v>649859</v>
      </c>
      <c r="H60" s="260">
        <v>1257.4000000000001</v>
      </c>
      <c r="I60" s="260">
        <v>377889</v>
      </c>
      <c r="K60" s="224"/>
      <c r="L60" s="109"/>
      <c r="M60" s="109"/>
      <c r="N60" s="109"/>
      <c r="O60" s="109"/>
    </row>
    <row r="61" spans="2:15" ht="14.1" customHeight="1">
      <c r="B61" s="258"/>
      <c r="C61" s="259" t="str">
        <f>IF(Indice_index!$Z$1=1,"setembro","September")</f>
        <v>setembro</v>
      </c>
      <c r="D61" s="260">
        <v>421590</v>
      </c>
      <c r="E61" s="260">
        <v>63474</v>
      </c>
      <c r="F61" s="260">
        <v>165696</v>
      </c>
      <c r="G61" s="260">
        <v>650760</v>
      </c>
      <c r="H61" s="260">
        <v>1260</v>
      </c>
      <c r="I61" s="260">
        <v>381944</v>
      </c>
      <c r="K61" s="223"/>
      <c r="L61" s="109"/>
      <c r="M61" s="109"/>
      <c r="N61" s="109"/>
      <c r="O61" s="109"/>
    </row>
    <row r="62" spans="2:15" ht="14.1" customHeight="1">
      <c r="B62" s="258"/>
      <c r="C62" s="259" t="str">
        <f>IF(Indice_index!$Z$1=1,"outubro","October")</f>
        <v>outubro</v>
      </c>
      <c r="D62" s="260">
        <v>422142</v>
      </c>
      <c r="E62" s="260">
        <v>63306</v>
      </c>
      <c r="F62" s="260">
        <v>166018</v>
      </c>
      <c r="G62" s="260">
        <v>651466</v>
      </c>
      <c r="H62" s="260">
        <v>1264.3</v>
      </c>
      <c r="I62" s="260">
        <v>383242</v>
      </c>
      <c r="K62" s="223"/>
      <c r="L62" s="109"/>
      <c r="M62" s="109"/>
      <c r="N62" s="109"/>
      <c r="O62" s="109"/>
    </row>
    <row r="63" spans="2:15" ht="14.1" customHeight="1">
      <c r="B63" s="258"/>
      <c r="C63" s="259" t="str">
        <f>IF(Indice_index!$Z$1=1,"novembro","November")</f>
        <v>novembro</v>
      </c>
      <c r="D63" s="260">
        <v>422814</v>
      </c>
      <c r="E63" s="260">
        <v>63180</v>
      </c>
      <c r="F63" s="260">
        <v>166328</v>
      </c>
      <c r="G63" s="260">
        <v>652322</v>
      </c>
      <c r="H63" s="260">
        <v>2483.1999999999998</v>
      </c>
      <c r="I63" s="260">
        <v>381826</v>
      </c>
      <c r="K63" s="223"/>
      <c r="L63" s="109"/>
      <c r="M63" s="109"/>
      <c r="N63" s="109"/>
      <c r="O63" s="109"/>
    </row>
    <row r="64" spans="2:15" ht="14.1" customHeight="1">
      <c r="B64" s="261"/>
      <c r="C64" s="259" t="str">
        <f>IF(Indice_index!$Z$1=1,"dezembro","December")</f>
        <v>dezembro</v>
      </c>
      <c r="D64" s="260">
        <v>424533</v>
      </c>
      <c r="E64" s="260">
        <v>63043</v>
      </c>
      <c r="F64" s="260">
        <v>166756</v>
      </c>
      <c r="G64" s="260">
        <v>654332</v>
      </c>
      <c r="H64" s="260">
        <v>1276.7</v>
      </c>
      <c r="I64" s="260">
        <v>380060</v>
      </c>
      <c r="K64" s="224"/>
      <c r="L64" s="109"/>
      <c r="M64" s="109"/>
      <c r="N64" s="109"/>
      <c r="O64" s="109"/>
    </row>
    <row r="65" spans="2:15" ht="14.1" customHeight="1">
      <c r="B65" s="360">
        <v>2024</v>
      </c>
      <c r="C65" s="360"/>
      <c r="D65" s="234"/>
      <c r="E65" s="257"/>
      <c r="F65" s="257"/>
      <c r="G65" s="257"/>
      <c r="I65" s="257"/>
      <c r="K65" s="108"/>
      <c r="L65" s="108"/>
      <c r="M65" s="108"/>
      <c r="N65" s="108"/>
      <c r="O65" s="108"/>
    </row>
    <row r="66" spans="2:15" ht="14.1" customHeight="1">
      <c r="B66" s="262"/>
      <c r="C66" s="259" t="str">
        <f>IF(Indice_index!$Z$1=1,"janeiro","January")</f>
        <v>janeiro</v>
      </c>
      <c r="D66" s="260">
        <v>425527</v>
      </c>
      <c r="E66" s="260">
        <v>62904</v>
      </c>
      <c r="F66" s="260">
        <v>166894</v>
      </c>
      <c r="G66" s="260">
        <v>655325</v>
      </c>
      <c r="H66" s="260">
        <v>1366.1</v>
      </c>
      <c r="I66" s="260">
        <v>376348</v>
      </c>
      <c r="K66" s="108"/>
      <c r="L66" s="108"/>
      <c r="M66" s="108"/>
      <c r="N66" s="108"/>
      <c r="O66" s="108"/>
    </row>
    <row r="67" spans="2:15" ht="13.5" customHeight="1">
      <c r="B67" s="262"/>
      <c r="C67" s="259" t="str">
        <f>IF(Indice_index!$Z$1=1,"fevereiro","February")</f>
        <v>fevereiro</v>
      </c>
      <c r="D67" s="260">
        <v>425594</v>
      </c>
      <c r="E67" s="260">
        <v>62765</v>
      </c>
      <c r="F67" s="260">
        <v>166688</v>
      </c>
      <c r="G67" s="260">
        <v>655047</v>
      </c>
      <c r="H67" s="260">
        <v>1327.6</v>
      </c>
      <c r="I67" s="260">
        <v>376801</v>
      </c>
      <c r="K67" s="108"/>
      <c r="L67" s="108"/>
      <c r="M67" s="108"/>
      <c r="N67" s="108"/>
      <c r="O67" s="108"/>
    </row>
    <row r="68" spans="2:15" ht="13.5" customHeight="1">
      <c r="B68" s="262"/>
      <c r="C68" s="259" t="str">
        <f>IF(Indice_index!$Z$1=1,"março","March")</f>
        <v>março</v>
      </c>
      <c r="D68" s="260">
        <v>425651</v>
      </c>
      <c r="E68" s="260">
        <v>62478</v>
      </c>
      <c r="F68" s="260">
        <v>166532</v>
      </c>
      <c r="G68" s="260">
        <v>654661</v>
      </c>
      <c r="H68" s="260">
        <v>1329.4</v>
      </c>
      <c r="I68" s="260">
        <v>375998</v>
      </c>
      <c r="K68" s="108"/>
      <c r="L68" s="108"/>
      <c r="M68" s="108"/>
      <c r="N68" s="108"/>
      <c r="O68" s="108"/>
    </row>
    <row r="69" spans="2:15" ht="13.5" customHeight="1">
      <c r="B69" s="262"/>
      <c r="C69" s="259" t="str">
        <f>IF(Indice_index!$Z$1=1,"abril","April")</f>
        <v>abril</v>
      </c>
      <c r="D69" s="260">
        <v>426063</v>
      </c>
      <c r="E69" s="260">
        <v>62340</v>
      </c>
      <c r="F69" s="260">
        <v>166914</v>
      </c>
      <c r="G69" s="260">
        <v>655317</v>
      </c>
      <c r="H69" s="260">
        <v>1340.4</v>
      </c>
      <c r="I69" s="260">
        <v>373975</v>
      </c>
      <c r="K69" s="108"/>
      <c r="L69" s="108"/>
      <c r="M69" s="108"/>
      <c r="N69" s="108"/>
      <c r="O69" s="108"/>
    </row>
    <row r="70" spans="2:15" ht="13.5" customHeight="1">
      <c r="B70" s="262"/>
      <c r="C70" s="259" t="str">
        <f>IF(Indice_index!$Z$1=1,"maio","May")</f>
        <v>maio</v>
      </c>
      <c r="D70" s="260">
        <v>426527</v>
      </c>
      <c r="E70" s="260">
        <v>62189</v>
      </c>
      <c r="F70" s="260">
        <v>167046</v>
      </c>
      <c r="G70" s="260">
        <v>655762</v>
      </c>
      <c r="H70" s="260">
        <v>1332.7</v>
      </c>
      <c r="I70" s="260">
        <v>369242</v>
      </c>
      <c r="K70" s="108"/>
      <c r="L70" s="108"/>
      <c r="M70" s="108"/>
      <c r="N70" s="108"/>
      <c r="O70" s="108"/>
    </row>
    <row r="71" spans="2:15" ht="13.5" customHeight="1">
      <c r="B71" s="262"/>
      <c r="C71" s="259" t="str">
        <f>IF(Indice_index!$Z$1=1,"junho","June")</f>
        <v>junho</v>
      </c>
      <c r="D71" s="260">
        <v>426869</v>
      </c>
      <c r="E71" s="260">
        <v>61979</v>
      </c>
      <c r="F71" s="260">
        <v>167155</v>
      </c>
      <c r="G71" s="260">
        <v>656003</v>
      </c>
      <c r="H71" s="260">
        <v>1331.4</v>
      </c>
      <c r="I71" s="260">
        <v>371587</v>
      </c>
      <c r="K71" s="108"/>
      <c r="L71" s="108"/>
      <c r="M71" s="108"/>
      <c r="N71" s="108"/>
      <c r="O71" s="108"/>
    </row>
    <row r="72" spans="2:15" ht="13.5" customHeight="1">
      <c r="B72" s="262"/>
      <c r="C72" s="259" t="str">
        <f>IF(Indice_index!$Z$1=1,"julho","July")</f>
        <v>julho</v>
      </c>
      <c r="D72" s="260">
        <v>427640</v>
      </c>
      <c r="E72" s="260">
        <v>61796</v>
      </c>
      <c r="F72" s="260">
        <v>167186</v>
      </c>
      <c r="G72" s="260">
        <v>656622</v>
      </c>
      <c r="H72" s="260">
        <v>2597.9</v>
      </c>
      <c r="I72" s="260">
        <v>369872</v>
      </c>
      <c r="K72" s="108"/>
      <c r="L72" s="108"/>
      <c r="M72" s="108"/>
      <c r="N72" s="108"/>
      <c r="O72" s="108"/>
    </row>
    <row r="73" spans="2:15" ht="13.5" customHeight="1">
      <c r="B73" s="262"/>
      <c r="C73" s="259" t="str">
        <f>IF(Indice_index!$Z$1=1,"agosto","August")</f>
        <v>agosto</v>
      </c>
      <c r="D73" s="260">
        <v>428479</v>
      </c>
      <c r="E73" s="260">
        <v>61656</v>
      </c>
      <c r="F73" s="260">
        <v>167573</v>
      </c>
      <c r="G73" s="260">
        <v>657708</v>
      </c>
      <c r="H73" s="260">
        <v>1336.2</v>
      </c>
      <c r="I73" s="260">
        <v>367681</v>
      </c>
      <c r="K73" s="108"/>
      <c r="L73" s="108"/>
      <c r="M73" s="108"/>
      <c r="N73" s="108"/>
      <c r="O73" s="108"/>
    </row>
    <row r="74" spans="2:15" ht="13.5" customHeight="1">
      <c r="B74" s="262"/>
      <c r="C74" s="259" t="str">
        <f>IF(Indice_index!$Z$1=1,"setembro","September")</f>
        <v>setembro</v>
      </c>
      <c r="D74" s="260">
        <v>429664</v>
      </c>
      <c r="E74" s="260">
        <v>61512</v>
      </c>
      <c r="F74" s="260">
        <v>167610</v>
      </c>
      <c r="G74" s="260">
        <v>658786</v>
      </c>
      <c r="H74" s="260">
        <v>1333.6</v>
      </c>
      <c r="I74" s="260">
        <v>365674</v>
      </c>
      <c r="K74" s="108"/>
      <c r="L74" s="108"/>
      <c r="M74" s="108"/>
      <c r="N74" s="108"/>
      <c r="O74" s="108"/>
    </row>
    <row r="75" spans="2:15" ht="4.3499999999999996" customHeight="1">
      <c r="B75" s="263"/>
      <c r="C75" s="269"/>
      <c r="D75" s="264"/>
      <c r="E75" s="264"/>
      <c r="F75" s="264"/>
      <c r="G75" s="264"/>
      <c r="H75" s="264"/>
      <c r="I75" s="264"/>
      <c r="K75" s="108"/>
      <c r="L75" s="108"/>
      <c r="M75" s="108"/>
      <c r="N75" s="108"/>
      <c r="O75" s="108"/>
    </row>
    <row r="76" spans="2:15" ht="14.1" customHeight="1">
      <c r="B76" s="10"/>
      <c r="C76" s="10"/>
      <c r="D76" s="10"/>
      <c r="E76" s="10"/>
      <c r="F76" s="10"/>
      <c r="G76" s="10"/>
      <c r="H76" s="10"/>
      <c r="I76" s="10"/>
      <c r="K76" s="224"/>
      <c r="L76" s="109"/>
      <c r="M76" s="109"/>
      <c r="N76" s="109"/>
      <c r="O76" s="109"/>
    </row>
    <row r="77" spans="2:15" ht="16.350000000000001" customHeight="1">
      <c r="B77" s="347"/>
      <c r="C77" s="429"/>
      <c r="D77" s="357" t="str">
        <f>IF(Indice_index!$Z$1=1,"Pensionistas","Pensioners")</f>
        <v>Pensionistas</v>
      </c>
      <c r="E77" s="358"/>
      <c r="F77" s="358"/>
      <c r="G77" s="358"/>
      <c r="H77" s="359"/>
      <c r="I77" s="221" t="str">
        <f>IF(Indice_index!$Z$1=1,"Subscritores","Subscribers")</f>
        <v>Subscritores</v>
      </c>
      <c r="K77" s="223"/>
    </row>
    <row r="78" spans="2:15" ht="16.350000000000001" customHeight="1">
      <c r="B78" s="347"/>
      <c r="C78" s="429"/>
      <c r="D78" s="345" t="str">
        <f>IF(Indice_index!$Z$1=1,"VH do número de pensionistas (%)","YOY Change Rate of the number of subscribers (%)")</f>
        <v>VH do número de pensionistas (%)</v>
      </c>
      <c r="E78" s="345"/>
      <c r="F78" s="345"/>
      <c r="G78" s="345"/>
      <c r="H78" s="345" t="str">
        <f>IF(Indice_index!$Z$1=1,"VHA Valor médio pago por pensionista","YOY Change Rate of the Average Value paid per Pensioner")</f>
        <v>VHA Valor médio pago por pensionista</v>
      </c>
      <c r="I78" s="378" t="str">
        <f>IF(Indice_index!$Z$1=1,"VHA do Número de subscritores (%)","YOY Change Rate of the Number of Subscribers (%)")</f>
        <v>VHA do Número de subscritores (%)</v>
      </c>
      <c r="K78" s="223"/>
    </row>
    <row r="79" spans="2:15" ht="36" customHeight="1">
      <c r="B79" s="347"/>
      <c r="C79" s="429"/>
      <c r="D79" s="24" t="str">
        <f>IF(Indice_index!$Z$1=1,"Velhice e Outros Motivos","Old age and other Reasons")</f>
        <v>Velhice e Outros Motivos</v>
      </c>
      <c r="E79" s="24" t="str">
        <f>IF(Indice_index!$Z$1=1,"Invalidez","Disability")</f>
        <v>Invalidez</v>
      </c>
      <c r="F79" s="24" t="str">
        <f>IF(Indice_index!$Z$1=1,"Sobrevivência e Outros","Survival and Others")</f>
        <v>Sobrevivência e Outros</v>
      </c>
      <c r="G79" s="24" t="str">
        <f>IF(Indice_index!$Z$1=1,"Total de Pensionistas","Total of Pensioners")</f>
        <v>Total de Pensionistas</v>
      </c>
      <c r="H79" s="377"/>
      <c r="I79" s="398"/>
      <c r="K79" s="223"/>
    </row>
    <row r="80" spans="2:15" ht="14.1" customHeight="1">
      <c r="B80" s="360">
        <v>2020</v>
      </c>
      <c r="C80" s="360"/>
      <c r="D80" s="234"/>
      <c r="E80" s="257"/>
      <c r="F80" s="257"/>
      <c r="G80" s="257"/>
      <c r="I80" s="257"/>
      <c r="K80" s="223"/>
      <c r="L80" s="108"/>
      <c r="M80" s="108"/>
      <c r="N80" s="108"/>
      <c r="O80" s="108"/>
    </row>
    <row r="81" spans="2:15" ht="14.1" customHeight="1">
      <c r="B81" s="265"/>
      <c r="C81" s="259" t="str">
        <f>IF(Indice_index!$Z$1=1,"janeiro","January")</f>
        <v>janeiro</v>
      </c>
      <c r="D81" s="5">
        <v>0.64890282901017782</v>
      </c>
      <c r="E81" s="5">
        <v>-0.79712977440250177</v>
      </c>
      <c r="F81" s="5">
        <v>1.2976038113667399</v>
      </c>
      <c r="G81" s="5">
        <v>0.65256308473045976</v>
      </c>
      <c r="H81" s="5">
        <v>0.13975019652370591</v>
      </c>
      <c r="I81" s="5">
        <v>-2.830792038708132</v>
      </c>
      <c r="K81" s="223"/>
      <c r="L81" s="109"/>
      <c r="M81" s="109"/>
      <c r="N81" s="109"/>
      <c r="O81" s="109"/>
    </row>
    <row r="82" spans="2:15" ht="14.1" customHeight="1">
      <c r="B82" s="265"/>
      <c r="C82" s="259" t="str">
        <f>IF(Indice_index!$Z$1=1,"fevereiro","February")</f>
        <v>fevereiro</v>
      </c>
      <c r="D82" s="5">
        <v>0.71713812768005814</v>
      </c>
      <c r="E82" s="5">
        <v>-0.90320596171860801</v>
      </c>
      <c r="F82" s="5">
        <v>1.0851679441144626</v>
      </c>
      <c r="G82" s="5">
        <v>0.63035875012068388</v>
      </c>
      <c r="H82" s="5">
        <v>0.47317203821089027</v>
      </c>
      <c r="I82" s="5">
        <v>-2.9193642253336143</v>
      </c>
      <c r="K82" s="223"/>
      <c r="L82" s="109"/>
      <c r="M82" s="109"/>
      <c r="N82" s="109"/>
      <c r="O82" s="109"/>
    </row>
    <row r="83" spans="2:15" ht="14.1" customHeight="1">
      <c r="B83" s="265"/>
      <c r="C83" s="259" t="str">
        <f>IF(Indice_index!$Z$1=1,"março","March")</f>
        <v>março</v>
      </c>
      <c r="D83" s="5">
        <v>0.89035299211746077</v>
      </c>
      <c r="E83" s="5">
        <v>-0.82113980359790717</v>
      </c>
      <c r="F83" s="5">
        <v>1.0608878664774117</v>
      </c>
      <c r="G83" s="5">
        <v>0.74305973476852272</v>
      </c>
      <c r="H83" s="5">
        <v>1.1182252682838725</v>
      </c>
      <c r="I83" s="5">
        <v>-2.9439334000603719</v>
      </c>
      <c r="K83" s="224"/>
      <c r="L83" s="109"/>
      <c r="M83" s="109"/>
      <c r="N83" s="109"/>
      <c r="O83" s="109"/>
    </row>
    <row r="84" spans="2:15" ht="14.1" customHeight="1">
      <c r="B84" s="265"/>
      <c r="C84" s="259" t="str">
        <f>IF(Indice_index!$Z$1=1,"abril","April")</f>
        <v>abril</v>
      </c>
      <c r="D84" s="5">
        <v>0.93985054875859053</v>
      </c>
      <c r="E84" s="5">
        <v>-1.0999762393950829</v>
      </c>
      <c r="F84" s="5">
        <v>1.1725754432347415</v>
      </c>
      <c r="G84" s="5">
        <v>0.77162658884929436</v>
      </c>
      <c r="H84" s="5">
        <v>0.49291987811435745</v>
      </c>
      <c r="I84" s="5">
        <v>-2.9996565973114526</v>
      </c>
      <c r="K84" s="223"/>
      <c r="L84" s="109"/>
      <c r="M84" s="109"/>
      <c r="N84" s="109"/>
      <c r="O84" s="109"/>
    </row>
    <row r="85" spans="2:15" ht="14.1" customHeight="1">
      <c r="B85" s="265"/>
      <c r="C85" s="259" t="str">
        <f>IF(Indice_index!$Z$1=1,"maio","May")</f>
        <v>maio</v>
      </c>
      <c r="D85" s="5">
        <v>0.9733508339846918</v>
      </c>
      <c r="E85" s="5">
        <v>-1.362759623179493</v>
      </c>
      <c r="F85" s="5">
        <v>1.1885662498622218</v>
      </c>
      <c r="G85" s="5">
        <v>0.76765561155317019</v>
      </c>
      <c r="H85" s="5">
        <v>0.65629776139530294</v>
      </c>
      <c r="I85" s="5">
        <v>-3.0613454149327475</v>
      </c>
      <c r="K85" s="223"/>
      <c r="L85" s="109"/>
      <c r="M85" s="109"/>
      <c r="N85" s="109"/>
      <c r="O85" s="109"/>
    </row>
    <row r="86" spans="2:15" ht="14.1" customHeight="1">
      <c r="B86" s="265"/>
      <c r="C86" s="259" t="str">
        <f>IF(Indice_index!$Z$1=1,"junho","June")</f>
        <v>junho</v>
      </c>
      <c r="D86" s="5">
        <v>1.1000000000000001</v>
      </c>
      <c r="E86" s="5">
        <v>-1.6</v>
      </c>
      <c r="F86" s="5">
        <v>1</v>
      </c>
      <c r="G86" s="5">
        <v>0.8</v>
      </c>
      <c r="H86" s="5">
        <v>0.6</v>
      </c>
      <c r="I86" s="5">
        <v>-3.1</v>
      </c>
      <c r="K86" s="223"/>
      <c r="L86" s="109"/>
      <c r="M86" s="109"/>
      <c r="N86" s="109"/>
      <c r="O86" s="109"/>
    </row>
    <row r="87" spans="2:15" ht="14.1" customHeight="1">
      <c r="B87" s="265"/>
      <c r="C87" s="259" t="str">
        <f>IF(Indice_index!$Z$1=1,"julho","July")</f>
        <v>julho</v>
      </c>
      <c r="D87" s="5">
        <v>1.2</v>
      </c>
      <c r="E87" s="5">
        <v>-1.8</v>
      </c>
      <c r="F87" s="5">
        <v>1.1000000000000001</v>
      </c>
      <c r="G87" s="5">
        <v>0.8</v>
      </c>
      <c r="H87" s="5">
        <v>0.5</v>
      </c>
      <c r="I87" s="5">
        <v>-3.2</v>
      </c>
      <c r="K87" s="224"/>
      <c r="L87" s="109"/>
      <c r="M87" s="109"/>
      <c r="N87" s="109"/>
      <c r="O87" s="109"/>
    </row>
    <row r="88" spans="2:15" ht="14.1" customHeight="1">
      <c r="B88" s="265"/>
      <c r="C88" s="259" t="str">
        <f>IF(Indice_index!$Z$1=1,"agosto","August")</f>
        <v>agosto</v>
      </c>
      <c r="D88" s="5">
        <v>1.2534073328258146</v>
      </c>
      <c r="E88" s="5">
        <v>-1.9747522812517495</v>
      </c>
      <c r="F88" s="5">
        <v>1.1217665384357454</v>
      </c>
      <c r="G88" s="5">
        <v>0.86091406574564067</v>
      </c>
      <c r="H88" s="5">
        <v>-0.76794068320240483</v>
      </c>
      <c r="I88" s="5">
        <v>-3.2695709634565215</v>
      </c>
      <c r="K88" s="223"/>
    </row>
    <row r="89" spans="2:15" ht="14.1" customHeight="1">
      <c r="B89" s="265"/>
      <c r="C89" s="259" t="str">
        <f>IF(Indice_index!$Z$1=1,"setembro","September")</f>
        <v>setembro</v>
      </c>
      <c r="D89" s="5">
        <v>1.2688330907743317</v>
      </c>
      <c r="E89" s="5">
        <v>-2.3009097270818755</v>
      </c>
      <c r="F89" s="5">
        <v>0.96997521783341767</v>
      </c>
      <c r="G89" s="5">
        <v>0.79593620071461668</v>
      </c>
      <c r="H89" s="5">
        <v>1.0147270114942692</v>
      </c>
      <c r="I89" s="5">
        <v>-3.4066937656284866</v>
      </c>
      <c r="K89" s="224"/>
    </row>
    <row r="90" spans="2:15" ht="14.1" customHeight="1">
      <c r="B90" s="265"/>
      <c r="C90" s="259" t="str">
        <f>IF(Indice_index!$Z$1=1,"outubro","October")</f>
        <v>outubro</v>
      </c>
      <c r="D90" s="5">
        <v>1.4</v>
      </c>
      <c r="E90" s="5">
        <v>-2.4</v>
      </c>
      <c r="F90" s="5">
        <v>0.9</v>
      </c>
      <c r="G90" s="5">
        <v>0.8</v>
      </c>
      <c r="H90" s="5">
        <v>0.7</v>
      </c>
      <c r="I90" s="5">
        <v>-3.4</v>
      </c>
      <c r="K90" s="223"/>
    </row>
    <row r="91" spans="2:15" ht="14.1" customHeight="1">
      <c r="B91" s="261"/>
      <c r="C91" s="259" t="str">
        <f>IF(Indice_index!$Z$1=1,"novembro","November")</f>
        <v>novembro</v>
      </c>
      <c r="D91" s="5">
        <v>1.1000000000000001</v>
      </c>
      <c r="E91" s="5">
        <v>-2.5</v>
      </c>
      <c r="F91" s="5">
        <v>0.8</v>
      </c>
      <c r="G91" s="5">
        <v>0.6</v>
      </c>
      <c r="H91" s="5">
        <v>0</v>
      </c>
      <c r="I91" s="5">
        <v>-3.3</v>
      </c>
    </row>
    <row r="92" spans="2:15" ht="14.1" customHeight="1">
      <c r="B92" s="261"/>
      <c r="C92" s="259" t="str">
        <f>IF(Indice_index!$Z$1=1,"dezembro","December")</f>
        <v>dezembro</v>
      </c>
      <c r="D92" s="5">
        <v>0.8</v>
      </c>
      <c r="E92" s="5">
        <v>-2.7</v>
      </c>
      <c r="F92" s="5">
        <v>1</v>
      </c>
      <c r="G92" s="5">
        <v>0.5</v>
      </c>
      <c r="H92" s="5">
        <v>0.9</v>
      </c>
      <c r="I92" s="5">
        <v>-3.3</v>
      </c>
    </row>
    <row r="93" spans="2:15" ht="14.1" customHeight="1">
      <c r="B93" s="360" t="s">
        <v>15</v>
      </c>
      <c r="C93" s="360"/>
      <c r="D93" s="234"/>
      <c r="E93" s="257"/>
      <c r="F93" s="257"/>
      <c r="G93" s="257"/>
      <c r="I93" s="257"/>
      <c r="K93" s="108"/>
      <c r="L93" s="108"/>
      <c r="M93" s="108"/>
      <c r="N93" s="108"/>
      <c r="O93" s="108"/>
    </row>
    <row r="94" spans="2:15" ht="14.1" customHeight="1">
      <c r="B94" s="265"/>
      <c r="C94" s="259" t="str">
        <f>IF(Indice_index!$Z$1=1,"janeiro","January")</f>
        <v>janeiro</v>
      </c>
      <c r="D94" s="5">
        <v>0.7</v>
      </c>
      <c r="E94" s="5">
        <v>-2.7</v>
      </c>
      <c r="F94" s="5">
        <v>0.4</v>
      </c>
      <c r="G94" s="5">
        <v>0.3</v>
      </c>
      <c r="H94" s="5">
        <v>0.9</v>
      </c>
      <c r="I94" s="5">
        <v>-3.3</v>
      </c>
      <c r="K94" s="109"/>
      <c r="L94" s="109"/>
      <c r="M94" s="109"/>
      <c r="N94" s="109"/>
      <c r="O94" s="109"/>
    </row>
    <row r="95" spans="2:15" ht="14.1" customHeight="1">
      <c r="B95" s="265"/>
      <c r="C95" s="259" t="str">
        <f>IF(Indice_index!$Z$1=1,"fevereiro","February")</f>
        <v>fevereiro</v>
      </c>
      <c r="D95" s="5">
        <v>0.6</v>
      </c>
      <c r="E95" s="5">
        <v>-2.8</v>
      </c>
      <c r="F95" s="5">
        <v>0.4</v>
      </c>
      <c r="G95" s="5">
        <v>0.2</v>
      </c>
      <c r="H95" s="5">
        <v>0.3</v>
      </c>
      <c r="I95" s="5">
        <v>-3.2</v>
      </c>
      <c r="K95" s="109"/>
      <c r="L95" s="109"/>
      <c r="M95" s="109"/>
      <c r="N95" s="109"/>
      <c r="O95" s="109"/>
    </row>
    <row r="96" spans="2:15" ht="14.1" customHeight="1">
      <c r="B96" s="265"/>
      <c r="C96" s="259" t="str">
        <f>IF(Indice_index!$Z$1=1,"março","March")</f>
        <v>março</v>
      </c>
      <c r="D96" s="5">
        <v>0.39772048370223878</v>
      </c>
      <c r="E96" s="5">
        <v>-3.1551925979209861</v>
      </c>
      <c r="F96" s="5">
        <v>0.21430906515237735</v>
      </c>
      <c r="G96" s="5">
        <v>-3.8999145732998231E-2</v>
      </c>
      <c r="H96" s="5">
        <v>0.66886649424774824</v>
      </c>
      <c r="I96" s="5">
        <v>-3.2832121226293762</v>
      </c>
      <c r="K96" s="109"/>
      <c r="L96" s="109"/>
      <c r="M96" s="109"/>
      <c r="N96" s="109"/>
      <c r="O96" s="109"/>
    </row>
    <row r="97" spans="2:15" ht="14.1" customHeight="1">
      <c r="B97" s="265"/>
      <c r="C97" s="259" t="str">
        <f>IF(Indice_index!$Z$1=1,"abril","April")</f>
        <v>abril</v>
      </c>
      <c r="D97" s="5">
        <v>0.25830033505939687</v>
      </c>
      <c r="E97" s="5">
        <v>-3.4313171283210853</v>
      </c>
      <c r="F97" s="5">
        <v>0.19114791582232923</v>
      </c>
      <c r="G97" s="5">
        <v>-0.1627344334923552</v>
      </c>
      <c r="H97" s="5">
        <v>1.0791046107197124</v>
      </c>
      <c r="I97" s="5">
        <v>-3.2977982636503667</v>
      </c>
      <c r="K97" s="109"/>
      <c r="L97" s="109"/>
      <c r="M97" s="109"/>
      <c r="N97" s="109"/>
      <c r="O97" s="109"/>
    </row>
    <row r="98" spans="2:15" ht="14.1" customHeight="1">
      <c r="B98" s="265"/>
      <c r="C98" s="259" t="str">
        <f>IF(Indice_index!$Z$1=1,"maio","May")</f>
        <v>maio</v>
      </c>
      <c r="D98" s="5">
        <v>0.2207876300504866</v>
      </c>
      <c r="E98" s="5">
        <v>-3.334230774680818</v>
      </c>
      <c r="F98" s="5">
        <v>0.17852063880130956</v>
      </c>
      <c r="G98" s="5">
        <v>-0.17800253626550369</v>
      </c>
      <c r="H98" s="5">
        <v>1.152197213290469</v>
      </c>
      <c r="I98" s="5">
        <v>-3.3000204532150335</v>
      </c>
      <c r="K98" s="109"/>
      <c r="L98" s="109"/>
      <c r="M98" s="109"/>
      <c r="N98" s="109"/>
      <c r="O98" s="109"/>
    </row>
    <row r="99" spans="2:15" ht="14.1" customHeight="1">
      <c r="B99" s="265"/>
      <c r="C99" s="259" t="str">
        <f>IF(Indice_index!$Z$1=1,"junho","June")</f>
        <v>junho</v>
      </c>
      <c r="D99" s="5">
        <v>0.21228479719871607</v>
      </c>
      <c r="E99" s="5">
        <v>-3.2242937531972946</v>
      </c>
      <c r="F99" s="5">
        <v>-0.23539663425172311</v>
      </c>
      <c r="G99" s="5">
        <v>-0.27594629482194893</v>
      </c>
      <c r="H99" s="5">
        <v>1.1254019292604625</v>
      </c>
      <c r="I99" s="5">
        <v>-3.3272507803585407</v>
      </c>
      <c r="K99" s="109"/>
      <c r="L99" s="109"/>
      <c r="M99" s="109"/>
      <c r="N99" s="109"/>
      <c r="O99" s="109"/>
    </row>
    <row r="100" spans="2:15" ht="14.1" customHeight="1">
      <c r="B100" s="265"/>
      <c r="C100" s="259" t="str">
        <f>IF(Indice_index!$Z$1=1,"julho","July")</f>
        <v>julho</v>
      </c>
      <c r="D100" s="5">
        <v>0.23993394531060275</v>
      </c>
      <c r="E100" s="5">
        <v>-3.1877785212921963</v>
      </c>
      <c r="F100" s="5">
        <v>-0.28332547996182056</v>
      </c>
      <c r="G100" s="5">
        <v>-0.26561614451989107</v>
      </c>
      <c r="H100" s="5">
        <v>1.0344196265104315</v>
      </c>
      <c r="I100" s="5">
        <v>-3.3993932357371381</v>
      </c>
      <c r="K100" s="109"/>
      <c r="L100" s="109"/>
      <c r="M100" s="109"/>
      <c r="N100" s="109"/>
      <c r="O100" s="109"/>
    </row>
    <row r="101" spans="2:15" ht="14.1" customHeight="1">
      <c r="B101" s="265"/>
      <c r="C101" s="259" t="str">
        <f>IF(Indice_index!$Z$1=1,"agosto","August")</f>
        <v>agosto</v>
      </c>
      <c r="D101" s="5">
        <v>0.26411909370043218</v>
      </c>
      <c r="E101" s="5">
        <v>-3.032509530132351</v>
      </c>
      <c r="F101" s="5">
        <v>-0.32315047598377017</v>
      </c>
      <c r="G101" s="5">
        <v>-0.2423552424940838</v>
      </c>
      <c r="H101" s="5">
        <v>0.98736879558796553</v>
      </c>
      <c r="I101" s="5">
        <v>-3.4113955126699826</v>
      </c>
    </row>
    <row r="102" spans="2:15" ht="14.1" customHeight="1">
      <c r="B102" s="265"/>
      <c r="C102" s="259" t="str">
        <f>IF(Indice_index!$Z$1=1,"setembro","September")</f>
        <v>setembro</v>
      </c>
      <c r="D102" s="5">
        <v>0.25519168458016966</v>
      </c>
      <c r="E102" s="5">
        <v>-2.8822737300518582</v>
      </c>
      <c r="F102" s="5">
        <v>-0.26112022385179467</v>
      </c>
      <c r="G102" s="5">
        <v>-0.21472832701643321</v>
      </c>
      <c r="H102" s="5">
        <v>0.6578362521112866</v>
      </c>
      <c r="I102" s="5">
        <v>-3.3582285052894303</v>
      </c>
    </row>
    <row r="103" spans="2:15" ht="14.1" customHeight="1">
      <c r="B103" s="265"/>
      <c r="C103" s="259" t="str">
        <f>IF(Indice_index!$Z$1=1,"outubro","October")</f>
        <v>outubro</v>
      </c>
      <c r="D103" s="5">
        <v>0.26374744184356796</v>
      </c>
      <c r="E103" s="5">
        <v>-2.8337929449615076</v>
      </c>
      <c r="F103" s="5">
        <v>-0.34665911050286674</v>
      </c>
      <c r="G103" s="5">
        <v>-0.22501958703739117</v>
      </c>
      <c r="H103" s="5">
        <v>1.1966422575459985</v>
      </c>
      <c r="I103" s="5">
        <v>-3.3137824309350044</v>
      </c>
    </row>
    <row r="104" spans="2:15" ht="14.1" customHeight="1">
      <c r="B104" s="261"/>
      <c r="C104" s="259" t="str">
        <f>IF(Indice_index!$Z$1=1,"novembro","November")</f>
        <v>novembro</v>
      </c>
      <c r="D104" s="5">
        <v>0.28203793591807585</v>
      </c>
      <c r="E104" s="5">
        <v>-2.826346616011167</v>
      </c>
      <c r="F104" s="5">
        <v>-0.37037260085878265</v>
      </c>
      <c r="G104" s="5">
        <v>-0.2180070089099187</v>
      </c>
      <c r="H104" s="5">
        <v>1.0269345104044763</v>
      </c>
      <c r="I104" s="5">
        <v>-3.4625800216261737</v>
      </c>
    </row>
    <row r="105" spans="2:15" ht="14.1" customHeight="1">
      <c r="B105" s="261"/>
      <c r="C105" s="259" t="str">
        <f>IF(Indice_index!$Z$1=1,"dezembro","December")</f>
        <v>dezembro</v>
      </c>
      <c r="D105" s="5">
        <v>0.35438674632299544</v>
      </c>
      <c r="E105" s="5">
        <v>-2.8144429537946656</v>
      </c>
      <c r="F105" s="5">
        <v>-0.407296442021923</v>
      </c>
      <c r="G105" s="5">
        <v>-0.17945045610324259</v>
      </c>
      <c r="H105" s="5">
        <v>0.99973691133912934</v>
      </c>
      <c r="I105" s="5">
        <v>-3.5442363879733443</v>
      </c>
    </row>
    <row r="106" spans="2:15" ht="14.1" customHeight="1">
      <c r="B106" s="360" t="s">
        <v>16</v>
      </c>
      <c r="C106" s="360"/>
      <c r="D106" s="234"/>
      <c r="E106" s="257"/>
      <c r="F106" s="257"/>
      <c r="G106" s="257"/>
      <c r="I106" s="257"/>
      <c r="K106" s="108"/>
      <c r="L106" s="108"/>
      <c r="M106" s="108"/>
      <c r="N106" s="108"/>
      <c r="O106" s="108"/>
    </row>
    <row r="107" spans="2:15" ht="14.1" customHeight="1">
      <c r="B107" s="265"/>
      <c r="C107" s="259" t="str">
        <f>IF(Indice_index!$Z$1=1,"janeiro","January")</f>
        <v>janeiro</v>
      </c>
      <c r="D107" s="5">
        <v>0.45754735251965756</v>
      </c>
      <c r="E107" s="5">
        <v>-2.8359050745491619</v>
      </c>
      <c r="F107" s="5">
        <v>-0.46889859992536143</v>
      </c>
      <c r="G107" s="5">
        <v>-0.13110101718965692</v>
      </c>
      <c r="H107" s="5">
        <v>1.6511065006915748</v>
      </c>
      <c r="I107" s="5">
        <v>-3.6132175987724247</v>
      </c>
      <c r="K107" s="109"/>
      <c r="L107" s="109"/>
      <c r="M107" s="109"/>
      <c r="N107" s="109"/>
      <c r="O107" s="109"/>
    </row>
    <row r="108" spans="2:15" ht="14.1" customHeight="1">
      <c r="B108" s="265"/>
      <c r="C108" s="259" t="str">
        <f>IF(Indice_index!$Z$1=1,"fevereiro","February")</f>
        <v>fevereiro</v>
      </c>
      <c r="D108" s="5">
        <v>0.60177600263685982</v>
      </c>
      <c r="E108" s="5">
        <v>-2.8556917942392803</v>
      </c>
      <c r="F108" s="5">
        <v>-0.4489087600477229</v>
      </c>
      <c r="G108" s="5">
        <v>-3.5522058426063922E-2</v>
      </c>
      <c r="H108" s="5">
        <v>1.5953203935123637</v>
      </c>
      <c r="I108" s="5">
        <v>-3.6276100493983714</v>
      </c>
      <c r="K108" s="109"/>
      <c r="L108" s="109"/>
      <c r="M108" s="109"/>
      <c r="N108" s="109"/>
      <c r="O108" s="109"/>
    </row>
    <row r="109" spans="2:15" ht="14.1" customHeight="1">
      <c r="B109" s="265"/>
      <c r="C109" s="259" t="str">
        <f>IF(Indice_index!$Z$1=1,"março","March")</f>
        <v>março</v>
      </c>
      <c r="D109" s="5">
        <v>0.82022160799382104</v>
      </c>
      <c r="E109" s="5">
        <v>-2.7890244968104629</v>
      </c>
      <c r="F109" s="5">
        <v>-0.24768026290353762</v>
      </c>
      <c r="G109" s="5">
        <v>0.16286947528780832</v>
      </c>
      <c r="H109" s="5">
        <v>1.6654854712969485</v>
      </c>
      <c r="I109" s="5">
        <v>-3.6502333228559682</v>
      </c>
      <c r="K109" s="109"/>
      <c r="L109" s="109"/>
      <c r="M109" s="109"/>
      <c r="N109" s="109"/>
      <c r="O109" s="109"/>
    </row>
    <row r="110" spans="2:15" ht="14.1" customHeight="1">
      <c r="B110" s="265"/>
      <c r="C110" s="259" t="str">
        <f>IF(Indice_index!$Z$1=1,"abril","April")</f>
        <v>abril</v>
      </c>
      <c r="D110" s="5">
        <v>0.9306451808912708</v>
      </c>
      <c r="E110" s="5">
        <v>-2.6078557630392787</v>
      </c>
      <c r="F110" s="5">
        <v>-0.22157420320829788</v>
      </c>
      <c r="G110" s="5">
        <v>0.26030368763557482</v>
      </c>
      <c r="H110" s="5">
        <v>1.4822657490735798</v>
      </c>
      <c r="I110" s="5">
        <v>-3.7746599072397151</v>
      </c>
      <c r="K110" s="109"/>
      <c r="L110" s="109"/>
      <c r="M110" s="109"/>
      <c r="N110" s="109"/>
      <c r="O110" s="109"/>
    </row>
    <row r="111" spans="2:15" ht="14.1" customHeight="1">
      <c r="B111" s="265"/>
      <c r="C111" s="259" t="str">
        <f>IF(Indice_index!$Z$1=1,"maio","May")</f>
        <v>maio</v>
      </c>
      <c r="D111" s="5">
        <v>0.97617491966413161</v>
      </c>
      <c r="E111" s="5">
        <v>-2.7250872203817176</v>
      </c>
      <c r="F111" s="5">
        <v>-0.40473112563579033</v>
      </c>
      <c r="G111" s="5">
        <v>0.23083990090926135</v>
      </c>
      <c r="H111" s="5">
        <v>0.653421633554092</v>
      </c>
      <c r="I111" s="5">
        <v>-3.8458733261370601</v>
      </c>
      <c r="K111" s="109"/>
      <c r="L111" s="109"/>
      <c r="M111" s="109"/>
      <c r="N111" s="109"/>
      <c r="O111" s="109"/>
    </row>
    <row r="112" spans="2:15" ht="14.1" customHeight="1">
      <c r="B112" s="265"/>
      <c r="C112" s="259" t="str">
        <f>IF(Indice_index!$Z$1=1,"junho","June")</f>
        <v>junho</v>
      </c>
      <c r="D112" s="5">
        <v>1.0089465753324938</v>
      </c>
      <c r="E112" s="5">
        <v>-2.811917242999574</v>
      </c>
      <c r="F112" s="5">
        <v>3.8819875776397512E-2</v>
      </c>
      <c r="G112" s="5">
        <v>0.35763006138773484</v>
      </c>
      <c r="H112" s="5">
        <v>1.6339869281045754</v>
      </c>
      <c r="I112" s="5">
        <v>-3.8604954017914848</v>
      </c>
      <c r="K112" s="109"/>
      <c r="L112" s="109"/>
      <c r="M112" s="109"/>
      <c r="N112" s="109"/>
      <c r="O112" s="109"/>
    </row>
    <row r="113" spans="2:15" ht="14.1" customHeight="1">
      <c r="B113" s="265"/>
      <c r="C113" s="259" t="str">
        <f>IF(Indice_index!$Z$1=1,"julho","July")</f>
        <v>julho</v>
      </c>
      <c r="D113" s="5">
        <v>0.87046476471044265</v>
      </c>
      <c r="E113" s="5">
        <v>-2.9544986617253448</v>
      </c>
      <c r="F113" s="5">
        <v>-0.11328870444976222</v>
      </c>
      <c r="G113" s="5">
        <v>0.21631045892810968</v>
      </c>
      <c r="H113" s="5">
        <v>1.9751744133369533</v>
      </c>
      <c r="I113" s="5">
        <v>-3.8019891168918276</v>
      </c>
      <c r="K113" s="109"/>
      <c r="L113" s="109"/>
      <c r="M113" s="109"/>
      <c r="N113" s="109"/>
      <c r="O113" s="109"/>
    </row>
    <row r="114" spans="2:15" ht="14.1" customHeight="1">
      <c r="B114" s="265"/>
      <c r="C114" s="259" t="str">
        <f>IF(Indice_index!$Z$1=1,"agosto","August")</f>
        <v>agosto</v>
      </c>
      <c r="D114" s="5">
        <v>0.73390855896062679</v>
      </c>
      <c r="E114" s="5">
        <v>-3.1258742288381409</v>
      </c>
      <c r="F114" s="5">
        <v>-0.26189885744355262</v>
      </c>
      <c r="G114" s="5">
        <v>7.3919316602000157E-2</v>
      </c>
      <c r="H114" s="5">
        <v>1.8056901259578966</v>
      </c>
      <c r="I114" s="5">
        <v>-3.8096290566176743</v>
      </c>
    </row>
    <row r="115" spans="2:15" ht="14.1" customHeight="1">
      <c r="B115" s="265"/>
      <c r="C115" s="259" t="str">
        <f>IF(Indice_index!$Z$1=1,"setembro","September")</f>
        <v>setembro</v>
      </c>
      <c r="D115" s="5">
        <v>0.73751945929743479</v>
      </c>
      <c r="E115" s="5">
        <v>-3.2067734607782401</v>
      </c>
      <c r="F115" s="5">
        <v>-0.2491066623939634</v>
      </c>
      <c r="G115" s="5">
        <v>7.1884724727881544E-2</v>
      </c>
      <c r="H115" s="5">
        <v>2.0047690541376002</v>
      </c>
      <c r="I115" s="5">
        <v>-3.8470353111068945</v>
      </c>
    </row>
    <row r="116" spans="2:15" ht="14.1" customHeight="1">
      <c r="B116" s="265"/>
      <c r="C116" s="259" t="str">
        <f>IF(Indice_index!$Z$1=1,"outubro","October")</f>
        <v>outubro</v>
      </c>
      <c r="D116" s="5">
        <v>0.7500289866275025</v>
      </c>
      <c r="E116" s="5">
        <v>-3.2933733425965617</v>
      </c>
      <c r="F116" s="5">
        <v>-0.17544496472951226</v>
      </c>
      <c r="G116" s="5">
        <v>9.0736386836886271E-2</v>
      </c>
      <c r="H116" s="5">
        <v>1.941404871161313</v>
      </c>
      <c r="I116" s="5">
        <v>-3.8830706911030974</v>
      </c>
    </row>
    <row r="117" spans="2:15" ht="14.1" customHeight="1">
      <c r="B117" s="261"/>
      <c r="C117" s="259" t="str">
        <f>IF(Indice_index!$Z$1=1,"novembro","November")</f>
        <v>novembro</v>
      </c>
      <c r="D117" s="5">
        <v>0.72978779904883762</v>
      </c>
      <c r="E117" s="5">
        <v>-3.3306182895223988</v>
      </c>
      <c r="F117" s="5">
        <v>-0.13963272362392254</v>
      </c>
      <c r="G117" s="5">
        <v>8.3901302401616834E-2</v>
      </c>
      <c r="H117" s="5">
        <v>1.761034329023629</v>
      </c>
      <c r="I117" s="5">
        <v>-3.9483270472669236</v>
      </c>
    </row>
    <row r="118" spans="2:15" ht="14.1" customHeight="1">
      <c r="B118" s="261"/>
      <c r="C118" s="259" t="str">
        <f>IF(Indice_index!$Z$1=1,"dezembro","December")</f>
        <v>dezembro</v>
      </c>
      <c r="D118" s="5">
        <v>0.78538830408228255</v>
      </c>
      <c r="E118" s="5">
        <v>-3.3546088763544604</v>
      </c>
      <c r="F118" s="5">
        <v>-7.3697754634803464E-2</v>
      </c>
      <c r="G118" s="5">
        <v>0.13498423896843625</v>
      </c>
      <c r="H118" s="5">
        <v>1.9796822089085657</v>
      </c>
      <c r="I118" s="5">
        <v>-3.9500222582000948</v>
      </c>
    </row>
    <row r="119" spans="2:15" ht="14.1" customHeight="1">
      <c r="B119" s="360">
        <v>2023</v>
      </c>
      <c r="C119" s="360"/>
      <c r="D119" s="234"/>
      <c r="E119" s="257"/>
      <c r="F119" s="257"/>
      <c r="G119" s="257"/>
      <c r="I119" s="257"/>
      <c r="K119" s="108"/>
      <c r="L119" s="108"/>
      <c r="M119" s="108"/>
      <c r="N119" s="108"/>
      <c r="O119" s="108"/>
    </row>
    <row r="120" spans="2:15" ht="14.1" customHeight="1">
      <c r="B120" s="265"/>
      <c r="C120" s="259" t="str">
        <f>IF(Indice_index!$Z$1=1,"janeiro","January")</f>
        <v>janeiro</v>
      </c>
      <c r="D120" s="5">
        <v>0.80224213301458935</v>
      </c>
      <c r="E120" s="5">
        <v>-3.3696493421444305</v>
      </c>
      <c r="F120" s="5">
        <v>-1.0885670224668138E-2</v>
      </c>
      <c r="G120" s="5">
        <v>0.1616975930687794</v>
      </c>
      <c r="H120" s="5">
        <v>5.3320860617399282</v>
      </c>
      <c r="I120" s="5">
        <v>-3.8948886604317843</v>
      </c>
      <c r="K120" s="109"/>
      <c r="L120" s="109"/>
      <c r="M120" s="109"/>
      <c r="N120" s="109"/>
      <c r="O120" s="109"/>
    </row>
    <row r="121" spans="2:15" ht="14.1" customHeight="1">
      <c r="B121" s="265"/>
      <c r="C121" s="259" t="str">
        <f>IF(Indice_index!$Z$1=1,"fevereiro","February")</f>
        <v>fevereiro</v>
      </c>
      <c r="D121" s="5">
        <v>0.76922150351124441</v>
      </c>
      <c r="E121" s="5">
        <v>-3.354892676296175</v>
      </c>
      <c r="F121" s="5">
        <v>-4.6001222664076073E-2</v>
      </c>
      <c r="G121" s="5">
        <v>0.13456829224957706</v>
      </c>
      <c r="H121" s="5">
        <v>5.3563639535898186</v>
      </c>
      <c r="I121" s="5">
        <v>-3.9402717739353186</v>
      </c>
      <c r="K121" s="109"/>
      <c r="L121" s="109"/>
      <c r="M121" s="109"/>
      <c r="N121" s="109"/>
      <c r="O121" s="109"/>
    </row>
    <row r="122" spans="2:15" ht="14.1" customHeight="1">
      <c r="B122" s="265"/>
      <c r="C122" s="259" t="str">
        <f>IF(Indice_index!$Z$1=1,"março","March")</f>
        <v>março</v>
      </c>
      <c r="D122" s="5">
        <v>0.77018513834182534</v>
      </c>
      <c r="E122" s="5">
        <v>-3.3904145504666876</v>
      </c>
      <c r="F122" s="5">
        <v>-9.0234124244516309E-2</v>
      </c>
      <c r="G122" s="5">
        <v>0.12133521286987918</v>
      </c>
      <c r="H122" s="5">
        <v>5.4984315092366804</v>
      </c>
      <c r="I122" s="5">
        <v>-3.9666945216101666</v>
      </c>
      <c r="K122" s="109"/>
      <c r="L122" s="109"/>
      <c r="M122" s="109"/>
      <c r="N122" s="109"/>
      <c r="O122" s="109"/>
    </row>
    <row r="123" spans="2:15" ht="14.1" customHeight="1">
      <c r="B123" s="265"/>
      <c r="C123" s="259" t="str">
        <f>IF(Indice_index!$Z$1=1,"abril","April")</f>
        <v>abril</v>
      </c>
      <c r="D123" s="5">
        <v>0.79612005856515378</v>
      </c>
      <c r="E123" s="5">
        <v>-3.4635612321562737</v>
      </c>
      <c r="F123" s="5">
        <v>-0.23114252175281064</v>
      </c>
      <c r="G123" s="5">
        <v>9.5660505656178521E-2</v>
      </c>
      <c r="H123" s="5">
        <v>5.4946965745087848</v>
      </c>
      <c r="I123" s="5">
        <v>-3.9063523578202632</v>
      </c>
      <c r="K123" s="109"/>
      <c r="L123" s="109"/>
      <c r="M123" s="109"/>
      <c r="N123" s="109"/>
      <c r="O123" s="109"/>
    </row>
    <row r="124" spans="2:15" ht="14.1" customHeight="1">
      <c r="B124" s="265"/>
      <c r="C124" s="259" t="str">
        <f>IF(Indice_index!$Z$1=1,"maio","May")</f>
        <v>maio</v>
      </c>
      <c r="D124" s="5">
        <v>0.82481815032906125</v>
      </c>
      <c r="E124" s="5">
        <v>-3.4569538419807406</v>
      </c>
      <c r="F124" s="5">
        <v>-0.33783783783783783</v>
      </c>
      <c r="G124" s="5">
        <v>8.9341055615579965E-2</v>
      </c>
      <c r="H124" s="5">
        <v>7.0795683831914911</v>
      </c>
      <c r="I124" s="5">
        <v>-3.859875349237051</v>
      </c>
      <c r="K124" s="109"/>
      <c r="L124" s="109"/>
      <c r="M124" s="109"/>
      <c r="N124" s="109"/>
      <c r="O124" s="109"/>
    </row>
    <row r="125" spans="2:15" ht="14.1" customHeight="1">
      <c r="B125" s="265"/>
      <c r="C125" s="259" t="str">
        <f>IF(Indice_index!$Z$1=1,"junho","June")</f>
        <v>junho</v>
      </c>
      <c r="D125" s="5">
        <v>0.76969089847719385</v>
      </c>
      <c r="E125" s="5">
        <v>-3.4658850546926931</v>
      </c>
      <c r="F125" s="5">
        <v>-3.6985836243694219E-2</v>
      </c>
      <c r="G125" s="5">
        <v>0.13114257777805238</v>
      </c>
      <c r="H125" s="5">
        <v>5.7182584513774186</v>
      </c>
      <c r="I125" s="5">
        <v>-3.8757448233351344</v>
      </c>
      <c r="K125" s="109"/>
      <c r="L125" s="109"/>
      <c r="M125" s="109"/>
      <c r="N125" s="109"/>
      <c r="O125" s="109"/>
    </row>
    <row r="126" spans="2:15" ht="14.1" customHeight="1">
      <c r="B126" s="265"/>
      <c r="C126" s="259" t="str">
        <f>IF(Indice_index!$Z$1=1,"julho","July")</f>
        <v>julho</v>
      </c>
      <c r="D126" s="5">
        <v>0.9179534106220324</v>
      </c>
      <c r="E126" s="5">
        <v>-3.4445134795193137</v>
      </c>
      <c r="F126" s="5">
        <v>5.8224869297298615E-2</v>
      </c>
      <c r="G126" s="5">
        <v>0.25416082122528694</v>
      </c>
      <c r="H126" s="5">
        <v>6.7969791203909375</v>
      </c>
      <c r="I126" s="5">
        <v>-3.8700631821084963</v>
      </c>
      <c r="K126" s="109"/>
      <c r="L126" s="109"/>
      <c r="M126" s="109"/>
      <c r="N126" s="109"/>
      <c r="O126" s="109"/>
    </row>
    <row r="127" spans="2:15" ht="14.1" customHeight="1">
      <c r="B127" s="265"/>
      <c r="C127" s="259" t="str">
        <f>IF(Indice_index!$Z$1=1,"agosto","August")</f>
        <v>agosto</v>
      </c>
      <c r="D127" s="5">
        <v>1.0594639765438709</v>
      </c>
      <c r="E127" s="5">
        <v>-3.3042526674164816</v>
      </c>
      <c r="F127" s="5">
        <v>0.298366262780628</v>
      </c>
      <c r="G127" s="5">
        <v>0.42186333791253366</v>
      </c>
      <c r="H127" s="5">
        <v>8.7904481744246539</v>
      </c>
      <c r="I127" s="5">
        <v>-3.5239422811801111</v>
      </c>
    </row>
    <row r="128" spans="2:15" ht="14.1" customHeight="1">
      <c r="B128" s="265"/>
      <c r="C128" s="259" t="str">
        <f>IF(Indice_index!$Z$1=1,"setembro","September")</f>
        <v>setembro</v>
      </c>
      <c r="D128" s="5">
        <v>1.1650089385340803</v>
      </c>
      <c r="E128" s="5">
        <v>-3.2703444071929288</v>
      </c>
      <c r="F128" s="5">
        <v>0.4346007673703926</v>
      </c>
      <c r="G128" s="5">
        <v>0.52924765268006935</v>
      </c>
      <c r="H128" s="5">
        <v>9.0909090909090917</v>
      </c>
      <c r="I128" s="5">
        <v>-2.1113224085170508</v>
      </c>
    </row>
    <row r="129" spans="2:15" ht="14.1" customHeight="1">
      <c r="B129" s="265"/>
      <c r="C129" s="259" t="str">
        <f>IF(Indice_index!$Z$1=1,"outubro","October")</f>
        <v>outubro</v>
      </c>
      <c r="D129" s="5">
        <v>1.2114920316766924</v>
      </c>
      <c r="E129" s="5">
        <v>-3.2358650627455172</v>
      </c>
      <c r="F129" s="5">
        <v>0.61453055683498581</v>
      </c>
      <c r="G129" s="5">
        <v>0.61002353609794968</v>
      </c>
      <c r="H129" s="5">
        <v>9.4442520775623198</v>
      </c>
      <c r="I129" s="5">
        <v>-1.5153968119360948</v>
      </c>
    </row>
    <row r="130" spans="2:15" ht="14.1" customHeight="1">
      <c r="B130" s="261"/>
      <c r="C130" s="259" t="str">
        <f>IF(Indice_index!$Z$1=1,"novembro","November")</f>
        <v>novembro</v>
      </c>
      <c r="D130" s="5">
        <v>1.3327645337481095</v>
      </c>
      <c r="E130" s="5">
        <v>-3.2109810650162385</v>
      </c>
      <c r="F130" s="5">
        <v>0.68098036960587882</v>
      </c>
      <c r="G130" s="5">
        <v>0.70862640721780001</v>
      </c>
      <c r="H130" s="5">
        <v>8.7929901423877244</v>
      </c>
      <c r="I130" s="5">
        <v>-1.4909508391274622</v>
      </c>
    </row>
    <row r="131" spans="2:15" ht="14.1" customHeight="1">
      <c r="B131" s="265"/>
      <c r="C131" s="259" t="str">
        <f>IF(Indice_index!$Z$1=1,"dezembro","December")</f>
        <v>dezembro</v>
      </c>
      <c r="D131" s="5">
        <v>1.6047273040581294</v>
      </c>
      <c r="E131" s="5">
        <v>-3.1746275533712174</v>
      </c>
      <c r="F131" s="5">
        <v>0.80825056372000792</v>
      </c>
      <c r="G131" s="5">
        <v>0.92156018983368726</v>
      </c>
      <c r="H131" s="5">
        <v>8.7015751383567519</v>
      </c>
      <c r="I131" s="5">
        <v>-1.593926714584585</v>
      </c>
    </row>
    <row r="132" spans="2:15" ht="14.1" customHeight="1">
      <c r="B132" s="360">
        <v>2024</v>
      </c>
      <c r="C132" s="360"/>
      <c r="D132" s="234"/>
      <c r="E132" s="257"/>
      <c r="F132" s="257"/>
      <c r="G132" s="257"/>
      <c r="I132" s="257"/>
      <c r="K132" s="108"/>
      <c r="L132" s="108"/>
      <c r="M132" s="108"/>
      <c r="N132" s="108"/>
      <c r="O132" s="108"/>
    </row>
    <row r="133" spans="2:15" ht="15">
      <c r="B133" s="262"/>
      <c r="C133" s="259" t="str">
        <f>IF(Indice_index!$Z$1=1,"janeiro","January")</f>
        <v>janeiro</v>
      </c>
      <c r="D133" s="5">
        <v>1.7298961727601121</v>
      </c>
      <c r="E133" s="5">
        <v>-3.1113301706610805</v>
      </c>
      <c r="F133" s="5">
        <v>0.94171298620393495</v>
      </c>
      <c r="G133" s="5">
        <v>1.0443264379725914</v>
      </c>
      <c r="H133" s="5">
        <v>10.293880187308252</v>
      </c>
      <c r="I133" s="5">
        <v>-2.2845822504134783</v>
      </c>
      <c r="K133" s="109"/>
      <c r="L133" s="109"/>
      <c r="M133" s="109"/>
      <c r="N133" s="109"/>
      <c r="O133" s="109"/>
    </row>
    <row r="134" spans="2:15" ht="13.5" customHeight="1">
      <c r="B134" s="262"/>
      <c r="C134" s="259" t="str">
        <f>IF(Indice_index!$Z$1=1,"fevereiro","February")</f>
        <v>fevereiro</v>
      </c>
      <c r="D134" s="5">
        <v>1.7466434609646944</v>
      </c>
      <c r="E134" s="5">
        <v>-2.992225777035904</v>
      </c>
      <c r="F134" s="5">
        <v>0.93922016265282759</v>
      </c>
      <c r="G134" s="5">
        <v>1.0678479184602994</v>
      </c>
      <c r="H134" s="5">
        <v>9.9279622422786993</v>
      </c>
      <c r="I134" s="5">
        <v>-1.8726903875851904</v>
      </c>
      <c r="K134" s="109"/>
      <c r="L134" s="109"/>
      <c r="M134" s="109"/>
      <c r="N134" s="109"/>
      <c r="O134" s="109"/>
    </row>
    <row r="135" spans="2:15" ht="13.5" customHeight="1">
      <c r="B135" s="262"/>
      <c r="C135" s="259" t="str">
        <f>IF(Indice_index!$Z$1=1,"março","March")</f>
        <v>março</v>
      </c>
      <c r="D135" s="5">
        <v>1.7592973329635757</v>
      </c>
      <c r="E135" s="5">
        <v>-3.1108492029030455</v>
      </c>
      <c r="F135" s="5">
        <v>0.94255562896646206</v>
      </c>
      <c r="G135" s="5">
        <v>1.0664558867346041</v>
      </c>
      <c r="H135" s="5">
        <v>9.8042454778227519</v>
      </c>
      <c r="I135" s="5">
        <v>-1.7476468958885352</v>
      </c>
      <c r="K135" s="109"/>
      <c r="L135" s="109"/>
      <c r="M135" s="109"/>
      <c r="N135" s="109"/>
      <c r="O135" s="109"/>
    </row>
    <row r="136" spans="2:15" ht="13.5" customHeight="1">
      <c r="B136" s="262"/>
      <c r="C136" s="259" t="str">
        <f>IF(Indice_index!$Z$1=1,"abril","April")</f>
        <v>abril</v>
      </c>
      <c r="D136" s="5">
        <v>1.7901426284731348</v>
      </c>
      <c r="E136" s="5">
        <v>-2.9652113004903105</v>
      </c>
      <c r="F136" s="5">
        <v>1.2311685791222919</v>
      </c>
      <c r="G136" s="5">
        <v>1.1761636192120106</v>
      </c>
      <c r="H136" s="5">
        <v>10.466457886929287</v>
      </c>
      <c r="I136" s="5">
        <v>-1.9436898906100872</v>
      </c>
      <c r="K136" s="109"/>
      <c r="L136" s="109"/>
      <c r="M136" s="109"/>
      <c r="N136" s="109"/>
      <c r="O136" s="109"/>
    </row>
    <row r="137" spans="2:15" ht="13.5" customHeight="1">
      <c r="B137" s="262"/>
      <c r="C137" s="259" t="str">
        <f>IF(Indice_index!$Z$1=1,"maio","May")</f>
        <v>maio</v>
      </c>
      <c r="D137" s="5">
        <v>1.8</v>
      </c>
      <c r="E137" s="5">
        <v>-2.9</v>
      </c>
      <c r="F137" s="5">
        <v>1.7</v>
      </c>
      <c r="G137" s="5">
        <v>1.3</v>
      </c>
      <c r="H137" s="5">
        <v>9.1999999999999993</v>
      </c>
      <c r="I137" s="5">
        <v>-2.9</v>
      </c>
      <c r="K137" s="109"/>
      <c r="L137" s="109"/>
      <c r="M137" s="109"/>
      <c r="N137" s="109"/>
      <c r="O137" s="109"/>
    </row>
    <row r="138" spans="2:15" ht="13.5" customHeight="1">
      <c r="B138" s="262"/>
      <c r="C138" s="259" t="str">
        <f>IF(Indice_index!$Z$1=1,"junho","June")</f>
        <v>junho</v>
      </c>
      <c r="D138" s="5">
        <v>1.7626795399010668</v>
      </c>
      <c r="E138" s="5">
        <v>-2.9971515322252484</v>
      </c>
      <c r="F138" s="5">
        <v>1.3877853057312863</v>
      </c>
      <c r="G138" s="5">
        <v>1.1981747388296855</v>
      </c>
      <c r="H138" s="5">
        <v>9.4451294697903894</v>
      </c>
      <c r="I138" s="5">
        <v>-1.940930274289997</v>
      </c>
      <c r="K138" s="109"/>
      <c r="L138" s="109"/>
      <c r="M138" s="109"/>
      <c r="N138" s="109"/>
      <c r="O138" s="109"/>
    </row>
    <row r="139" spans="2:15" ht="13.5" customHeight="1">
      <c r="B139" s="262"/>
      <c r="C139" s="259" t="str">
        <f>IF(Indice_index!$Z$1=1,"julho","July")</f>
        <v>julho</v>
      </c>
      <c r="D139" s="5">
        <v>1.7747029270579722</v>
      </c>
      <c r="E139" s="5">
        <v>-3.0133718375290353</v>
      </c>
      <c r="F139" s="5">
        <v>1.3408173409143258</v>
      </c>
      <c r="G139" s="5">
        <v>1.1942244476191797</v>
      </c>
      <c r="H139" s="5">
        <v>8.0657237936772077</v>
      </c>
      <c r="I139" s="5">
        <v>-2.0938001281162149</v>
      </c>
      <c r="K139" s="109"/>
      <c r="L139" s="109"/>
      <c r="M139" s="109"/>
      <c r="N139" s="109"/>
      <c r="O139" s="109"/>
    </row>
    <row r="140" spans="2:15" ht="13.5" customHeight="1">
      <c r="B140" s="262"/>
      <c r="C140" s="259" t="str">
        <f>IF(Indice_index!$Z$1=1,"agosto","August")</f>
        <v>agosto</v>
      </c>
      <c r="D140" s="5">
        <v>1.8130018130018128</v>
      </c>
      <c r="E140" s="5">
        <v>-3.0870795347375037</v>
      </c>
      <c r="F140" s="5">
        <v>1.3199105145413872</v>
      </c>
      <c r="G140" s="5">
        <v>1.2078004613308424</v>
      </c>
      <c r="H140" s="5">
        <v>6.2668999522824844</v>
      </c>
      <c r="I140" s="5">
        <v>-2.7013223459799041</v>
      </c>
      <c r="K140" s="109"/>
      <c r="L140" s="109"/>
      <c r="M140" s="109"/>
      <c r="N140" s="109"/>
      <c r="O140" s="109"/>
    </row>
    <row r="141" spans="2:15" ht="13.5" customHeight="1">
      <c r="B141" s="262"/>
      <c r="C141" s="259" t="str">
        <f>IF(Indice_index!$Z$1=1,"setembro","September")</f>
        <v>setembro</v>
      </c>
      <c r="D141" s="5">
        <v>1.9151308142982517</v>
      </c>
      <c r="E141" s="5">
        <v>-3.0910293978636925</v>
      </c>
      <c r="F141" s="5">
        <v>1.155127462340672</v>
      </c>
      <c r="G141" s="5">
        <v>1.2333271866740425</v>
      </c>
      <c r="H141" s="5">
        <v>5.8412698412698338</v>
      </c>
      <c r="I141" s="5">
        <v>-4.2597867750246117</v>
      </c>
      <c r="K141" s="109"/>
      <c r="L141" s="109"/>
      <c r="M141" s="109"/>
      <c r="N141" s="109"/>
      <c r="O141" s="109"/>
    </row>
    <row r="142" spans="2:15" ht="4.3499999999999996" customHeight="1">
      <c r="B142" s="263"/>
      <c r="C142" s="269"/>
      <c r="D142" s="264"/>
      <c r="E142" s="264"/>
      <c r="F142" s="264"/>
      <c r="G142" s="264"/>
      <c r="H142" s="264"/>
      <c r="I142" s="264"/>
      <c r="K142" s="109"/>
      <c r="L142" s="109"/>
      <c r="M142" s="109"/>
      <c r="N142" s="109"/>
      <c r="O142" s="109"/>
    </row>
    <row r="143" spans="2:15" ht="14.1" customHeight="1">
      <c r="B143" s="35"/>
      <c r="C143" s="35"/>
      <c r="D143" s="35"/>
      <c r="E143" s="35"/>
      <c r="F143" s="35"/>
      <c r="G143" s="35"/>
      <c r="H143" s="35"/>
      <c r="I143" s="35"/>
    </row>
    <row r="144" spans="2:15" ht="16.350000000000001" customHeight="1">
      <c r="B144" s="347" t="str">
        <f>IF(Indice_index!$Z$1=1,"Fluxos de Pensionistas de Aposentação/Reforma","Retirement Pensioners - New and extinct")</f>
        <v>Fluxos de Pensionistas de Aposentação/Reforma</v>
      </c>
      <c r="C144" s="348"/>
      <c r="D144" s="348"/>
      <c r="E144" s="348"/>
      <c r="F144" s="348"/>
      <c r="G144" s="348"/>
      <c r="H144" s="348"/>
      <c r="I144" s="348"/>
      <c r="J144" s="348"/>
      <c r="K144" s="348"/>
      <c r="L144" s="348"/>
      <c r="M144" s="348"/>
      <c r="N144" s="348"/>
      <c r="O144" s="348"/>
    </row>
    <row r="145" spans="2:15" ht="16.350000000000001" customHeight="1">
      <c r="B145" s="437"/>
      <c r="C145" s="437"/>
      <c r="D145" s="437" t="str">
        <f>IF(Indice_index!$Z$1=1,"Número","Number")</f>
        <v>Número</v>
      </c>
      <c r="E145" s="437"/>
      <c r="F145" s="437"/>
      <c r="G145" s="437"/>
      <c r="H145" s="437"/>
      <c r="I145" s="399" t="str">
        <f>IF(Indice_index!$Z$1=1,"Despesa com pensões (€)","Expense with Pensions")</f>
        <v>Despesa com pensões (€)</v>
      </c>
      <c r="J145" s="400"/>
      <c r="K145" s="400"/>
      <c r="L145" s="400"/>
      <c r="M145" s="401"/>
      <c r="N145" s="437" t="str">
        <f>IF(Indice_index!$Z$1=1,"Pensão média nova Aposentação/Reforma (€)"," Average Value paid per new Retirment Pensioner")</f>
        <v>Pensão média nova Aposentação/Reforma (€)</v>
      </c>
      <c r="O145" s="437" t="str">
        <f>IF(Indice_index!$Z$1=1,"Pensão média nova Sobrevivência e Outras (€)"," Average Value paid per new Survival and Others Pensioner")</f>
        <v>Pensão média nova Sobrevivência e Outras (€)</v>
      </c>
    </row>
    <row r="146" spans="2:15" ht="16.350000000000001" customHeight="1">
      <c r="B146" s="437"/>
      <c r="C146" s="437"/>
      <c r="D146" s="437" t="str">
        <f>IF(Indice_index!$Z$1=1,"Novos","New")</f>
        <v>Novos</v>
      </c>
      <c r="E146" s="437"/>
      <c r="F146" s="437"/>
      <c r="G146" s="437"/>
      <c r="H146" s="437" t="str">
        <f>IF(Indice_index!$Z$1=1,"Abonos abatidos de Aposentação/Reforma","Allowances deducted from Retirement/Pension")</f>
        <v>Abonos abatidos de Aposentação/Reforma</v>
      </c>
      <c r="I146" s="399" t="str">
        <f>IF(Indice_index!$Z$1=1,"Novos","New")</f>
        <v>Novos</v>
      </c>
      <c r="J146" s="400"/>
      <c r="K146" s="400"/>
      <c r="L146" s="401"/>
      <c r="M146" s="437" t="str">
        <f>IF(Indice_index!$Z$1=1,"Abonos abatidos de Aposentação /Reforma","Allowances deducted from Retirement / Pension")</f>
        <v>Abonos abatidos de Aposentação /Reforma</v>
      </c>
      <c r="N146" s="437"/>
      <c r="O146" s="437"/>
    </row>
    <row r="147" spans="2:15" ht="36" customHeight="1">
      <c r="B147" s="437"/>
      <c r="C147" s="437"/>
      <c r="D147" s="222" t="str">
        <f>IF(Indice_index!$Z$1=1,"Velhice e Outros Motivos","Old age and other Reasons")</f>
        <v>Velhice e Outros Motivos</v>
      </c>
      <c r="E147" s="222" t="str">
        <f>IF(Indice_index!$Z$1=1,"Invalidez","Disability")</f>
        <v>Invalidez</v>
      </c>
      <c r="F147" s="222" t="str">
        <f>IF(Indice_index!$Z$1=1,"Sobrevivência e Outros","Survival and Others")</f>
        <v>Sobrevivência e Outros</v>
      </c>
      <c r="G147" s="222" t="str">
        <f>IF(Indice_index!$Z$1=1,"Total de Pensionistas","Total of Pensioners")</f>
        <v>Total de Pensionistas</v>
      </c>
      <c r="H147" s="437"/>
      <c r="I147" s="222" t="str">
        <f>IF(Indice_index!$Z$1=1,"Velhice e Outros Motivos","Old age and other Reasons")</f>
        <v>Velhice e Outros Motivos</v>
      </c>
      <c r="J147" s="222" t="str">
        <f>IF(Indice_index!$Z$1=1,"Invalidez","Disability")</f>
        <v>Invalidez</v>
      </c>
      <c r="K147" s="222" t="str">
        <f>IF(Indice_index!$Z$1=1,"Sobrevivência e Outros","Survival and Others")</f>
        <v>Sobrevivência e Outros</v>
      </c>
      <c r="L147" s="222" t="str">
        <f>IF(Indice_index!$Z$1=1,"Total","Total")</f>
        <v>Total</v>
      </c>
      <c r="M147" s="437"/>
      <c r="N147" s="437"/>
      <c r="O147" s="437"/>
    </row>
    <row r="148" spans="2:15" ht="14.1" customHeight="1">
      <c r="B148" s="360">
        <v>2020</v>
      </c>
      <c r="C148" s="360"/>
      <c r="D148" s="234"/>
      <c r="E148" s="257"/>
      <c r="F148" s="257"/>
      <c r="G148" s="257"/>
      <c r="I148" s="5"/>
      <c r="J148" s="257"/>
      <c r="L148" s="108"/>
      <c r="M148" s="108"/>
      <c r="N148" s="108"/>
      <c r="O148" s="108"/>
    </row>
    <row r="149" spans="2:15" ht="14.1" customHeight="1">
      <c r="B149" s="266"/>
      <c r="C149" s="259" t="str">
        <f>IF(Indice_index!$Z$1=1,"janeiro","January")</f>
        <v>janeiro</v>
      </c>
      <c r="D149" s="260">
        <v>1301</v>
      </c>
      <c r="E149" s="260">
        <v>101</v>
      </c>
      <c r="F149" s="260">
        <v>1606</v>
      </c>
      <c r="G149" s="260">
        <v>3008</v>
      </c>
      <c r="H149" s="260">
        <v>1254</v>
      </c>
      <c r="I149" s="5">
        <v>1406215.8599999999</v>
      </c>
      <c r="J149" s="5">
        <v>120721.40999999999</v>
      </c>
      <c r="K149" s="5">
        <v>1121634.8500000001</v>
      </c>
      <c r="L149" s="5">
        <v>2648572.12</v>
      </c>
      <c r="M149" s="5">
        <v>1181130.18</v>
      </c>
      <c r="N149" s="5">
        <v>1089.0999999999999</v>
      </c>
      <c r="O149" s="5">
        <v>698.4</v>
      </c>
    </row>
    <row r="150" spans="2:15" ht="14.1" customHeight="1">
      <c r="B150" s="266"/>
      <c r="C150" s="259" t="str">
        <f>IF(Indice_index!$Z$1=1,"fevereiro","February")</f>
        <v>fevereiro</v>
      </c>
      <c r="D150" s="260">
        <v>1156</v>
      </c>
      <c r="E150" s="260">
        <v>86</v>
      </c>
      <c r="F150" s="260">
        <v>784</v>
      </c>
      <c r="G150" s="260">
        <v>2026</v>
      </c>
      <c r="H150" s="260">
        <v>1433</v>
      </c>
      <c r="I150" s="5">
        <v>1256302.7600000002</v>
      </c>
      <c r="J150" s="5">
        <v>93955.06</v>
      </c>
      <c r="K150" s="5">
        <v>340075.64</v>
      </c>
      <c r="L150" s="5">
        <v>1690333.4600000004</v>
      </c>
      <c r="M150" s="5">
        <v>1470168.61</v>
      </c>
      <c r="N150" s="5">
        <v>1087.2</v>
      </c>
      <c r="O150" s="5">
        <v>433.8</v>
      </c>
    </row>
    <row r="151" spans="2:15" ht="14.1" customHeight="1">
      <c r="B151" s="266"/>
      <c r="C151" s="259" t="str">
        <f>IF(Indice_index!$Z$1=1,"março","March")</f>
        <v>março</v>
      </c>
      <c r="D151" s="260">
        <v>1124</v>
      </c>
      <c r="E151" s="260">
        <v>296</v>
      </c>
      <c r="F151" s="260">
        <v>885</v>
      </c>
      <c r="G151" s="260">
        <v>2305</v>
      </c>
      <c r="H151" s="260">
        <v>1405</v>
      </c>
      <c r="I151" s="5">
        <v>1455949.83</v>
      </c>
      <c r="J151" s="5">
        <v>284777.40000000002</v>
      </c>
      <c r="K151" s="5">
        <v>458761.12</v>
      </c>
      <c r="L151" s="5">
        <v>2199488.35</v>
      </c>
      <c r="M151" s="5">
        <v>1464110.3</v>
      </c>
      <c r="N151" s="5">
        <v>1225.9000000000001</v>
      </c>
      <c r="O151" s="5">
        <v>518.4</v>
      </c>
    </row>
    <row r="152" spans="2:15" ht="14.1" customHeight="1">
      <c r="B152" s="266"/>
      <c r="C152" s="259" t="str">
        <f>IF(Indice_index!$Z$1=1,"abril","April")</f>
        <v>abril</v>
      </c>
      <c r="D152" s="260">
        <v>1369</v>
      </c>
      <c r="E152" s="260">
        <v>110</v>
      </c>
      <c r="F152" s="260">
        <v>958</v>
      </c>
      <c r="G152" s="260">
        <v>2437</v>
      </c>
      <c r="H152" s="260">
        <v>1330</v>
      </c>
      <c r="I152" s="5">
        <v>1733658.78</v>
      </c>
      <c r="J152" s="5">
        <v>136607.13</v>
      </c>
      <c r="K152" s="5">
        <v>469100.58</v>
      </c>
      <c r="L152" s="5">
        <v>2339366.4900000002</v>
      </c>
      <c r="M152" s="5">
        <v>1389223.38</v>
      </c>
      <c r="N152" s="5">
        <v>1264.5</v>
      </c>
      <c r="O152" s="5">
        <v>489.7</v>
      </c>
    </row>
    <row r="153" spans="2:15" ht="14.1" customHeight="1">
      <c r="B153" s="266"/>
      <c r="C153" s="259" t="str">
        <f>IF(Indice_index!$Z$1=1,"maio","May")</f>
        <v>maio</v>
      </c>
      <c r="D153" s="260">
        <v>1531</v>
      </c>
      <c r="E153" s="260">
        <v>78</v>
      </c>
      <c r="F153" s="260">
        <v>981</v>
      </c>
      <c r="G153" s="260">
        <v>2590</v>
      </c>
      <c r="H153" s="260">
        <v>1371</v>
      </c>
      <c r="I153" s="5">
        <v>1984223.61</v>
      </c>
      <c r="J153" s="5">
        <v>92547.049999999988</v>
      </c>
      <c r="K153" s="5">
        <v>505983.3</v>
      </c>
      <c r="L153" s="5">
        <v>2582753.96</v>
      </c>
      <c r="M153" s="5">
        <v>1531210.28</v>
      </c>
      <c r="N153" s="5">
        <v>1290.7</v>
      </c>
      <c r="O153" s="5">
        <v>515.79999999999995</v>
      </c>
    </row>
    <row r="154" spans="2:15" ht="14.1" customHeight="1">
      <c r="B154" s="266"/>
      <c r="C154" s="259" t="str">
        <f>IF(Indice_index!$Z$1=1,"junho","June")</f>
        <v>junho</v>
      </c>
      <c r="D154" s="260">
        <v>1499</v>
      </c>
      <c r="E154" s="260">
        <v>89</v>
      </c>
      <c r="F154" s="260">
        <v>865</v>
      </c>
      <c r="G154" s="260">
        <v>2453</v>
      </c>
      <c r="H154" s="260">
        <v>1349</v>
      </c>
      <c r="I154" s="5">
        <v>1855493.75</v>
      </c>
      <c r="J154" s="5">
        <v>106652.79</v>
      </c>
      <c r="K154" s="5">
        <v>464286.68</v>
      </c>
      <c r="L154" s="5">
        <v>2426433.2200000002</v>
      </c>
      <c r="M154" s="5">
        <v>1540020.1</v>
      </c>
      <c r="N154" s="5">
        <v>1235.5999999999999</v>
      </c>
      <c r="O154" s="5">
        <v>536.70000000000005</v>
      </c>
    </row>
    <row r="155" spans="2:15" ht="14.1" customHeight="1">
      <c r="B155" s="266"/>
      <c r="C155" s="259" t="str">
        <f>IF(Indice_index!$Z$1=1,"julho","July")</f>
        <v>julho</v>
      </c>
      <c r="D155" s="260">
        <v>1452</v>
      </c>
      <c r="E155" s="260">
        <v>58</v>
      </c>
      <c r="F155" s="260">
        <v>929</v>
      </c>
      <c r="G155" s="260">
        <v>2439</v>
      </c>
      <c r="H155" s="260">
        <v>1105</v>
      </c>
      <c r="I155" s="5">
        <v>1944599.44</v>
      </c>
      <c r="J155" s="5">
        <v>67974.77</v>
      </c>
      <c r="K155" s="5">
        <v>541800.02</v>
      </c>
      <c r="L155" s="5">
        <v>2554374.23</v>
      </c>
      <c r="M155" s="5">
        <v>1241641.8799999999</v>
      </c>
      <c r="N155" s="5">
        <v>1332.8</v>
      </c>
      <c r="O155" s="5">
        <v>583.20000000000005</v>
      </c>
    </row>
    <row r="156" spans="2:15" ht="14.1" customHeight="1">
      <c r="B156" s="266"/>
      <c r="C156" s="259" t="str">
        <f>IF(Indice_index!$Z$1=1,"agosto","August")</f>
        <v>agosto</v>
      </c>
      <c r="D156" s="260">
        <v>1470</v>
      </c>
      <c r="E156" s="260">
        <v>36</v>
      </c>
      <c r="F156" s="260">
        <v>1000</v>
      </c>
      <c r="G156" s="260">
        <v>2506</v>
      </c>
      <c r="H156" s="260">
        <v>1168</v>
      </c>
      <c r="I156" s="5">
        <v>1875739.22</v>
      </c>
      <c r="J156" s="5">
        <v>36978.129999999997</v>
      </c>
      <c r="K156" s="5">
        <v>554835.69000000006</v>
      </c>
      <c r="L156" s="5">
        <v>2467553.04</v>
      </c>
      <c r="M156" s="5">
        <v>1282507.42</v>
      </c>
      <c r="N156" s="5">
        <v>1270.0999999999999</v>
      </c>
      <c r="O156" s="5">
        <v>554.79999999999995</v>
      </c>
    </row>
    <row r="157" spans="2:15" ht="14.1" customHeight="1">
      <c r="B157" s="266"/>
      <c r="C157" s="259" t="str">
        <f>IF(Indice_index!$Z$1=1,"setembro","September")</f>
        <v>setembro</v>
      </c>
      <c r="D157" s="260">
        <v>1318</v>
      </c>
      <c r="E157" s="260">
        <v>29</v>
      </c>
      <c r="F157" s="260">
        <v>773</v>
      </c>
      <c r="G157" s="260">
        <v>2120</v>
      </c>
      <c r="H157" s="260">
        <v>1265</v>
      </c>
      <c r="I157" s="5">
        <v>2047092.5899999999</v>
      </c>
      <c r="J157" s="5">
        <v>39101.64</v>
      </c>
      <c r="K157" s="5">
        <v>431175.01</v>
      </c>
      <c r="L157" s="5">
        <v>2517369.2399999998</v>
      </c>
      <c r="M157" s="5">
        <v>1390071.15</v>
      </c>
      <c r="N157" s="5">
        <v>1548.8</v>
      </c>
      <c r="O157" s="5">
        <v>557.79999999999995</v>
      </c>
    </row>
    <row r="158" spans="2:15" ht="14.1" customHeight="1">
      <c r="B158" s="266"/>
      <c r="C158" s="259" t="str">
        <f>IF(Indice_index!$Z$1=1,"outubro","October")</f>
        <v>outubro</v>
      </c>
      <c r="D158" s="260">
        <v>1206</v>
      </c>
      <c r="E158" s="260">
        <v>27</v>
      </c>
      <c r="F158" s="260">
        <v>773</v>
      </c>
      <c r="G158" s="260">
        <v>2006</v>
      </c>
      <c r="H158" s="260">
        <v>1151</v>
      </c>
      <c r="I158" s="5">
        <v>1774555.76</v>
      </c>
      <c r="J158" s="5">
        <v>41696.28</v>
      </c>
      <c r="K158" s="5">
        <v>424627.48</v>
      </c>
      <c r="L158" s="5">
        <v>2240879.52</v>
      </c>
      <c r="M158" s="5">
        <v>1317894.17</v>
      </c>
      <c r="N158" s="5">
        <v>1473</v>
      </c>
      <c r="O158" s="5">
        <v>549.29999999999995</v>
      </c>
    </row>
    <row r="159" spans="2:15" ht="14.1" customHeight="1">
      <c r="B159" s="266"/>
      <c r="C159" s="259" t="str">
        <f>IF(Indice_index!$Z$1=1,"novembro","November")</f>
        <v>novembro</v>
      </c>
      <c r="D159" s="260">
        <v>1111</v>
      </c>
      <c r="E159" s="260">
        <v>86</v>
      </c>
      <c r="F159" s="260">
        <v>871</v>
      </c>
      <c r="G159" s="260">
        <v>2068</v>
      </c>
      <c r="H159" s="260">
        <v>1162</v>
      </c>
      <c r="I159" s="5">
        <v>1770166.95</v>
      </c>
      <c r="J159" s="5">
        <v>101722.77</v>
      </c>
      <c r="K159" s="5">
        <v>447410.54</v>
      </c>
      <c r="L159" s="5">
        <v>2319300.2599999998</v>
      </c>
      <c r="M159" s="5">
        <v>1306216.53</v>
      </c>
      <c r="N159" s="5">
        <v>1563.8</v>
      </c>
      <c r="O159" s="5">
        <v>513.70000000000005</v>
      </c>
    </row>
    <row r="160" spans="2:15" ht="14.1" customHeight="1">
      <c r="B160" s="261"/>
      <c r="C160" s="259" t="str">
        <f>IF(Indice_index!$Z$1=1,"dezembro","December")</f>
        <v>dezembro</v>
      </c>
      <c r="D160" s="260">
        <v>1057</v>
      </c>
      <c r="E160" s="260">
        <v>106</v>
      </c>
      <c r="F160" s="260">
        <v>889</v>
      </c>
      <c r="G160" s="260">
        <v>2052</v>
      </c>
      <c r="H160" s="260">
        <v>1288</v>
      </c>
      <c r="I160" s="5">
        <v>1823991.91</v>
      </c>
      <c r="J160" s="5">
        <v>121644.84</v>
      </c>
      <c r="K160" s="5">
        <v>467474.39</v>
      </c>
      <c r="L160" s="5">
        <v>2413111.14</v>
      </c>
      <c r="M160" s="5">
        <v>1486433.23</v>
      </c>
      <c r="N160" s="5">
        <v>1672.9</v>
      </c>
      <c r="O160" s="5">
        <v>525.79999999999995</v>
      </c>
    </row>
    <row r="161" spans="2:15" ht="14.1" customHeight="1">
      <c r="B161" s="360" t="s">
        <v>15</v>
      </c>
      <c r="C161" s="360"/>
      <c r="D161" s="234"/>
      <c r="E161" s="257"/>
      <c r="F161" s="257"/>
      <c r="G161" s="257"/>
      <c r="I161" s="5"/>
      <c r="J161" s="257"/>
      <c r="L161" s="108"/>
      <c r="M161" s="108"/>
      <c r="N161" s="108"/>
      <c r="O161" s="108"/>
    </row>
    <row r="162" spans="2:15" ht="14.1" customHeight="1">
      <c r="B162" s="266"/>
      <c r="C162" s="259" t="str">
        <f>IF(Indice_index!$Z$1=1,"janeiro","January")</f>
        <v>janeiro</v>
      </c>
      <c r="D162" s="260">
        <v>1024</v>
      </c>
      <c r="E162" s="260">
        <v>87</v>
      </c>
      <c r="F162" s="260">
        <v>678</v>
      </c>
      <c r="G162" s="260">
        <v>1789</v>
      </c>
      <c r="H162" s="260">
        <v>1319</v>
      </c>
      <c r="I162" s="5">
        <v>1639431.98</v>
      </c>
      <c r="J162" s="5">
        <v>104309.67</v>
      </c>
      <c r="K162" s="5">
        <v>372691.26</v>
      </c>
      <c r="L162" s="5">
        <v>2116432.91</v>
      </c>
      <c r="M162" s="5">
        <v>1451929.72</v>
      </c>
      <c r="N162" s="5">
        <v>1569.5</v>
      </c>
      <c r="O162" s="5">
        <v>549.70000000000005</v>
      </c>
    </row>
    <row r="163" spans="2:15" ht="14.1" customHeight="1">
      <c r="B163" s="266"/>
      <c r="C163" s="259" t="str">
        <f>IF(Indice_index!$Z$1=1,"fevereiro","February")</f>
        <v>fevereiro</v>
      </c>
      <c r="D163" s="260">
        <v>883</v>
      </c>
      <c r="E163" s="260">
        <v>101</v>
      </c>
      <c r="F163" s="260">
        <v>836</v>
      </c>
      <c r="G163" s="260">
        <v>1820</v>
      </c>
      <c r="H163" s="260">
        <v>1678</v>
      </c>
      <c r="I163" s="5">
        <v>1306138.5900000001</v>
      </c>
      <c r="J163" s="5">
        <v>100339.62</v>
      </c>
      <c r="K163" s="5">
        <v>458772.69</v>
      </c>
      <c r="L163" s="5">
        <v>1865250.9</v>
      </c>
      <c r="M163" s="5">
        <v>1928449.74</v>
      </c>
      <c r="N163" s="5">
        <v>1429.3</v>
      </c>
      <c r="O163" s="5">
        <v>548.79999999999995</v>
      </c>
    </row>
    <row r="164" spans="2:15" ht="14.1" customHeight="1">
      <c r="B164" s="266"/>
      <c r="C164" s="259" t="str">
        <f>IF(Indice_index!$Z$1=1,"março","March")</f>
        <v>março</v>
      </c>
      <c r="D164" s="260">
        <v>1036</v>
      </c>
      <c r="E164" s="260">
        <v>222</v>
      </c>
      <c r="F164" s="260">
        <v>1078</v>
      </c>
      <c r="G164" s="260">
        <v>2336</v>
      </c>
      <c r="H164" s="260">
        <v>2405</v>
      </c>
      <c r="I164" s="5">
        <v>1613764.1900000002</v>
      </c>
      <c r="J164" s="5">
        <v>133205.26999999999</v>
      </c>
      <c r="K164" s="5">
        <v>613383.06000000006</v>
      </c>
      <c r="L164" s="5">
        <v>2360352.5200000005</v>
      </c>
      <c r="M164" s="5">
        <v>2673440.56</v>
      </c>
      <c r="N164" s="5">
        <v>1388.7</v>
      </c>
      <c r="O164" s="5">
        <v>569</v>
      </c>
    </row>
    <row r="165" spans="2:15" ht="14.1" customHeight="1">
      <c r="B165" s="266"/>
      <c r="C165" s="259" t="str">
        <f>IF(Indice_index!$Z$1=1,"abril","April")</f>
        <v>abril</v>
      </c>
      <c r="D165" s="260">
        <v>1283</v>
      </c>
      <c r="E165" s="260">
        <v>72</v>
      </c>
      <c r="F165" s="260">
        <v>1236</v>
      </c>
      <c r="G165" s="260">
        <v>2591</v>
      </c>
      <c r="H165" s="260">
        <v>1968</v>
      </c>
      <c r="I165" s="5">
        <v>1804177.68</v>
      </c>
      <c r="J165" s="5">
        <v>70996.08</v>
      </c>
      <c r="K165" s="5">
        <v>710753.37</v>
      </c>
      <c r="L165" s="5">
        <v>2585927.13</v>
      </c>
      <c r="M165" s="5">
        <v>2223482.38</v>
      </c>
      <c r="N165" s="5">
        <v>1383.9</v>
      </c>
      <c r="O165" s="5">
        <v>575</v>
      </c>
    </row>
    <row r="166" spans="2:15" ht="14.1" customHeight="1">
      <c r="B166" s="266"/>
      <c r="C166" s="259" t="str">
        <f>IF(Indice_index!$Z$1=1,"maio","May")</f>
        <v>maio</v>
      </c>
      <c r="D166" s="260">
        <v>1308</v>
      </c>
      <c r="E166" s="260">
        <v>110</v>
      </c>
      <c r="F166" s="260">
        <v>1023</v>
      </c>
      <c r="G166" s="260">
        <v>2441</v>
      </c>
      <c r="H166" s="260">
        <v>1258</v>
      </c>
      <c r="I166" s="5">
        <v>1815930.3900000001</v>
      </c>
      <c r="J166" s="5">
        <v>133305.41</v>
      </c>
      <c r="K166" s="5">
        <v>555171.43000000005</v>
      </c>
      <c r="L166" s="5">
        <v>2504407.23</v>
      </c>
      <c r="M166" s="5">
        <v>1405971.93</v>
      </c>
      <c r="N166" s="5">
        <v>1374.6</v>
      </c>
      <c r="O166" s="5">
        <v>542.70000000000005</v>
      </c>
    </row>
    <row r="167" spans="2:15" ht="14.1" customHeight="1">
      <c r="B167" s="266"/>
      <c r="C167" s="259" t="str">
        <f>IF(Indice_index!$Z$1=1,"junho","June")</f>
        <v>junho</v>
      </c>
      <c r="D167" s="260">
        <v>1295</v>
      </c>
      <c r="E167" s="260">
        <v>111</v>
      </c>
      <c r="F167" s="260">
        <v>934</v>
      </c>
      <c r="G167" s="260">
        <v>2340</v>
      </c>
      <c r="H167" s="260">
        <v>1117</v>
      </c>
      <c r="I167" s="5">
        <v>1705979.83</v>
      </c>
      <c r="J167" s="5">
        <v>133788.29999999999</v>
      </c>
      <c r="K167" s="5">
        <v>509751.18</v>
      </c>
      <c r="L167" s="5">
        <v>2349519.31</v>
      </c>
      <c r="M167" s="5">
        <v>1237118.06</v>
      </c>
      <c r="N167" s="5">
        <v>1308.5</v>
      </c>
      <c r="O167" s="5">
        <v>545.79999999999995</v>
      </c>
    </row>
    <row r="168" spans="2:15" ht="14.1" customHeight="1">
      <c r="B168" s="266"/>
      <c r="C168" s="259" t="str">
        <f>IF(Indice_index!$Z$1=1,"julho","July")</f>
        <v>julho</v>
      </c>
      <c r="D168" s="260">
        <v>1548</v>
      </c>
      <c r="E168" s="260">
        <v>107</v>
      </c>
      <c r="F168" s="260">
        <v>769</v>
      </c>
      <c r="G168" s="260">
        <v>2424</v>
      </c>
      <c r="H168" s="260">
        <v>1105</v>
      </c>
      <c r="I168" s="5">
        <v>2041996.1</v>
      </c>
      <c r="J168" s="5">
        <v>127232.38</v>
      </c>
      <c r="K168" s="5">
        <v>390379.21</v>
      </c>
      <c r="L168" s="5">
        <v>2559607.69</v>
      </c>
      <c r="M168" s="5">
        <v>1305963.02</v>
      </c>
      <c r="N168" s="5">
        <v>1310.7</v>
      </c>
      <c r="O168" s="5">
        <v>507.6</v>
      </c>
    </row>
    <row r="169" spans="2:15" ht="14.1" customHeight="1">
      <c r="B169" s="266"/>
      <c r="C169" s="259" t="str">
        <f>IF(Indice_index!$Z$1=1,"agosto","August")</f>
        <v>agosto</v>
      </c>
      <c r="D169" s="260">
        <v>1486</v>
      </c>
      <c r="E169" s="260">
        <v>126</v>
      </c>
      <c r="F169" s="260">
        <v>863</v>
      </c>
      <c r="G169" s="260">
        <v>2475</v>
      </c>
      <c r="H169" s="260">
        <v>1058</v>
      </c>
      <c r="I169" s="5">
        <v>1897364.2</v>
      </c>
      <c r="J169" s="5">
        <v>142210.25</v>
      </c>
      <c r="K169" s="5">
        <v>468601</v>
      </c>
      <c r="L169" s="5">
        <v>2508175.4500000002</v>
      </c>
      <c r="M169" s="5">
        <v>1161705</v>
      </c>
      <c r="N169" s="5">
        <v>1265.2</v>
      </c>
      <c r="O169" s="5">
        <v>543</v>
      </c>
    </row>
    <row r="170" spans="2:15" ht="14.1" customHeight="1">
      <c r="B170" s="266"/>
      <c r="C170" s="259" t="str">
        <f>IF(Indice_index!$Z$1=1,"setembro","September")</f>
        <v>setembro</v>
      </c>
      <c r="D170" s="260">
        <v>1195</v>
      </c>
      <c r="E170" s="260">
        <v>88</v>
      </c>
      <c r="F170" s="260">
        <v>728</v>
      </c>
      <c r="G170" s="260">
        <v>2011</v>
      </c>
      <c r="H170" s="260">
        <v>1125</v>
      </c>
      <c r="I170" s="5">
        <v>1784873.2</v>
      </c>
      <c r="J170" s="5">
        <v>94208.49</v>
      </c>
      <c r="K170" s="5">
        <v>389174.55</v>
      </c>
      <c r="L170" s="5">
        <v>2268256.2399999998</v>
      </c>
      <c r="M170" s="5">
        <v>1343124.69</v>
      </c>
      <c r="N170" s="5">
        <v>1464.6</v>
      </c>
      <c r="O170" s="5">
        <v>534.6</v>
      </c>
    </row>
    <row r="171" spans="2:15" ht="14.1" customHeight="1">
      <c r="B171" s="266"/>
      <c r="C171" s="259" t="str">
        <f>IF(Indice_index!$Z$1=1,"outubro","October")</f>
        <v>outubro</v>
      </c>
      <c r="D171" s="260">
        <v>1266</v>
      </c>
      <c r="E171" s="260">
        <v>100</v>
      </c>
      <c r="F171" s="260">
        <v>617</v>
      </c>
      <c r="G171" s="260">
        <v>1983</v>
      </c>
      <c r="H171" s="260">
        <v>1209</v>
      </c>
      <c r="I171" s="5">
        <v>1666727.6800000002</v>
      </c>
      <c r="J171" s="5">
        <v>122592.57999999999</v>
      </c>
      <c r="K171" s="5">
        <v>317206.96000000002</v>
      </c>
      <c r="L171" s="5">
        <v>2106527.2200000002</v>
      </c>
      <c r="M171" s="5">
        <v>1330476.01</v>
      </c>
      <c r="N171" s="5">
        <v>1309.9000000000001</v>
      </c>
      <c r="O171" s="5">
        <v>514.1</v>
      </c>
    </row>
    <row r="172" spans="2:15" ht="14.1" customHeight="1">
      <c r="B172" s="266"/>
      <c r="C172" s="259" t="str">
        <f>IF(Indice_index!$Z$1=1,"novembro","November")</f>
        <v>novembro</v>
      </c>
      <c r="D172" s="260">
        <v>1183</v>
      </c>
      <c r="E172" s="260">
        <v>103</v>
      </c>
      <c r="F172" s="260">
        <v>799</v>
      </c>
      <c r="G172" s="260">
        <v>2085</v>
      </c>
      <c r="H172" s="260">
        <v>1166</v>
      </c>
      <c r="I172" s="5">
        <v>1598623.57</v>
      </c>
      <c r="J172" s="5">
        <v>130135.86000000002</v>
      </c>
      <c r="K172" s="5">
        <v>460655.36000000004</v>
      </c>
      <c r="L172" s="5">
        <v>2189414.79</v>
      </c>
      <c r="M172" s="5">
        <v>1319273.3500000001</v>
      </c>
      <c r="N172" s="5">
        <v>1344.3</v>
      </c>
      <c r="O172" s="5">
        <v>576.5</v>
      </c>
    </row>
    <row r="173" spans="2:15" ht="14.1" customHeight="1">
      <c r="B173" s="261"/>
      <c r="C173" s="259" t="str">
        <f>IF(Indice_index!$Z$1=1,"dezembro","December")</f>
        <v>dezembro</v>
      </c>
      <c r="D173" s="260">
        <v>1258</v>
      </c>
      <c r="E173" s="260">
        <v>86</v>
      </c>
      <c r="F173" s="260">
        <v>799</v>
      </c>
      <c r="G173" s="260">
        <v>2143</v>
      </c>
      <c r="H173" s="260">
        <v>1157</v>
      </c>
      <c r="I173" s="5">
        <v>1695800.9499999997</v>
      </c>
      <c r="J173" s="5">
        <v>99472.79</v>
      </c>
      <c r="K173" s="5">
        <v>423524.91</v>
      </c>
      <c r="L173" s="5">
        <v>2218798.65</v>
      </c>
      <c r="M173" s="5">
        <v>1390334.04</v>
      </c>
      <c r="N173" s="5">
        <v>1335.8</v>
      </c>
      <c r="O173" s="5">
        <v>530.1</v>
      </c>
    </row>
    <row r="174" spans="2:15" ht="14.1" customHeight="1">
      <c r="B174" s="360" t="s">
        <v>16</v>
      </c>
      <c r="C174" s="360"/>
      <c r="D174" s="234"/>
      <c r="E174" s="257"/>
      <c r="F174" s="257"/>
      <c r="G174" s="257"/>
      <c r="I174" s="5"/>
      <c r="J174" s="257"/>
      <c r="L174" s="108"/>
      <c r="M174" s="108"/>
      <c r="N174" s="108"/>
      <c r="O174" s="108"/>
    </row>
    <row r="175" spans="2:15" ht="14.1" customHeight="1">
      <c r="B175" s="266"/>
      <c r="C175" s="259" t="str">
        <f>IF(Indice_index!$Z$1=1,"janeiro","January")</f>
        <v>janeiro</v>
      </c>
      <c r="D175" s="260">
        <v>1437</v>
      </c>
      <c r="E175" s="260">
        <v>96</v>
      </c>
      <c r="F175" s="260">
        <v>623</v>
      </c>
      <c r="G175" s="260">
        <v>2156</v>
      </c>
      <c r="H175" s="260">
        <v>1325</v>
      </c>
      <c r="I175" s="5">
        <v>2005121.44</v>
      </c>
      <c r="J175" s="5">
        <v>106031.63</v>
      </c>
      <c r="K175" s="5">
        <v>320876.56999999989</v>
      </c>
      <c r="L175" s="5">
        <v>2432029.6399999997</v>
      </c>
      <c r="M175" s="5">
        <v>1521835.02</v>
      </c>
      <c r="N175" s="5">
        <v>1377.1</v>
      </c>
      <c r="O175" s="5">
        <v>515.1</v>
      </c>
    </row>
    <row r="176" spans="2:15" ht="14.1" customHeight="1">
      <c r="B176" s="266"/>
      <c r="C176" s="259" t="str">
        <f>IF(Indice_index!$Z$1=1,"fevereiro","February")</f>
        <v>fevereiro</v>
      </c>
      <c r="D176" s="260">
        <v>1337</v>
      </c>
      <c r="E176" s="260">
        <v>52</v>
      </c>
      <c r="F176" s="260">
        <v>696</v>
      </c>
      <c r="G176" s="260">
        <v>2085</v>
      </c>
      <c r="H176" s="260">
        <v>1497</v>
      </c>
      <c r="I176" s="5">
        <v>1901082.0899999999</v>
      </c>
      <c r="J176" s="5">
        <v>66170.700000000012</v>
      </c>
      <c r="K176" s="5">
        <v>405249.56</v>
      </c>
      <c r="L176" s="5">
        <v>2372502.3499999996</v>
      </c>
      <c r="M176" s="5">
        <v>1719682.26</v>
      </c>
      <c r="N176" s="5">
        <v>1416.3</v>
      </c>
      <c r="O176" s="5">
        <v>582.29999999999995</v>
      </c>
    </row>
    <row r="177" spans="2:15" ht="14.1" customHeight="1">
      <c r="B177" s="266"/>
      <c r="C177" s="259" t="str">
        <f>IF(Indice_index!$Z$1=1,"março","March")</f>
        <v>março</v>
      </c>
      <c r="D177" s="260">
        <v>1127</v>
      </c>
      <c r="E177" s="260">
        <v>81</v>
      </c>
      <c r="F177" s="260">
        <v>752</v>
      </c>
      <c r="G177" s="260">
        <v>1960</v>
      </c>
      <c r="H177" s="260">
        <v>1408</v>
      </c>
      <c r="I177" s="5">
        <v>1752452.3</v>
      </c>
      <c r="J177" s="5">
        <v>92017.790000000008</v>
      </c>
      <c r="K177" s="5">
        <v>360523.12999999995</v>
      </c>
      <c r="L177" s="5">
        <v>2204993.2200000002</v>
      </c>
      <c r="M177" s="5">
        <v>1619825.08</v>
      </c>
      <c r="N177" s="5">
        <v>1526.9</v>
      </c>
      <c r="O177" s="5">
        <v>479.4</v>
      </c>
    </row>
    <row r="178" spans="2:15" ht="14.1" customHeight="1">
      <c r="B178" s="266"/>
      <c r="C178" s="259" t="str">
        <f>IF(Indice_index!$Z$1=1,"abril","April")</f>
        <v>abril</v>
      </c>
      <c r="D178" s="260">
        <v>1334</v>
      </c>
      <c r="E178" s="260">
        <v>67</v>
      </c>
      <c r="F178" s="260">
        <v>932</v>
      </c>
      <c r="G178" s="260">
        <v>2333</v>
      </c>
      <c r="H178" s="260">
        <v>1429</v>
      </c>
      <c r="I178" s="5">
        <v>1988858.03</v>
      </c>
      <c r="J178" s="5">
        <v>70479.95</v>
      </c>
      <c r="K178" s="5">
        <v>490821.11999999988</v>
      </c>
      <c r="L178" s="5">
        <v>2550159.0999999996</v>
      </c>
      <c r="M178" s="5">
        <v>1619993.07</v>
      </c>
      <c r="N178" s="5">
        <v>1469.9</v>
      </c>
      <c r="O178" s="5">
        <v>526.6</v>
      </c>
    </row>
    <row r="179" spans="2:15" ht="14.1" customHeight="1">
      <c r="B179" s="266"/>
      <c r="C179" s="259" t="str">
        <f>IF(Indice_index!$Z$1=1,"maio","May")</f>
        <v>maio</v>
      </c>
      <c r="D179" s="260">
        <v>1554</v>
      </c>
      <c r="E179" s="260">
        <v>77</v>
      </c>
      <c r="F179" s="260">
        <v>810</v>
      </c>
      <c r="G179" s="260">
        <v>2441</v>
      </c>
      <c r="H179" s="260">
        <v>1358</v>
      </c>
      <c r="I179" s="5">
        <v>2514972.58</v>
      </c>
      <c r="J179" s="5">
        <v>86613.47</v>
      </c>
      <c r="K179" s="5">
        <v>459321.77999999997</v>
      </c>
      <c r="L179" s="5">
        <v>3060907.83</v>
      </c>
      <c r="M179" s="5">
        <v>1554368.07</v>
      </c>
      <c r="N179" s="5">
        <v>1595.1</v>
      </c>
      <c r="O179" s="5">
        <v>567.1</v>
      </c>
    </row>
    <row r="180" spans="2:15" ht="14.1" customHeight="1">
      <c r="B180" s="266"/>
      <c r="C180" s="259" t="str">
        <f>IF(Indice_index!$Z$1=1,"junho","June")</f>
        <v>junho</v>
      </c>
      <c r="D180" s="260">
        <v>1596</v>
      </c>
      <c r="E180" s="260">
        <v>97</v>
      </c>
      <c r="F180" s="260">
        <v>836</v>
      </c>
      <c r="G180" s="260">
        <v>2529</v>
      </c>
      <c r="H180" s="260">
        <v>1321</v>
      </c>
      <c r="I180" s="5">
        <v>2633457.0499999998</v>
      </c>
      <c r="J180" s="5">
        <v>108886.82999999999</v>
      </c>
      <c r="K180" s="5">
        <v>454842.29999999993</v>
      </c>
      <c r="L180" s="5">
        <v>3197186.1799999997</v>
      </c>
      <c r="M180" s="5">
        <v>1532259.16</v>
      </c>
      <c r="N180" s="5">
        <v>1619.8</v>
      </c>
      <c r="O180" s="5">
        <v>544.1</v>
      </c>
    </row>
    <row r="181" spans="2:15" ht="14.1" customHeight="1">
      <c r="B181" s="266"/>
      <c r="C181" s="259" t="str">
        <f>IF(Indice_index!$Z$1=1,"julho","July")</f>
        <v>julho</v>
      </c>
      <c r="D181" s="260">
        <v>1070</v>
      </c>
      <c r="E181" s="260">
        <v>80</v>
      </c>
      <c r="F181" s="260">
        <v>690</v>
      </c>
      <c r="G181" s="260">
        <v>1840</v>
      </c>
      <c r="H181" s="260">
        <v>1259</v>
      </c>
      <c r="I181" s="5">
        <v>1703883.1</v>
      </c>
      <c r="J181" s="5">
        <v>93666.53</v>
      </c>
      <c r="K181" s="5">
        <v>373400.72000000003</v>
      </c>
      <c r="L181" s="5">
        <v>2170950.35</v>
      </c>
      <c r="M181" s="5">
        <v>1450557.63</v>
      </c>
      <c r="N181" s="5">
        <v>1563.1</v>
      </c>
      <c r="O181" s="5">
        <v>541.20000000000005</v>
      </c>
    </row>
    <row r="182" spans="2:15" ht="14.1" customHeight="1">
      <c r="B182" s="266"/>
      <c r="C182" s="259" t="str">
        <f>IF(Indice_index!$Z$1=1,"agosto","August")</f>
        <v>agosto</v>
      </c>
      <c r="D182" s="260">
        <v>1166</v>
      </c>
      <c r="E182" s="260">
        <v>80</v>
      </c>
      <c r="F182" s="260">
        <v>775</v>
      </c>
      <c r="G182" s="260">
        <v>2021</v>
      </c>
      <c r="H182" s="260">
        <v>1365</v>
      </c>
      <c r="I182" s="5">
        <v>1887668.71</v>
      </c>
      <c r="J182" s="5">
        <v>86358.26</v>
      </c>
      <c r="K182" s="5">
        <v>456072.92</v>
      </c>
      <c r="L182" s="5">
        <v>2430099.89</v>
      </c>
      <c r="M182" s="5">
        <v>1584615.03</v>
      </c>
      <c r="N182" s="5">
        <v>1584.3</v>
      </c>
      <c r="O182" s="5">
        <v>588.5</v>
      </c>
    </row>
    <row r="183" spans="2:15" ht="14.1" customHeight="1">
      <c r="B183" s="266"/>
      <c r="C183" s="259" t="str">
        <f>IF(Indice_index!$Z$1=1,"setembro","September")</f>
        <v>setembro</v>
      </c>
      <c r="D183" s="260">
        <v>1334</v>
      </c>
      <c r="E183" s="260">
        <v>88</v>
      </c>
      <c r="F183" s="260">
        <v>840</v>
      </c>
      <c r="G183" s="260">
        <v>2262</v>
      </c>
      <c r="H183" s="260">
        <v>1298</v>
      </c>
      <c r="I183" s="5">
        <v>2203343.7999999998</v>
      </c>
      <c r="J183" s="5">
        <v>112425.97</v>
      </c>
      <c r="K183" s="5">
        <v>424194.71999999991</v>
      </c>
      <c r="L183" s="5">
        <v>2739964.4899999998</v>
      </c>
      <c r="M183" s="5">
        <v>1478157.47</v>
      </c>
      <c r="N183" s="5">
        <v>1628.5</v>
      </c>
      <c r="O183" s="5">
        <v>505</v>
      </c>
    </row>
    <row r="184" spans="2:15" ht="14.1" customHeight="1">
      <c r="B184" s="266"/>
      <c r="C184" s="259" t="str">
        <f>IF(Indice_index!$Z$1=1,"outubro","October")</f>
        <v>outubro</v>
      </c>
      <c r="D184" s="260">
        <v>1353</v>
      </c>
      <c r="E184" s="260">
        <v>72</v>
      </c>
      <c r="F184" s="260">
        <v>782</v>
      </c>
      <c r="G184" s="260">
        <v>2207</v>
      </c>
      <c r="H184" s="260">
        <v>1268</v>
      </c>
      <c r="I184" s="5">
        <v>2191545.09</v>
      </c>
      <c r="J184" s="5">
        <v>91807.31</v>
      </c>
      <c r="K184" s="5">
        <v>384863.00000000006</v>
      </c>
      <c r="L184" s="5">
        <v>2668215.4</v>
      </c>
      <c r="M184" s="5">
        <v>1459873.36</v>
      </c>
      <c r="N184" s="5">
        <v>1602.4</v>
      </c>
      <c r="O184" s="5">
        <v>492.2</v>
      </c>
    </row>
    <row r="185" spans="2:15" ht="14.1" customHeight="1">
      <c r="B185" s="266"/>
      <c r="C185" s="259" t="str">
        <f>IF(Indice_index!$Z$1=1,"novembro","November")</f>
        <v>novembro</v>
      </c>
      <c r="D185" s="260">
        <v>1108</v>
      </c>
      <c r="E185" s="260">
        <v>71</v>
      </c>
      <c r="F185" s="260">
        <v>870</v>
      </c>
      <c r="G185" s="260">
        <v>2049</v>
      </c>
      <c r="H185" s="260">
        <v>1162</v>
      </c>
      <c r="I185" s="5">
        <v>1714741.7</v>
      </c>
      <c r="J185" s="5">
        <v>78488.25</v>
      </c>
      <c r="K185" s="5">
        <v>510018.96999999991</v>
      </c>
      <c r="L185" s="5">
        <v>2303248.92</v>
      </c>
      <c r="M185" s="5">
        <v>1361787.88</v>
      </c>
      <c r="N185" s="5">
        <v>1521</v>
      </c>
      <c r="O185" s="5">
        <v>586.20000000000005</v>
      </c>
    </row>
    <row r="186" spans="2:15" ht="14.1" customHeight="1">
      <c r="B186" s="261"/>
      <c r="C186" s="259" t="str">
        <f>IF(Indice_index!$Z$1=1,"dezembro","December")</f>
        <v>dezembro</v>
      </c>
      <c r="D186" s="260">
        <v>1573</v>
      </c>
      <c r="E186" s="260">
        <v>87</v>
      </c>
      <c r="F186" s="260">
        <v>902</v>
      </c>
      <c r="G186" s="260">
        <v>2562</v>
      </c>
      <c r="H186" s="260">
        <v>1251</v>
      </c>
      <c r="I186" s="5">
        <v>2484452.7599999998</v>
      </c>
      <c r="J186" s="5">
        <v>95869.8</v>
      </c>
      <c r="K186" s="5">
        <v>515297.80999999988</v>
      </c>
      <c r="L186" s="5">
        <v>3095620.3699999996</v>
      </c>
      <c r="M186" s="5">
        <v>1481113.01</v>
      </c>
      <c r="N186" s="5">
        <v>1554.4</v>
      </c>
      <c r="O186" s="5">
        <v>571.29999999999995</v>
      </c>
    </row>
    <row r="187" spans="2:15" ht="14.1" customHeight="1">
      <c r="B187" s="360">
        <v>2023</v>
      </c>
      <c r="C187" s="360"/>
      <c r="D187" s="234"/>
      <c r="E187" s="257"/>
      <c r="F187" s="257"/>
      <c r="G187" s="257"/>
      <c r="I187" s="5"/>
      <c r="J187" s="257"/>
      <c r="L187" s="108"/>
      <c r="M187" s="108"/>
      <c r="N187" s="108"/>
      <c r="O187" s="108"/>
    </row>
    <row r="188" spans="2:15" ht="14.1" customHeight="1">
      <c r="B188" s="266"/>
      <c r="C188" s="259" t="str">
        <f>IF(Indice_index!$Z$1=1,"janeiro","January")</f>
        <v>janeiro</v>
      </c>
      <c r="D188" s="260">
        <v>1520</v>
      </c>
      <c r="E188" s="260">
        <v>78</v>
      </c>
      <c r="F188" s="260">
        <v>678</v>
      </c>
      <c r="G188" s="260">
        <v>2276</v>
      </c>
      <c r="H188" s="260">
        <v>1321</v>
      </c>
      <c r="I188" s="5">
        <v>2472525.5100000002</v>
      </c>
      <c r="J188" s="5">
        <v>97044.57</v>
      </c>
      <c r="K188" s="5">
        <v>393612.41</v>
      </c>
      <c r="L188" s="5">
        <v>2963182.49</v>
      </c>
      <c r="M188" s="5">
        <v>1506454.3</v>
      </c>
      <c r="N188" s="5">
        <v>1608</v>
      </c>
      <c r="O188" s="5">
        <v>580.5</v>
      </c>
    </row>
    <row r="189" spans="2:15" ht="14.1" customHeight="1">
      <c r="B189" s="266"/>
      <c r="C189" s="259" t="str">
        <f>IF(Indice_index!$Z$1=1,"fevereiro","February")</f>
        <v>fevereiro</v>
      </c>
      <c r="D189" s="260">
        <v>1206</v>
      </c>
      <c r="E189" s="260">
        <v>104</v>
      </c>
      <c r="F189" s="260">
        <v>705</v>
      </c>
      <c r="G189" s="260">
        <v>2015</v>
      </c>
      <c r="H189" s="260">
        <v>1536</v>
      </c>
      <c r="I189" s="5">
        <v>1906860.1600000001</v>
      </c>
      <c r="J189" s="5">
        <v>103164.78</v>
      </c>
      <c r="K189" s="5">
        <v>427076.84999999992</v>
      </c>
      <c r="L189" s="5">
        <v>2437101.79</v>
      </c>
      <c r="M189" s="5">
        <v>1845943.48</v>
      </c>
      <c r="N189" s="5">
        <v>1534.4</v>
      </c>
      <c r="O189" s="5">
        <v>605.79999999999995</v>
      </c>
    </row>
    <row r="190" spans="2:15" ht="14.1" customHeight="1">
      <c r="B190" s="266"/>
      <c r="C190" s="259" t="str">
        <f>IF(Indice_index!$Z$1=1,"março","March")</f>
        <v>março</v>
      </c>
      <c r="D190" s="260">
        <v>1209</v>
      </c>
      <c r="E190" s="260">
        <v>75</v>
      </c>
      <c r="F190" s="260">
        <v>740</v>
      </c>
      <c r="G190" s="260">
        <v>2024</v>
      </c>
      <c r="H190" s="260">
        <v>1497</v>
      </c>
      <c r="I190" s="5">
        <v>1983700.29</v>
      </c>
      <c r="J190" s="5">
        <v>93256.540000000008</v>
      </c>
      <c r="K190" s="5">
        <v>429283.53</v>
      </c>
      <c r="L190" s="5">
        <v>2506240.3600000003</v>
      </c>
      <c r="M190" s="5">
        <v>1836686.28</v>
      </c>
      <c r="N190" s="5">
        <v>1617.6</v>
      </c>
      <c r="O190" s="5">
        <v>580.1</v>
      </c>
    </row>
    <row r="191" spans="2:15" ht="14.25" customHeight="1">
      <c r="B191" s="266"/>
      <c r="C191" s="259" t="str">
        <f>IF(Indice_index!$Z$1=1,"abril","April")</f>
        <v>abril</v>
      </c>
      <c r="D191" s="260">
        <v>1484</v>
      </c>
      <c r="E191" s="260">
        <v>69</v>
      </c>
      <c r="F191" s="260">
        <v>789</v>
      </c>
      <c r="G191" s="260">
        <v>2342</v>
      </c>
      <c r="H191" s="260">
        <v>1514</v>
      </c>
      <c r="I191" s="5">
        <v>2522824.2099999995</v>
      </c>
      <c r="J191" s="5">
        <v>85254.35</v>
      </c>
      <c r="K191" s="5">
        <v>461382.95</v>
      </c>
      <c r="L191" s="5">
        <v>3069461.51</v>
      </c>
      <c r="M191" s="5">
        <v>1762245.59</v>
      </c>
      <c r="N191" s="5">
        <v>1679.4</v>
      </c>
      <c r="O191" s="5">
        <v>584.79999999999995</v>
      </c>
    </row>
    <row r="192" spans="2:15" ht="14.1" customHeight="1">
      <c r="B192" s="266"/>
      <c r="C192" s="259" t="str">
        <f>IF(Indice_index!$Z$1=1,"maio","May")</f>
        <v>maio</v>
      </c>
      <c r="D192" s="260">
        <v>1629</v>
      </c>
      <c r="E192" s="260">
        <v>85</v>
      </c>
      <c r="F192" s="260">
        <v>630</v>
      </c>
      <c r="G192" s="260">
        <v>2344</v>
      </c>
      <c r="H192" s="260">
        <v>1307</v>
      </c>
      <c r="I192" s="5">
        <v>2727795.23</v>
      </c>
      <c r="J192" s="5">
        <v>114647.66</v>
      </c>
      <c r="K192" s="5">
        <v>372936.62000000005</v>
      </c>
      <c r="L192" s="5">
        <v>3215379.5100000002</v>
      </c>
      <c r="M192" s="5">
        <v>1589468.46</v>
      </c>
      <c r="N192" s="5">
        <v>1658.4</v>
      </c>
      <c r="O192" s="5">
        <v>592</v>
      </c>
    </row>
    <row r="193" spans="2:15" ht="14.1" customHeight="1">
      <c r="B193" s="266"/>
      <c r="C193" s="259" t="str">
        <f>IF(Indice_index!$Z$1=1,"junho","June")</f>
        <v>junho</v>
      </c>
      <c r="D193" s="260">
        <v>1331</v>
      </c>
      <c r="E193" s="260">
        <v>73</v>
      </c>
      <c r="F193" s="260">
        <v>1254</v>
      </c>
      <c r="G193" s="260">
        <v>2658</v>
      </c>
      <c r="H193" s="260">
        <v>1257</v>
      </c>
      <c r="I193" s="5">
        <v>2141210.91</v>
      </c>
      <c r="J193" s="5">
        <v>76620.78</v>
      </c>
      <c r="K193" s="5">
        <v>675112.08</v>
      </c>
      <c r="L193" s="5">
        <v>2892943.77</v>
      </c>
      <c r="M193" s="5">
        <v>1509173.94</v>
      </c>
      <c r="N193" s="5">
        <v>1579.7</v>
      </c>
      <c r="O193" s="5">
        <v>538.4</v>
      </c>
    </row>
    <row r="194" spans="2:15" ht="14.1" customHeight="1">
      <c r="B194" s="266"/>
      <c r="C194" s="259" t="str">
        <f>IF(Indice_index!$Z$1=1,"julho","July")</f>
        <v>julho</v>
      </c>
      <c r="D194" s="260">
        <v>1711</v>
      </c>
      <c r="E194" s="260">
        <v>75</v>
      </c>
      <c r="F194" s="260">
        <v>780</v>
      </c>
      <c r="G194" s="260">
        <v>2566</v>
      </c>
      <c r="H194" s="260">
        <v>1256</v>
      </c>
      <c r="I194" s="5">
        <v>2783207.9499999997</v>
      </c>
      <c r="J194" s="5">
        <v>96099.88</v>
      </c>
      <c r="K194" s="5">
        <v>431142.60000000003</v>
      </c>
      <c r="L194" s="5">
        <v>3310450.4299999997</v>
      </c>
      <c r="M194" s="5">
        <v>1541865.49</v>
      </c>
      <c r="N194" s="5">
        <v>1612.2</v>
      </c>
      <c r="O194" s="5">
        <v>552.70000000000005</v>
      </c>
    </row>
    <row r="195" spans="2:15" ht="14.1" customHeight="1">
      <c r="B195" s="266"/>
      <c r="C195" s="259" t="str">
        <f>IF(Indice_index!$Z$1=1,"agosto","August")</f>
        <v>agosto</v>
      </c>
      <c r="D195" s="260">
        <v>1559</v>
      </c>
      <c r="E195" s="260">
        <v>88</v>
      </c>
      <c r="F195" s="260">
        <v>1001</v>
      </c>
      <c r="G195" s="260">
        <v>2648</v>
      </c>
      <c r="H195" s="260">
        <v>1077</v>
      </c>
      <c r="I195" s="5">
        <v>2629362.75</v>
      </c>
      <c r="J195" s="5">
        <v>119048.52</v>
      </c>
      <c r="K195" s="5">
        <v>597041.02000000014</v>
      </c>
      <c r="L195" s="5">
        <v>3345452.29</v>
      </c>
      <c r="M195" s="5">
        <v>1418259.12</v>
      </c>
      <c r="N195" s="5">
        <v>1668.7</v>
      </c>
      <c r="O195" s="5">
        <v>596.4</v>
      </c>
    </row>
    <row r="196" spans="2:15" ht="14.1" customHeight="1">
      <c r="B196" s="266"/>
      <c r="C196" s="259" t="str">
        <f>IF(Indice_index!$Z$1=1,"setembro","September")</f>
        <v>setembro</v>
      </c>
      <c r="D196" s="260">
        <v>1652</v>
      </c>
      <c r="E196" s="260">
        <v>92</v>
      </c>
      <c r="F196" s="260">
        <v>1022</v>
      </c>
      <c r="G196" s="260">
        <v>2766</v>
      </c>
      <c r="H196" s="260">
        <v>1149</v>
      </c>
      <c r="I196" s="5">
        <v>2883093.9099999997</v>
      </c>
      <c r="J196" s="5">
        <v>123258.26000000001</v>
      </c>
      <c r="K196" s="5">
        <v>618275.26</v>
      </c>
      <c r="L196" s="5">
        <v>3624627.4299999997</v>
      </c>
      <c r="M196" s="5">
        <v>1411040.8</v>
      </c>
      <c r="N196" s="5">
        <v>1723.8</v>
      </c>
      <c r="O196" s="5">
        <v>605</v>
      </c>
    </row>
    <row r="197" spans="2:15" ht="14.1" customHeight="1">
      <c r="B197" s="266"/>
      <c r="C197" s="259" t="str">
        <f>IF(Indice_index!$Z$1=1,"outubro","October")</f>
        <v>outubro</v>
      </c>
      <c r="D197" s="260">
        <v>1571</v>
      </c>
      <c r="E197" s="260">
        <v>77</v>
      </c>
      <c r="F197" s="260">
        <v>1027</v>
      </c>
      <c r="G197" s="260">
        <v>2675</v>
      </c>
      <c r="H197" s="260">
        <v>1264</v>
      </c>
      <c r="I197" s="5">
        <v>2714200.39</v>
      </c>
      <c r="J197" s="5">
        <v>104214.98999999999</v>
      </c>
      <c r="K197" s="5">
        <v>565057.31999999995</v>
      </c>
      <c r="L197" s="5">
        <v>3383472.6999999997</v>
      </c>
      <c r="M197" s="5">
        <v>1604282.66</v>
      </c>
      <c r="N197" s="5">
        <v>1710.2</v>
      </c>
      <c r="O197" s="5">
        <v>550.20000000000005</v>
      </c>
    </row>
    <row r="198" spans="2:15" ht="14.1" customHeight="1">
      <c r="B198" s="266"/>
      <c r="C198" s="259" t="str">
        <f>IF(Indice_index!$Z$1=1,"novembro","November")</f>
        <v>novembro</v>
      </c>
      <c r="D198" s="260">
        <v>1664</v>
      </c>
      <c r="E198" s="260">
        <v>81</v>
      </c>
      <c r="F198" s="260">
        <v>984</v>
      </c>
      <c r="G198" s="260">
        <v>2729</v>
      </c>
      <c r="H198" s="260">
        <v>1199</v>
      </c>
      <c r="I198" s="5">
        <v>2687720.77</v>
      </c>
      <c r="J198" s="5">
        <v>96305.73000000001</v>
      </c>
      <c r="K198" s="5">
        <v>524073.32</v>
      </c>
      <c r="L198" s="5">
        <v>3308099.82</v>
      </c>
      <c r="M198" s="5">
        <v>1568987.68</v>
      </c>
      <c r="N198" s="5">
        <v>1595.4</v>
      </c>
      <c r="O198" s="5">
        <v>532.6</v>
      </c>
    </row>
    <row r="199" spans="2:15" ht="14.1" customHeight="1">
      <c r="B199" s="266"/>
      <c r="C199" s="259" t="str">
        <f>IF(Indice_index!$Z$1=1,"dezembro","December")</f>
        <v>dezembro</v>
      </c>
      <c r="D199" s="260">
        <v>2694</v>
      </c>
      <c r="E199" s="260">
        <v>101</v>
      </c>
      <c r="F199" s="260">
        <v>1138</v>
      </c>
      <c r="G199" s="260">
        <v>3933</v>
      </c>
      <c r="H199" s="260">
        <v>1213</v>
      </c>
      <c r="I199" s="5">
        <v>4250855.01</v>
      </c>
      <c r="J199" s="5">
        <v>122365.64</v>
      </c>
      <c r="K199" s="5">
        <v>611297.77</v>
      </c>
      <c r="L199" s="5">
        <v>4984518.42</v>
      </c>
      <c r="M199" s="5">
        <v>1536841.26</v>
      </c>
      <c r="N199" s="5">
        <v>1564.7</v>
      </c>
      <c r="O199" s="5">
        <v>537.20000000000005</v>
      </c>
    </row>
    <row r="200" spans="2:15" ht="14.1" customHeight="1">
      <c r="B200" s="360">
        <v>2024</v>
      </c>
      <c r="C200" s="360"/>
      <c r="D200" s="234"/>
      <c r="E200" s="257"/>
      <c r="F200" s="257"/>
      <c r="G200" s="257"/>
      <c r="I200" s="5"/>
      <c r="J200" s="257"/>
      <c r="L200" s="108"/>
      <c r="M200" s="108"/>
      <c r="N200" s="108"/>
      <c r="O200" s="108"/>
    </row>
    <row r="201" spans="2:15" ht="13.5" customHeight="1">
      <c r="B201" s="266"/>
      <c r="C201" s="259" t="str">
        <f>IF(Indice_index!$Z$1=1,"janeiro","January")</f>
        <v>janeiro</v>
      </c>
      <c r="D201" s="260">
        <v>1995</v>
      </c>
      <c r="E201" s="260">
        <v>102</v>
      </c>
      <c r="F201" s="260">
        <v>871</v>
      </c>
      <c r="G201" s="260">
        <v>2968</v>
      </c>
      <c r="H201" s="260">
        <v>1242</v>
      </c>
      <c r="I201" s="5">
        <v>3650345.17</v>
      </c>
      <c r="J201" s="5">
        <v>111690.52000000002</v>
      </c>
      <c r="K201" s="5">
        <v>493754.42000000004</v>
      </c>
      <c r="L201" s="5">
        <v>4255790.1100000003</v>
      </c>
      <c r="M201" s="5">
        <v>1568082.27</v>
      </c>
      <c r="N201" s="5">
        <v>1794</v>
      </c>
      <c r="O201" s="5">
        <v>566.9</v>
      </c>
    </row>
    <row r="202" spans="2:15" ht="13.5" customHeight="1">
      <c r="B202" s="266"/>
      <c r="C202" s="259" t="str">
        <f>IF(Indice_index!$Z$1=1,"fevereiro","February")</f>
        <v>fevereiro</v>
      </c>
      <c r="D202" s="260">
        <v>1493</v>
      </c>
      <c r="E202" s="260">
        <v>63</v>
      </c>
      <c r="F202" s="260">
        <v>721</v>
      </c>
      <c r="G202" s="260">
        <v>2277</v>
      </c>
      <c r="H202" s="260">
        <v>1628</v>
      </c>
      <c r="I202" s="5">
        <v>2651742.13</v>
      </c>
      <c r="J202" s="5">
        <v>78102.179999999993</v>
      </c>
      <c r="K202" s="5">
        <v>473559.48999999993</v>
      </c>
      <c r="L202" s="5">
        <v>3203403.8</v>
      </c>
      <c r="M202" s="5">
        <v>2080989.97</v>
      </c>
      <c r="N202" s="5">
        <v>1754.4</v>
      </c>
      <c r="O202" s="5">
        <v>656.8</v>
      </c>
    </row>
    <row r="203" spans="2:15" ht="13.5" customHeight="1">
      <c r="B203" s="266"/>
      <c r="C203" s="259" t="str">
        <f>IF(Indice_index!$Z$1=1,"março","March")</f>
        <v>março</v>
      </c>
      <c r="D203" s="260">
        <v>1401</v>
      </c>
      <c r="E203" s="260">
        <v>63</v>
      </c>
      <c r="F203" s="260">
        <v>844</v>
      </c>
      <c r="G203" s="260">
        <v>2308</v>
      </c>
      <c r="H203" s="260">
        <v>1694</v>
      </c>
      <c r="I203" s="5">
        <v>2394266.2199999997</v>
      </c>
      <c r="J203" s="5">
        <v>81875.03</v>
      </c>
      <c r="K203" s="5">
        <v>510102.64000000007</v>
      </c>
      <c r="L203" s="5">
        <v>2986243.8899999997</v>
      </c>
      <c r="M203" s="5">
        <v>2235189.2000000002</v>
      </c>
      <c r="N203" s="5">
        <v>1691.4</v>
      </c>
      <c r="O203" s="5">
        <v>604.4</v>
      </c>
    </row>
    <row r="204" spans="2:15" ht="13.5" customHeight="1">
      <c r="B204" s="266"/>
      <c r="C204" s="259" t="str">
        <f>IF(Indice_index!$Z$1=1,"abril","April")</f>
        <v>abril</v>
      </c>
      <c r="D204" s="260">
        <v>1408</v>
      </c>
      <c r="E204" s="260">
        <v>101</v>
      </c>
      <c r="F204" s="260">
        <v>1132</v>
      </c>
      <c r="G204" s="260">
        <v>2641</v>
      </c>
      <c r="H204" s="260">
        <v>1235</v>
      </c>
      <c r="I204" s="5">
        <v>2254324.2500000005</v>
      </c>
      <c r="J204" s="5">
        <v>120715.87</v>
      </c>
      <c r="K204" s="5">
        <v>641779.54000000015</v>
      </c>
      <c r="L204" s="5">
        <v>3016819.6600000006</v>
      </c>
      <c r="M204" s="5">
        <v>1624317.25</v>
      </c>
      <c r="N204" s="5">
        <v>1573.9</v>
      </c>
      <c r="O204" s="5">
        <v>566.9</v>
      </c>
    </row>
    <row r="205" spans="2:15" ht="13.5" customHeight="1">
      <c r="B205" s="266"/>
      <c r="C205" s="259" t="str">
        <f>IF(Indice_index!$Z$1=1,"maio","May")</f>
        <v>maio</v>
      </c>
      <c r="D205" s="260">
        <v>1498</v>
      </c>
      <c r="E205" s="260">
        <v>90</v>
      </c>
      <c r="F205" s="260">
        <v>1282</v>
      </c>
      <c r="G205" s="260">
        <v>2870</v>
      </c>
      <c r="H205" s="260">
        <v>1275</v>
      </c>
      <c r="I205" s="5">
        <v>2502013.59</v>
      </c>
      <c r="J205" s="5">
        <v>109881.87</v>
      </c>
      <c r="K205" s="5">
        <v>673744.62</v>
      </c>
      <c r="L205" s="5">
        <v>3285640.08</v>
      </c>
      <c r="M205" s="5">
        <v>1654185.55</v>
      </c>
      <c r="N205" s="5">
        <v>1644.8</v>
      </c>
      <c r="O205" s="5">
        <v>525.5</v>
      </c>
    </row>
    <row r="206" spans="2:15" ht="13.5" customHeight="1">
      <c r="B206" s="266"/>
      <c r="C206" s="259" t="str">
        <f>IF(Indice_index!$Z$1=1,"junho","June")</f>
        <v>junho</v>
      </c>
      <c r="D206" s="260">
        <v>1411</v>
      </c>
      <c r="E206" s="260">
        <v>86</v>
      </c>
      <c r="F206" s="260">
        <v>985</v>
      </c>
      <c r="G206" s="260">
        <v>2482</v>
      </c>
      <c r="H206" s="260">
        <v>1365</v>
      </c>
      <c r="I206" s="5">
        <v>2284807.15</v>
      </c>
      <c r="J206" s="5">
        <v>99521.88</v>
      </c>
      <c r="K206" s="5">
        <v>582535.16</v>
      </c>
      <c r="L206" s="5">
        <v>2966864.19</v>
      </c>
      <c r="M206" s="5">
        <v>1783379.67</v>
      </c>
      <c r="N206" s="5">
        <v>1592.7</v>
      </c>
      <c r="O206" s="5">
        <v>591.4</v>
      </c>
    </row>
    <row r="207" spans="2:15" ht="13.5" customHeight="1">
      <c r="B207" s="266"/>
      <c r="C207" s="259" t="str">
        <f>IF(Indice_index!$Z$1=1,"julho","July")</f>
        <v>julho</v>
      </c>
      <c r="D207" s="260">
        <v>1789</v>
      </c>
      <c r="E207" s="260">
        <v>80</v>
      </c>
      <c r="F207" s="260">
        <v>805</v>
      </c>
      <c r="G207" s="260">
        <v>2674</v>
      </c>
      <c r="H207" s="260">
        <v>1281</v>
      </c>
      <c r="I207" s="5">
        <v>3024118.5999999996</v>
      </c>
      <c r="J207" s="5">
        <v>91064.499999999985</v>
      </c>
      <c r="K207" s="5">
        <v>467573.82999999996</v>
      </c>
      <c r="L207" s="5">
        <v>3582756.9299999997</v>
      </c>
      <c r="M207" s="5">
        <v>1713380.34</v>
      </c>
      <c r="N207" s="5">
        <v>1666.8</v>
      </c>
      <c r="O207" s="5">
        <v>580.79999999999995</v>
      </c>
    </row>
    <row r="208" spans="2:15" ht="13.5" customHeight="1">
      <c r="B208" s="266"/>
      <c r="C208" s="259" t="str">
        <f>IF(Indice_index!$Z$1=1,"agosto","August")</f>
        <v>agosto</v>
      </c>
      <c r="D208" s="260">
        <v>1828</v>
      </c>
      <c r="E208" s="260">
        <v>70</v>
      </c>
      <c r="F208" s="260">
        <v>1120</v>
      </c>
      <c r="G208" s="260">
        <v>3018</v>
      </c>
      <c r="H208" s="260">
        <v>1199</v>
      </c>
      <c r="I208" s="5">
        <v>3204695.9499999997</v>
      </c>
      <c r="J208" s="5">
        <v>87946.209999999992</v>
      </c>
      <c r="K208" s="5">
        <v>635955.18000000017</v>
      </c>
      <c r="L208" s="5">
        <v>3928597.34</v>
      </c>
      <c r="M208" s="5">
        <v>1674689.63</v>
      </c>
      <c r="N208" s="5">
        <v>1734.8</v>
      </c>
      <c r="O208" s="5">
        <v>567.79999999999995</v>
      </c>
    </row>
    <row r="209" spans="2:15" ht="13.5" customHeight="1">
      <c r="B209" s="266"/>
      <c r="C209" s="259" t="str">
        <f>IF(Indice_index!$Z$1=1,"setembro","September")</f>
        <v>setembro</v>
      </c>
      <c r="D209" s="260">
        <v>2212</v>
      </c>
      <c r="E209" s="260">
        <v>81</v>
      </c>
      <c r="F209" s="260">
        <v>789</v>
      </c>
      <c r="G209" s="260">
        <v>3082</v>
      </c>
      <c r="H209" s="260">
        <v>1252</v>
      </c>
      <c r="I209" s="5">
        <v>4274136.2699999996</v>
      </c>
      <c r="J209" s="5">
        <v>96028.58</v>
      </c>
      <c r="K209" s="5">
        <v>463945.18</v>
      </c>
      <c r="L209" s="5">
        <v>4834110.0299999993</v>
      </c>
      <c r="M209" s="5">
        <v>1646784.43</v>
      </c>
      <c r="N209" s="5">
        <v>1905.9</v>
      </c>
      <c r="O209" s="5">
        <v>588</v>
      </c>
    </row>
    <row r="210" spans="2:15" ht="4.3499999999999996" customHeight="1">
      <c r="B210" s="263"/>
      <c r="C210" s="269"/>
      <c r="D210" s="264"/>
      <c r="E210" s="264"/>
      <c r="F210" s="264"/>
      <c r="G210" s="264"/>
      <c r="H210" s="264"/>
      <c r="I210" s="264"/>
      <c r="J210" s="264"/>
      <c r="K210" s="264"/>
      <c r="L210" s="264"/>
      <c r="M210" s="264"/>
      <c r="N210" s="264"/>
      <c r="O210" s="264"/>
    </row>
    <row r="211" spans="2:15" ht="14.1" customHeight="1">
      <c r="B211" s="35"/>
      <c r="C211" s="35"/>
      <c r="D211" s="35"/>
      <c r="E211" s="35"/>
      <c r="F211" s="35"/>
      <c r="G211" s="35"/>
      <c r="H211" s="35"/>
      <c r="I211" s="35"/>
      <c r="J211" s="35"/>
      <c r="K211" s="35"/>
      <c r="L211" s="35"/>
      <c r="M211" s="35"/>
      <c r="N211" s="35"/>
      <c r="O211" s="35"/>
    </row>
    <row r="212" spans="2:15" ht="16.350000000000001" customHeight="1">
      <c r="B212" s="437"/>
      <c r="C212" s="437"/>
      <c r="D212" s="437" t="str">
        <f>IF(Indice_index!$Z$1=1,"VH do número de pensionistas (%)","YOY Change Rate of the number of subscribers (%)")</f>
        <v>VH do número de pensionistas (%)</v>
      </c>
      <c r="E212" s="437"/>
      <c r="F212" s="437"/>
      <c r="G212" s="437"/>
      <c r="H212" s="437"/>
      <c r="I212" s="399" t="str">
        <f>IF(Indice_index!$Z$1=1,"VHA da Despesa com pensões (€)","YOY Change Rate of the Expense with Pensions")</f>
        <v>VHA da Despesa com pensões (€)</v>
      </c>
      <c r="J212" s="400"/>
      <c r="K212" s="400"/>
      <c r="L212" s="400"/>
      <c r="M212" s="401"/>
      <c r="N212" s="437" t="str">
        <f>IF(Indice_index!$Z$1=1,"VHA Pensão média nova Aposentação/Reforma (€)","YOY Change Rate of the Average Value paid per new Retirment Pensioner")</f>
        <v>VHA Pensão média nova Aposentação/Reforma (€)</v>
      </c>
      <c r="O212" s="437" t="str">
        <f>IF(Indice_index!$Z$1=1,"VHA Pensão média nova Sobrevivência e Outras (€)","YOY Change Rate of the Average Value paid per new Survival and Others Pensioner")</f>
        <v>VHA Pensão média nova Sobrevivência e Outras (€)</v>
      </c>
    </row>
    <row r="213" spans="2:15" ht="16.350000000000001" customHeight="1">
      <c r="B213" s="437"/>
      <c r="C213" s="437"/>
      <c r="D213" s="437" t="str">
        <f>IF(Indice_index!$Z$1=1,"Novos","New")</f>
        <v>Novos</v>
      </c>
      <c r="E213" s="437"/>
      <c r="F213" s="437"/>
      <c r="G213" s="437"/>
      <c r="H213" s="437" t="str">
        <f>IF(Indice_index!$Z$1=1,"Abonos abatidos de Aposentação/Reforma","Allowances deducted from Retirement/Pension")</f>
        <v>Abonos abatidos de Aposentação/Reforma</v>
      </c>
      <c r="I213" s="399" t="str">
        <f>IF(Indice_index!$Z$1=1,"Novos","New")</f>
        <v>Novos</v>
      </c>
      <c r="J213" s="400"/>
      <c r="K213" s="400"/>
      <c r="L213" s="401"/>
      <c r="M213" s="437" t="str">
        <f>IF(Indice_index!$Z$1=1,"Abonos abatidos de Aposentação /Reforma","Allowances deducted from Retirement / Pension")</f>
        <v>Abonos abatidos de Aposentação /Reforma</v>
      </c>
      <c r="N213" s="437"/>
      <c r="O213" s="437"/>
    </row>
    <row r="214" spans="2:15" ht="36" customHeight="1">
      <c r="B214" s="437"/>
      <c r="C214" s="437"/>
      <c r="D214" s="222" t="str">
        <f>IF(Indice_index!$Z$1=1,"Velhice e Outros Motivos","Old age and other Reasons")</f>
        <v>Velhice e Outros Motivos</v>
      </c>
      <c r="E214" s="222" t="str">
        <f>IF(Indice_index!$Z$1=1,"Invalidez","Disability")</f>
        <v>Invalidez</v>
      </c>
      <c r="F214" s="222" t="str">
        <f>IF(Indice_index!$Z$1=1,"Sobrevivência e Outros","Survival and Others")</f>
        <v>Sobrevivência e Outros</v>
      </c>
      <c r="G214" s="222" t="str">
        <f>IF(Indice_index!$Z$1=1,"Total de Pensionistas","Total of Pensioners")</f>
        <v>Total de Pensionistas</v>
      </c>
      <c r="H214" s="437"/>
      <c r="I214" s="222" t="str">
        <f>IF(Indice_index!$Z$1=1,"Velhice e Outros Motivos","Old age and other Reasons")</f>
        <v>Velhice e Outros Motivos</v>
      </c>
      <c r="J214" s="222" t="str">
        <f>IF(Indice_index!$Z$1=1,"Invalidez","Disability")</f>
        <v>Invalidez</v>
      </c>
      <c r="K214" s="222" t="str">
        <f>IF(Indice_index!$Z$1=1,"Sobrevivência e Outros","Survival and Others")</f>
        <v>Sobrevivência e Outros</v>
      </c>
      <c r="L214" s="222" t="str">
        <f>IF(Indice_index!$Z$1=1,"Total","Total")</f>
        <v>Total</v>
      </c>
      <c r="M214" s="437"/>
      <c r="N214" s="437"/>
      <c r="O214" s="437"/>
    </row>
    <row r="215" spans="2:15" ht="14.1" customHeight="1">
      <c r="B215" s="360">
        <v>2020</v>
      </c>
      <c r="C215" s="360"/>
      <c r="D215" s="234"/>
      <c r="E215" s="257"/>
      <c r="F215" s="257"/>
      <c r="G215" s="257"/>
      <c r="J215" s="257"/>
      <c r="L215" s="108"/>
      <c r="M215" s="108"/>
      <c r="N215" s="108"/>
      <c r="O215" s="108"/>
    </row>
    <row r="216" spans="2:15" ht="14.1" customHeight="1">
      <c r="B216" s="258"/>
      <c r="C216" s="259" t="str">
        <f>IF(Indice_index!$Z$1=1,"janeiro","January")</f>
        <v>janeiro</v>
      </c>
      <c r="D216" s="260">
        <v>62.625</v>
      </c>
      <c r="E216" s="260">
        <v>-42.285714285714285</v>
      </c>
      <c r="F216" s="260">
        <v>111.31578947368422</v>
      </c>
      <c r="G216" s="260">
        <v>73.371757925072046</v>
      </c>
      <c r="H216" s="5">
        <v>23.18271119842829</v>
      </c>
      <c r="I216" s="5">
        <v>29.061286504775534</v>
      </c>
      <c r="J216" s="5">
        <v>-29.759636700044805</v>
      </c>
      <c r="K216" s="5">
        <v>183.73480079569762</v>
      </c>
      <c r="L216" s="5">
        <v>59.865318660577472</v>
      </c>
      <c r="M216" s="5">
        <v>9.3987115660011096</v>
      </c>
      <c r="N216" s="5">
        <v>-15.821610759004487</v>
      </c>
      <c r="O216" s="5">
        <v>34.281868871370882</v>
      </c>
    </row>
    <row r="217" spans="2:15" ht="14.1" customHeight="1">
      <c r="B217" s="258"/>
      <c r="C217" s="259" t="str">
        <f>IF(Indice_index!$Z$1=1,"fevereiro","February")</f>
        <v>fevereiro</v>
      </c>
      <c r="D217" s="260">
        <v>69.750367107195302</v>
      </c>
      <c r="E217" s="260">
        <v>-48.192771084337352</v>
      </c>
      <c r="F217" s="260">
        <v>-12.791991101223582</v>
      </c>
      <c r="G217" s="260">
        <v>16.036655211912944</v>
      </c>
      <c r="H217" s="5">
        <v>15.657788539144471</v>
      </c>
      <c r="I217" s="5">
        <v>54.8245143838042</v>
      </c>
      <c r="J217" s="5">
        <v>-48.433576556043484</v>
      </c>
      <c r="K217" s="5">
        <v>-32.144047137106718</v>
      </c>
      <c r="L217" s="5">
        <v>13.080041952313362</v>
      </c>
      <c r="M217" s="5">
        <v>5.0751254229762619</v>
      </c>
      <c r="N217" s="5">
        <v>-7.3224789020543746</v>
      </c>
      <c r="O217" s="5">
        <v>-22.188340807174885</v>
      </c>
    </row>
    <row r="218" spans="2:15" ht="14.1" customHeight="1">
      <c r="B218" s="258"/>
      <c r="C218" s="259" t="str">
        <f>IF(Indice_index!$Z$1=1,"março","March")</f>
        <v>março</v>
      </c>
      <c r="D218" s="260">
        <v>118.25242718446603</v>
      </c>
      <c r="E218" s="260">
        <v>15.625</v>
      </c>
      <c r="F218" s="260">
        <v>-2.4255788313120177</v>
      </c>
      <c r="G218" s="260">
        <v>37.365911799761619</v>
      </c>
      <c r="H218" s="5">
        <v>-7.1994715984147959</v>
      </c>
      <c r="I218" s="5">
        <v>103.24281880757151</v>
      </c>
      <c r="J218" s="5">
        <v>3.273425399518167</v>
      </c>
      <c r="K218" s="5">
        <v>-7.2461062960342506</v>
      </c>
      <c r="L218" s="5">
        <v>47.943227140003522</v>
      </c>
      <c r="M218" s="5">
        <v>-9.3230300511125037</v>
      </c>
      <c r="N218" s="5">
        <v>-4.7326701896176457</v>
      </c>
      <c r="O218" s="5">
        <v>-4.9330643682376634</v>
      </c>
    </row>
    <row r="219" spans="2:15" ht="14.1" customHeight="1">
      <c r="B219" s="258"/>
      <c r="C219" s="259" t="str">
        <f>IF(Indice_index!$Z$1=1,"abril","April")</f>
        <v>abril</v>
      </c>
      <c r="D219" s="260">
        <v>28.544600938967136</v>
      </c>
      <c r="E219" s="260">
        <v>-64.968152866242036</v>
      </c>
      <c r="F219" s="260">
        <v>30.695770804911319</v>
      </c>
      <c r="G219" s="260">
        <v>15.388257575757574</v>
      </c>
      <c r="H219" s="5">
        <v>7.9545454545454541</v>
      </c>
      <c r="I219" s="5">
        <v>33.013179052279298</v>
      </c>
      <c r="J219" s="5">
        <v>-61.352029525055663</v>
      </c>
      <c r="K219" s="5">
        <v>14.532856191004734</v>
      </c>
      <c r="L219" s="5">
        <v>13.208872926954406</v>
      </c>
      <c r="M219" s="5">
        <v>4.7948691931676848</v>
      </c>
      <c r="N219" s="5">
        <v>5.2434456928838955</v>
      </c>
      <c r="O219" s="5">
        <v>-12.365783822476731</v>
      </c>
    </row>
    <row r="220" spans="2:15" ht="14.1" customHeight="1">
      <c r="B220" s="258"/>
      <c r="C220" s="259" t="str">
        <f>IF(Indice_index!$Z$1=1,"maio","May")</f>
        <v>maio</v>
      </c>
      <c r="D220" s="260">
        <v>35.726950354609926</v>
      </c>
      <c r="E220" s="260">
        <v>-68.032786885245898</v>
      </c>
      <c r="F220" s="260">
        <v>11.224489795918368</v>
      </c>
      <c r="G220" s="260">
        <v>14.906832298136646</v>
      </c>
      <c r="H220" s="5">
        <v>26.359447004608295</v>
      </c>
      <c r="I220" s="5">
        <v>28.281477037151841</v>
      </c>
      <c r="J220" s="5">
        <v>-62.701923332296637</v>
      </c>
      <c r="K220" s="5">
        <v>11.389292670056442</v>
      </c>
      <c r="L220" s="5">
        <v>14.832487390487422</v>
      </c>
      <c r="M220" s="5">
        <v>-14.691124358028137</v>
      </c>
      <c r="N220" s="5">
        <v>-1.3377159455740713</v>
      </c>
      <c r="O220" s="5">
        <v>0.15533980582523388</v>
      </c>
    </row>
    <row r="221" spans="2:15" ht="14.1" customHeight="1">
      <c r="B221" s="258"/>
      <c r="C221" s="259" t="str">
        <f>IF(Indice_index!$Z$1=1,"junho","June")</f>
        <v>junho</v>
      </c>
      <c r="D221" s="260">
        <v>58.6</v>
      </c>
      <c r="E221" s="260">
        <v>-65.5</v>
      </c>
      <c r="F221" s="260">
        <v>-11.9</v>
      </c>
      <c r="G221" s="260">
        <v>12.3</v>
      </c>
      <c r="H221" s="5">
        <v>7.5</v>
      </c>
      <c r="I221" s="5">
        <v>63.2</v>
      </c>
      <c r="J221" s="5">
        <v>-66.2</v>
      </c>
      <c r="K221" s="5">
        <v>-7.2</v>
      </c>
      <c r="L221" s="5">
        <v>24.3</v>
      </c>
      <c r="M221" s="5">
        <v>8.1999999999999993</v>
      </c>
      <c r="N221" s="5">
        <v>2.4</v>
      </c>
      <c r="O221" s="5">
        <v>5.4</v>
      </c>
    </row>
    <row r="222" spans="2:15" ht="14.1" customHeight="1">
      <c r="B222" s="258"/>
      <c r="C222" s="259" t="str">
        <f>IF(Indice_index!$Z$1=1,"julho","July")</f>
        <v>julho</v>
      </c>
      <c r="D222" s="260">
        <v>43.3</v>
      </c>
      <c r="E222" s="260">
        <v>-64.599999999999994</v>
      </c>
      <c r="F222" s="260">
        <v>24.4</v>
      </c>
      <c r="G222" s="260">
        <v>26.8</v>
      </c>
      <c r="H222" s="5">
        <v>20.100000000000001</v>
      </c>
      <c r="I222" s="5">
        <v>44</v>
      </c>
      <c r="J222" s="5">
        <v>-64.5</v>
      </c>
      <c r="K222" s="5">
        <v>30.8</v>
      </c>
      <c r="L222" s="5">
        <v>30.6</v>
      </c>
      <c r="M222" s="5">
        <v>28.5</v>
      </c>
      <c r="N222" s="5">
        <v>1.7</v>
      </c>
      <c r="O222" s="5">
        <v>5.2</v>
      </c>
    </row>
    <row r="223" spans="2:15" ht="14.1" customHeight="1">
      <c r="B223" s="258"/>
      <c r="C223" s="259" t="str">
        <f>IF(Indice_index!$Z$1=1,"agosto","August")</f>
        <v>agosto</v>
      </c>
      <c r="D223" s="260">
        <v>51.079136690647488</v>
      </c>
      <c r="E223" s="260">
        <v>-77.070063694267517</v>
      </c>
      <c r="F223" s="260">
        <v>17.23329425556858</v>
      </c>
      <c r="G223" s="260">
        <v>26.374180534543623</v>
      </c>
      <c r="H223" s="5">
        <v>10.084825636192271</v>
      </c>
      <c r="I223" s="5">
        <v>78.072897743494167</v>
      </c>
      <c r="J223" s="5">
        <v>-77.063042667441266</v>
      </c>
      <c r="K223" s="5">
        <v>32.584157565991759</v>
      </c>
      <c r="L223" s="5">
        <v>51.100963168788326</v>
      </c>
      <c r="M223" s="5">
        <v>13.459985911226461</v>
      </c>
      <c r="N223" s="5">
        <v>18.17082247860067</v>
      </c>
      <c r="O223" s="5">
        <v>13.086017121891548</v>
      </c>
    </row>
    <row r="224" spans="2:15" ht="14.1" customHeight="1">
      <c r="B224" s="258"/>
      <c r="C224" s="259" t="str">
        <f>IF(Indice_index!$Z$1=1,"setembro","September")</f>
        <v>setembro</v>
      </c>
      <c r="D224" s="260">
        <v>29.469548133595286</v>
      </c>
      <c r="E224" s="260">
        <v>-84.574468085106375</v>
      </c>
      <c r="F224" s="260">
        <v>-16.069489685124864</v>
      </c>
      <c r="G224" s="260">
        <v>-0.32910202162670427</v>
      </c>
      <c r="H224" s="5">
        <v>32.183908045977013</v>
      </c>
      <c r="I224" s="5">
        <v>73.446873621707283</v>
      </c>
      <c r="J224" s="5">
        <v>-81.573720194209571</v>
      </c>
      <c r="K224" s="5">
        <v>7.8137034258189546</v>
      </c>
      <c r="L224" s="5">
        <v>40.448908404512032</v>
      </c>
      <c r="M224" s="5">
        <v>28.034566716222109</v>
      </c>
      <c r="N224" s="5">
        <v>34.141694093192456</v>
      </c>
      <c r="O224" s="5">
        <v>28.4661446338093</v>
      </c>
    </row>
    <row r="225" spans="2:15" ht="14.1" customHeight="1">
      <c r="B225" s="258"/>
      <c r="C225" s="259" t="str">
        <f>IF(Indice_index!$Z$1=1,"outubro","October")</f>
        <v>outubro</v>
      </c>
      <c r="D225" s="260">
        <v>45.3</v>
      </c>
      <c r="E225" s="260">
        <v>-69</v>
      </c>
      <c r="F225" s="260">
        <v>5.2</v>
      </c>
      <c r="G225" s="260">
        <v>21.4</v>
      </c>
      <c r="H225" s="5">
        <v>1.9</v>
      </c>
      <c r="I225" s="5">
        <v>89.3</v>
      </c>
      <c r="J225" s="5">
        <v>-56.6</v>
      </c>
      <c r="K225" s="5">
        <v>29.8</v>
      </c>
      <c r="L225" s="5">
        <v>64.7</v>
      </c>
      <c r="M225" s="5">
        <v>3.5</v>
      </c>
      <c r="N225" s="5">
        <v>30.7</v>
      </c>
      <c r="O225" s="5">
        <v>23.4</v>
      </c>
    </row>
    <row r="226" spans="2:15" ht="14.1" customHeight="1">
      <c r="B226" s="258"/>
      <c r="C226" s="259" t="str">
        <f>IF(Indice_index!$Z$1=1,"novembro","November")</f>
        <v>novembro</v>
      </c>
      <c r="D226" s="260">
        <v>-46</v>
      </c>
      <c r="E226" s="260">
        <v>-51.1</v>
      </c>
      <c r="F226" s="260">
        <v>-15.8</v>
      </c>
      <c r="G226" s="260">
        <v>-36.700000000000003</v>
      </c>
      <c r="H226" s="5">
        <v>10.5</v>
      </c>
      <c r="I226" s="5">
        <v>17</v>
      </c>
      <c r="J226" s="5">
        <v>-47.6</v>
      </c>
      <c r="K226" s="5">
        <v>-7.3</v>
      </c>
      <c r="L226" s="5">
        <v>5.9</v>
      </c>
      <c r="M226" s="5">
        <v>10.7</v>
      </c>
      <c r="N226" s="5">
        <v>104.6</v>
      </c>
      <c r="O226" s="5">
        <v>10.1</v>
      </c>
    </row>
    <row r="227" spans="2:15" ht="14.1" customHeight="1">
      <c r="B227" s="258"/>
      <c r="C227" s="259" t="str">
        <f>IF(Indice_index!$Z$1=1,"dezembro","December")</f>
        <v>dezembro</v>
      </c>
      <c r="D227" s="260">
        <v>-48.8</v>
      </c>
      <c r="E227" s="260">
        <v>-35.799999999999997</v>
      </c>
      <c r="F227" s="260">
        <v>38.299999999999997</v>
      </c>
      <c r="G227" s="260">
        <v>-28.6</v>
      </c>
      <c r="H227" s="5">
        <v>17.600000000000001</v>
      </c>
      <c r="I227" s="5">
        <v>3.4</v>
      </c>
      <c r="J227" s="5">
        <v>-24.4</v>
      </c>
      <c r="K227" s="5">
        <v>53.1</v>
      </c>
      <c r="L227" s="5">
        <v>8.1999999999999993</v>
      </c>
      <c r="M227" s="5">
        <v>19.8</v>
      </c>
      <c r="N227" s="5">
        <v>93.7</v>
      </c>
      <c r="O227" s="5">
        <v>10.7</v>
      </c>
    </row>
    <row r="228" spans="2:15" ht="14.1" customHeight="1">
      <c r="B228" s="360" t="s">
        <v>15</v>
      </c>
      <c r="C228" s="360"/>
      <c r="D228" s="234"/>
      <c r="E228" s="257"/>
      <c r="F228" s="257"/>
      <c r="G228" s="257"/>
      <c r="J228" s="257"/>
      <c r="L228" s="108"/>
      <c r="M228" s="108"/>
      <c r="N228" s="108"/>
      <c r="O228" s="108"/>
    </row>
    <row r="229" spans="2:15" ht="14.1" customHeight="1">
      <c r="B229" s="258"/>
      <c r="C229" s="259" t="str">
        <f>IF(Indice_index!$Z$1=1,"janeiro","January")</f>
        <v>janeiro</v>
      </c>
      <c r="D229" s="260">
        <v>-21.3</v>
      </c>
      <c r="E229" s="260">
        <v>-13.9</v>
      </c>
      <c r="F229" s="260">
        <v>-57.8</v>
      </c>
      <c r="G229" s="260">
        <v>-40.5</v>
      </c>
      <c r="H229" s="5">
        <v>5.2</v>
      </c>
      <c r="I229" s="5">
        <v>16.600000000000001</v>
      </c>
      <c r="J229" s="5">
        <v>-13.6</v>
      </c>
      <c r="K229" s="5">
        <v>-66.8</v>
      </c>
      <c r="L229" s="5">
        <v>-20.100000000000001</v>
      </c>
      <c r="M229" s="5">
        <v>22.9</v>
      </c>
      <c r="N229" s="5">
        <v>44.1</v>
      </c>
      <c r="O229" s="5">
        <v>-21.3</v>
      </c>
    </row>
    <row r="230" spans="2:15" ht="14.1" customHeight="1">
      <c r="B230" s="258"/>
      <c r="C230" s="259" t="str">
        <f>IF(Indice_index!$Z$1=1,"fevereiro","February")</f>
        <v>fevereiro</v>
      </c>
      <c r="D230" s="260">
        <v>-23.6</v>
      </c>
      <c r="E230" s="260">
        <v>17.399999999999999</v>
      </c>
      <c r="F230" s="260">
        <v>6.6</v>
      </c>
      <c r="G230" s="260">
        <v>-10.199999999999999</v>
      </c>
      <c r="H230" s="5">
        <v>17.100000000000001</v>
      </c>
      <c r="I230" s="5">
        <v>4</v>
      </c>
      <c r="J230" s="5">
        <v>6.8</v>
      </c>
      <c r="K230" s="5">
        <v>34.9</v>
      </c>
      <c r="L230" s="5">
        <v>10.3</v>
      </c>
      <c r="M230" s="5">
        <v>31.2</v>
      </c>
      <c r="N230" s="5">
        <v>31.5</v>
      </c>
      <c r="O230" s="5">
        <v>26.5</v>
      </c>
    </row>
    <row r="231" spans="2:15" ht="14.1" customHeight="1">
      <c r="B231" s="258"/>
      <c r="C231" s="259" t="str">
        <f>IF(Indice_index!$Z$1=1,"março","March")</f>
        <v>março</v>
      </c>
      <c r="D231" s="260">
        <v>-7.8291814946619214</v>
      </c>
      <c r="E231" s="260">
        <v>-25</v>
      </c>
      <c r="F231" s="260">
        <v>21.807909604519775</v>
      </c>
      <c r="G231" s="260">
        <v>1.3449023861171365</v>
      </c>
      <c r="H231" s="5">
        <v>71.17437722419929</v>
      </c>
      <c r="I231" s="5">
        <v>10.839271844964628</v>
      </c>
      <c r="J231" s="5">
        <v>-53.224774859240931</v>
      </c>
      <c r="K231" s="5">
        <v>33.704238057488389</v>
      </c>
      <c r="L231" s="5">
        <v>7.3137086631989163</v>
      </c>
      <c r="M231" s="5">
        <v>82.598302873765732</v>
      </c>
      <c r="N231" s="5">
        <v>13.280039154906595</v>
      </c>
      <c r="O231" s="5">
        <v>9.7608024691358075</v>
      </c>
    </row>
    <row r="232" spans="2:15" ht="14.1" customHeight="1">
      <c r="B232" s="258"/>
      <c r="C232" s="259" t="str">
        <f>IF(Indice_index!$Z$1=1,"abril","April")</f>
        <v>abril</v>
      </c>
      <c r="D232" s="260">
        <v>-6.281957633308985</v>
      </c>
      <c r="E232" s="260">
        <v>-34.545454545454547</v>
      </c>
      <c r="F232" s="260">
        <v>29.018789144050107</v>
      </c>
      <c r="G232" s="260">
        <v>6.3192449733278613</v>
      </c>
      <c r="H232" s="5">
        <v>47.969924812030072</v>
      </c>
      <c r="I232" s="5">
        <v>4.0676343472848737</v>
      </c>
      <c r="J232" s="5">
        <v>-48.029008441945891</v>
      </c>
      <c r="K232" s="5">
        <v>51.514067622768657</v>
      </c>
      <c r="L232" s="5">
        <v>10.539632890099218</v>
      </c>
      <c r="M232" s="5">
        <v>60.052185415998402</v>
      </c>
      <c r="N232" s="5">
        <v>9.4424673784104467</v>
      </c>
      <c r="O232" s="5">
        <v>17.418827853788034</v>
      </c>
    </row>
    <row r="233" spans="2:15" ht="14.1" customHeight="1">
      <c r="B233" s="258"/>
      <c r="C233" s="259" t="str">
        <f>IF(Indice_index!$Z$1=1,"maio","May")</f>
        <v>maio</v>
      </c>
      <c r="D233" s="260">
        <v>-14.565643370346178</v>
      </c>
      <c r="E233" s="260">
        <v>41.025641025641022</v>
      </c>
      <c r="F233" s="260">
        <v>4.281345565749235</v>
      </c>
      <c r="G233" s="260">
        <v>-5.7528957528957525</v>
      </c>
      <c r="H233" s="5">
        <v>-8.2421590080233411</v>
      </c>
      <c r="I233" s="5">
        <v>-8.4815652405224604</v>
      </c>
      <c r="J233" s="5">
        <v>44.040690654105155</v>
      </c>
      <c r="K233" s="5">
        <v>9.7212951494644315</v>
      </c>
      <c r="L233" s="5">
        <v>-3.0334569693196789</v>
      </c>
      <c r="M233" s="5">
        <v>-8.1790431814499112</v>
      </c>
      <c r="N233" s="5">
        <v>6.5003486480204433</v>
      </c>
      <c r="O233" s="5">
        <v>5.215199689802267</v>
      </c>
    </row>
    <row r="234" spans="2:15" ht="14.1" customHeight="1">
      <c r="B234" s="258"/>
      <c r="C234" s="259" t="str">
        <f>IF(Indice_index!$Z$1=1,"junho","June")</f>
        <v>junho</v>
      </c>
      <c r="D234" s="260">
        <v>-13.609072715143428</v>
      </c>
      <c r="E234" s="260">
        <v>24.719101123595504</v>
      </c>
      <c r="F234" s="260">
        <v>7.9768786127167628</v>
      </c>
      <c r="G234" s="260">
        <v>-4.6066041581736643</v>
      </c>
      <c r="H234" s="5">
        <v>-17.197924388435879</v>
      </c>
      <c r="I234" s="5">
        <v>-8.0579048029668616</v>
      </c>
      <c r="J234" s="5">
        <v>25.44285058084273</v>
      </c>
      <c r="K234" s="5">
        <v>9.7923334781002129</v>
      </c>
      <c r="L234" s="5">
        <v>-3.169834198033282</v>
      </c>
      <c r="M234" s="5">
        <v>-19.66870692142265</v>
      </c>
      <c r="N234" s="5">
        <v>5.8999676270637824</v>
      </c>
      <c r="O234" s="5">
        <v>1.6955468604434336</v>
      </c>
    </row>
    <row r="235" spans="2:15" ht="14.1" customHeight="1">
      <c r="B235" s="258"/>
      <c r="C235" s="259" t="str">
        <f>IF(Indice_index!$Z$1=1,"julho","July")</f>
        <v>julho</v>
      </c>
      <c r="D235" s="260">
        <v>6.6115702479338845</v>
      </c>
      <c r="E235" s="260">
        <v>84.482758620689651</v>
      </c>
      <c r="F235" s="260">
        <v>-17.222820236813778</v>
      </c>
      <c r="G235" s="260">
        <v>-0.61500615006150061</v>
      </c>
      <c r="H235" s="5">
        <v>0</v>
      </c>
      <c r="I235" s="5">
        <v>5.0085718424355763</v>
      </c>
      <c r="J235" s="5">
        <v>87.175888936439208</v>
      </c>
      <c r="K235" s="5">
        <v>-27.947730603627512</v>
      </c>
      <c r="L235" s="5">
        <v>0.20488227365179362</v>
      </c>
      <c r="M235" s="5">
        <v>5.1803294521605645</v>
      </c>
      <c r="N235" s="5">
        <v>-1.6581632653061156</v>
      </c>
      <c r="O235" s="5">
        <v>-12.962962962962965</v>
      </c>
    </row>
    <row r="236" spans="2:15" ht="14.1" customHeight="1">
      <c r="B236" s="258"/>
      <c r="C236" s="259" t="str">
        <f>IF(Indice_index!$Z$1=1,"agosto","August")</f>
        <v>agosto</v>
      </c>
      <c r="D236" s="260">
        <v>1.0884353741496597</v>
      </c>
      <c r="E236" s="260">
        <v>250</v>
      </c>
      <c r="F236" s="260">
        <v>-13.700000000000001</v>
      </c>
      <c r="G236" s="260">
        <v>-1.2370311252992818</v>
      </c>
      <c r="H236" s="5">
        <v>-9.4178082191780828</v>
      </c>
      <c r="I236" s="5">
        <v>1.1528777438475686</v>
      </c>
      <c r="J236" s="5">
        <v>284.5793446017957</v>
      </c>
      <c r="K236" s="5">
        <v>-15.542383367587629</v>
      </c>
      <c r="L236" s="5">
        <v>1.6462628904625347</v>
      </c>
      <c r="M236" s="5">
        <v>-9.4192375120917387</v>
      </c>
      <c r="N236" s="5">
        <v>-0.38579639398471494</v>
      </c>
      <c r="O236" s="5">
        <v>-2.1268925739004967</v>
      </c>
    </row>
    <row r="237" spans="2:15" ht="14.1" customHeight="1">
      <c r="B237" s="258"/>
      <c r="C237" s="259" t="str">
        <f>IF(Indice_index!$Z$1=1,"setembro","September")</f>
        <v>setembro</v>
      </c>
      <c r="D237" s="260">
        <v>-9.3323216995447638</v>
      </c>
      <c r="E237" s="260">
        <v>203.44827586206895</v>
      </c>
      <c r="F237" s="260">
        <v>-5.8214747736093138</v>
      </c>
      <c r="G237" s="260">
        <v>-5.1415094339622645</v>
      </c>
      <c r="H237" s="5">
        <v>-11.067193675889328</v>
      </c>
      <c r="I237" s="5">
        <v>-12.809356610489218</v>
      </c>
      <c r="J237" s="5">
        <v>140.93232406620285</v>
      </c>
      <c r="K237" s="5">
        <v>-9.7409309505205357</v>
      </c>
      <c r="L237" s="5">
        <v>-9.895767217684762</v>
      </c>
      <c r="M237" s="5">
        <v>-3.3772702929630589</v>
      </c>
      <c r="N237" s="5">
        <v>-5.4364669421487637</v>
      </c>
      <c r="O237" s="5">
        <v>-4.1591968447472096</v>
      </c>
    </row>
    <row r="238" spans="2:15" ht="14.1" customHeight="1">
      <c r="B238" s="258"/>
      <c r="C238" s="259" t="str">
        <f>IF(Indice_index!$Z$1=1,"outubro","October")</f>
        <v>outubro</v>
      </c>
      <c r="D238" s="260">
        <v>4.9751243781094532</v>
      </c>
      <c r="E238" s="260">
        <v>270.37037037037038</v>
      </c>
      <c r="F238" s="260">
        <v>-20.181112548512289</v>
      </c>
      <c r="G238" s="260">
        <v>-1.1465603190428715</v>
      </c>
      <c r="H238" s="5">
        <v>5.0390964378801044</v>
      </c>
      <c r="I238" s="5">
        <v>-6.0763421714063153</v>
      </c>
      <c r="J238" s="5">
        <v>194.01323091652299</v>
      </c>
      <c r="K238" s="5">
        <v>-25.297590254874684</v>
      </c>
      <c r="L238" s="5">
        <v>-5.9955164390096174</v>
      </c>
      <c r="M238" s="5">
        <v>0.9546927428930112</v>
      </c>
      <c r="N238" s="5">
        <v>-11.072640868974876</v>
      </c>
      <c r="O238" s="5">
        <v>-6.4081558346986949</v>
      </c>
    </row>
    <row r="239" spans="2:15" ht="14.1" customHeight="1">
      <c r="B239" s="258"/>
      <c r="C239" s="259" t="str">
        <f>IF(Indice_index!$Z$1=1,"novembro","November")</f>
        <v>novembro</v>
      </c>
      <c r="D239" s="260">
        <v>6.4806480648064806</v>
      </c>
      <c r="E239" s="260">
        <v>19.767441860465116</v>
      </c>
      <c r="F239" s="260">
        <v>-8.2663605051664764</v>
      </c>
      <c r="G239" s="260">
        <v>0.82205029013539643</v>
      </c>
      <c r="H239" s="5">
        <v>0.34423407917383825</v>
      </c>
      <c r="I239" s="5">
        <v>-9.690802327995101</v>
      </c>
      <c r="J239" s="5">
        <v>27.931887816267697</v>
      </c>
      <c r="K239" s="5">
        <v>2.9603281138616149</v>
      </c>
      <c r="L239" s="5">
        <v>-5.600200726058632</v>
      </c>
      <c r="M239" s="5">
        <v>0.9995907799451953</v>
      </c>
      <c r="N239" s="5">
        <v>-14.036321780278808</v>
      </c>
      <c r="O239" s="5">
        <v>12.225034066575812</v>
      </c>
    </row>
    <row r="240" spans="2:15" ht="14.1" customHeight="1">
      <c r="B240" s="258"/>
      <c r="C240" s="259" t="str">
        <f>IF(Indice_index!$Z$1=1,"dezembro","December")</f>
        <v>dezembro</v>
      </c>
      <c r="D240" s="260">
        <v>19.01608325449385</v>
      </c>
      <c r="E240" s="260">
        <v>-18.867924528301888</v>
      </c>
      <c r="F240" s="260">
        <v>-10.123734533183352</v>
      </c>
      <c r="G240" s="260">
        <v>4.4346978557504872</v>
      </c>
      <c r="H240" s="5">
        <v>-10.170807453416149</v>
      </c>
      <c r="I240" s="5">
        <v>-7.0280443294290809</v>
      </c>
      <c r="J240" s="5">
        <v>-18.226872590732171</v>
      </c>
      <c r="K240" s="5">
        <v>-9.4014733085164384</v>
      </c>
      <c r="L240" s="5">
        <v>-8.052363887392282</v>
      </c>
      <c r="M240" s="5">
        <v>-6.4650862252319223</v>
      </c>
      <c r="N240" s="5">
        <v>-20.150636619044779</v>
      </c>
      <c r="O240" s="5">
        <v>0.81780144541652111</v>
      </c>
    </row>
    <row r="241" spans="2:15" ht="14.1" customHeight="1">
      <c r="B241" s="360" t="s">
        <v>16</v>
      </c>
      <c r="C241" s="360"/>
      <c r="D241" s="234"/>
      <c r="E241" s="257"/>
      <c r="F241" s="257"/>
      <c r="G241" s="257"/>
      <c r="J241" s="257"/>
      <c r="L241" s="108"/>
      <c r="M241" s="108"/>
      <c r="N241" s="108"/>
      <c r="O241" s="108"/>
    </row>
    <row r="242" spans="2:15" ht="14.1" customHeight="1">
      <c r="B242" s="258"/>
      <c r="C242" s="259" t="str">
        <f>IF(Indice_index!$Z$1=1,"janeiro","January")</f>
        <v>janeiro</v>
      </c>
      <c r="D242" s="260">
        <v>40.33203125</v>
      </c>
      <c r="E242" s="260">
        <v>10.344827586206897</v>
      </c>
      <c r="F242" s="260">
        <v>-8.112094395280236</v>
      </c>
      <c r="G242" s="260">
        <v>20.514253773057575</v>
      </c>
      <c r="H242" s="5">
        <v>0.45489006823351025</v>
      </c>
      <c r="I242" s="5">
        <v>22.305863522315818</v>
      </c>
      <c r="J242" s="5">
        <v>1.6508153079192049</v>
      </c>
      <c r="K242" s="5">
        <v>-13.902845481270507</v>
      </c>
      <c r="L242" s="5">
        <v>14.911728527222698</v>
      </c>
      <c r="M242" s="5">
        <v>4.814647640107542</v>
      </c>
      <c r="N242" s="5">
        <v>-12.258681108633329</v>
      </c>
      <c r="O242" s="5">
        <v>-6.2943423685646742</v>
      </c>
    </row>
    <row r="243" spans="2:15" ht="14.1" customHeight="1">
      <c r="B243" s="258"/>
      <c r="C243" s="259" t="str">
        <f>IF(Indice_index!$Z$1=1,"fevereiro","February")</f>
        <v>fevereiro</v>
      </c>
      <c r="D243" s="260">
        <v>51.415628539071342</v>
      </c>
      <c r="E243" s="260">
        <v>-48.514851485148512</v>
      </c>
      <c r="F243" s="260">
        <v>-16.746411483253588</v>
      </c>
      <c r="G243" s="260">
        <v>14.560439560439562</v>
      </c>
      <c r="H243" s="5">
        <v>-10.786650774731823</v>
      </c>
      <c r="I243" s="5">
        <v>45.549798815759672</v>
      </c>
      <c r="J243" s="5">
        <v>-34.053268290232694</v>
      </c>
      <c r="K243" s="5">
        <v>-11.666590267175669</v>
      </c>
      <c r="L243" s="5">
        <v>27.194810628425365</v>
      </c>
      <c r="M243" s="5">
        <v>-10.82566351975551</v>
      </c>
      <c r="N243" s="5">
        <v>-0.90953613657034915</v>
      </c>
      <c r="O243" s="5">
        <v>6.1042274052478138</v>
      </c>
    </row>
    <row r="244" spans="2:15" ht="14.1" customHeight="1">
      <c r="B244" s="258"/>
      <c r="C244" s="259" t="str">
        <f>IF(Indice_index!$Z$1=1,"março","March")</f>
        <v>março</v>
      </c>
      <c r="D244" s="260">
        <v>8.7837837837837842</v>
      </c>
      <c r="E244" s="260">
        <v>-63.513513513513509</v>
      </c>
      <c r="F244" s="260">
        <v>-30.241187384044526</v>
      </c>
      <c r="G244" s="260">
        <v>-16.095890410958905</v>
      </c>
      <c r="H244" s="5">
        <v>-41.455301455301459</v>
      </c>
      <c r="I244" s="5">
        <v>8.5940753215003394</v>
      </c>
      <c r="J244" s="5">
        <v>-30.92030818300206</v>
      </c>
      <c r="K244" s="5">
        <v>-41.223820233966045</v>
      </c>
      <c r="L244" s="5">
        <v>-6.5820380084581718</v>
      </c>
      <c r="M244" s="5">
        <v>-39.410469630938792</v>
      </c>
      <c r="N244" s="5">
        <v>9.9517534384676356</v>
      </c>
      <c r="O244" s="5">
        <v>-15.746924428822501</v>
      </c>
    </row>
    <row r="245" spans="2:15" ht="14.1" customHeight="1">
      <c r="B245" s="258"/>
      <c r="C245" s="259" t="str">
        <f>IF(Indice_index!$Z$1=1,"abril","April")</f>
        <v>abril</v>
      </c>
      <c r="D245" s="260">
        <v>3.9750584567420111</v>
      </c>
      <c r="E245" s="260">
        <v>-6.9444444444444446</v>
      </c>
      <c r="F245" s="260">
        <v>-24.595469255663431</v>
      </c>
      <c r="G245" s="260">
        <v>-9.95754534928599</v>
      </c>
      <c r="H245" s="5">
        <v>-27.38821138211382</v>
      </c>
      <c r="I245" s="5">
        <v>10.23626176330926</v>
      </c>
      <c r="J245" s="5">
        <v>-0.726983799668946</v>
      </c>
      <c r="K245" s="5">
        <v>-30.943539529049314</v>
      </c>
      <c r="L245" s="5">
        <v>-1.383180120779361</v>
      </c>
      <c r="M245" s="5">
        <v>-27.141627720027167</v>
      </c>
      <c r="N245" s="5">
        <v>6.2143218440638766</v>
      </c>
      <c r="O245" s="5">
        <v>-8.4173913043478219</v>
      </c>
    </row>
    <row r="246" spans="2:15" ht="14.1" customHeight="1">
      <c r="B246" s="258"/>
      <c r="C246" s="259" t="str">
        <f>IF(Indice_index!$Z$1=1,"maio","May")</f>
        <v>maio</v>
      </c>
      <c r="D246" s="260">
        <v>18.807339449541285</v>
      </c>
      <c r="E246" s="260">
        <v>-30</v>
      </c>
      <c r="F246" s="260">
        <v>-20.821114369501466</v>
      </c>
      <c r="G246" s="260">
        <v>0</v>
      </c>
      <c r="H246" s="5">
        <v>7.9491255961844196</v>
      </c>
      <c r="I246" s="5">
        <v>38.494988235755002</v>
      </c>
      <c r="J246" s="5">
        <v>-35.02629038086301</v>
      </c>
      <c r="K246" s="5">
        <v>-17.264874383035178</v>
      </c>
      <c r="L246" s="5">
        <v>22.220851039469331</v>
      </c>
      <c r="M246" s="5">
        <v>10.554701472596266</v>
      </c>
      <c r="N246" s="5">
        <v>16.041030117852468</v>
      </c>
      <c r="O246" s="5">
        <v>4.4960383268840936</v>
      </c>
    </row>
    <row r="247" spans="2:15" ht="14.1" customHeight="1">
      <c r="B247" s="258"/>
      <c r="C247" s="259" t="str">
        <f>IF(Indice_index!$Z$1=1,"junho","June")</f>
        <v>junho</v>
      </c>
      <c r="D247" s="260">
        <v>23.243243243243246</v>
      </c>
      <c r="E247" s="260">
        <v>-12.612612612612612</v>
      </c>
      <c r="F247" s="260">
        <v>-10.492505353319057</v>
      </c>
      <c r="G247" s="260">
        <v>8.0769230769230766</v>
      </c>
      <c r="H247" s="5">
        <v>18.263205013428827</v>
      </c>
      <c r="I247" s="5">
        <v>54.366247694733858</v>
      </c>
      <c r="J247" s="5">
        <v>-18.612591684026185</v>
      </c>
      <c r="K247" s="5">
        <v>-10.771702382327014</v>
      </c>
      <c r="L247" s="5">
        <v>36.078310418312739</v>
      </c>
      <c r="M247" s="5">
        <v>23.857149090524139</v>
      </c>
      <c r="N247" s="5">
        <v>23.790599923576611</v>
      </c>
      <c r="O247" s="5">
        <v>-0.3114694027116035</v>
      </c>
    </row>
    <row r="248" spans="2:15" ht="14.1" customHeight="1">
      <c r="B248" s="258"/>
      <c r="C248" s="259" t="str">
        <f>IF(Indice_index!$Z$1=1,"julho","July")</f>
        <v>julho</v>
      </c>
      <c r="D248" s="260">
        <v>-30.87855297157623</v>
      </c>
      <c r="E248" s="260">
        <v>-25.233644859813083</v>
      </c>
      <c r="F248" s="260">
        <v>-10.273081924577374</v>
      </c>
      <c r="G248" s="260">
        <v>-24.092409240924091</v>
      </c>
      <c r="H248" s="5">
        <v>13.936651583710407</v>
      </c>
      <c r="I248" s="5">
        <v>-16.557965022558076</v>
      </c>
      <c r="J248" s="5">
        <v>-26.381531179405748</v>
      </c>
      <c r="K248" s="5">
        <v>-4.3492300729846729</v>
      </c>
      <c r="L248" s="5">
        <v>-15.184254271403594</v>
      </c>
      <c r="M248" s="5">
        <v>11.071876292484903</v>
      </c>
      <c r="N248" s="5">
        <v>19.256885633630873</v>
      </c>
      <c r="O248" s="5">
        <v>6.6193853427896023</v>
      </c>
    </row>
    <row r="249" spans="2:15" ht="14.1" customHeight="1">
      <c r="B249" s="258"/>
      <c r="C249" s="259" t="str">
        <f>IF(Indice_index!$Z$1=1,"agosto","August")</f>
        <v>agosto</v>
      </c>
      <c r="D249" s="260">
        <v>-21.534320323014803</v>
      </c>
      <c r="E249" s="260">
        <v>-36.507936507936506</v>
      </c>
      <c r="F249" s="260">
        <v>-10.196987253765933</v>
      </c>
      <c r="G249" s="260">
        <v>-18.343434343434343</v>
      </c>
      <c r="H249" s="5">
        <v>29.017013232514177</v>
      </c>
      <c r="I249" s="5">
        <v>-0.51099783583984504</v>
      </c>
      <c r="J249" s="5">
        <v>-39.274236561710566</v>
      </c>
      <c r="K249" s="5">
        <v>-2.673506885388639</v>
      </c>
      <c r="L249" s="5">
        <v>-3.1128428435897515</v>
      </c>
      <c r="M249" s="5">
        <v>36.404253231242009</v>
      </c>
      <c r="N249" s="5">
        <v>25.221308883970906</v>
      </c>
      <c r="O249" s="5">
        <v>8.3793738489871075</v>
      </c>
    </row>
    <row r="250" spans="2:15" ht="14.1" customHeight="1">
      <c r="B250" s="258"/>
      <c r="C250" s="259" t="str">
        <f>IF(Indice_index!$Z$1=1,"setembro","September")</f>
        <v>setembro</v>
      </c>
      <c r="D250" s="260">
        <v>11.631799163179917</v>
      </c>
      <c r="E250" s="260">
        <v>0</v>
      </c>
      <c r="F250" s="260">
        <v>15.384615384615385</v>
      </c>
      <c r="G250" s="260">
        <v>12.481352560914969</v>
      </c>
      <c r="H250" s="5">
        <v>15.37777777777778</v>
      </c>
      <c r="I250" s="5">
        <v>23.445396569347331</v>
      </c>
      <c r="J250" s="5">
        <v>19.337407913023544</v>
      </c>
      <c r="K250" s="5">
        <v>8.998576602709484</v>
      </c>
      <c r="L250" s="5">
        <v>20.796074168410534</v>
      </c>
      <c r="M250" s="5">
        <v>10.053629495858649</v>
      </c>
      <c r="N250" s="5">
        <v>11.190768810596758</v>
      </c>
      <c r="O250" s="5">
        <v>-5.5368499812944298</v>
      </c>
    </row>
    <row r="251" spans="2:15" ht="14.1" customHeight="1">
      <c r="B251" s="258"/>
      <c r="C251" s="259" t="str">
        <f>IF(Indice_index!$Z$1=1,"outubro","October")</f>
        <v>outubro</v>
      </c>
      <c r="D251" s="260">
        <v>6.8720379146919433</v>
      </c>
      <c r="E251" s="260">
        <v>-28.000000000000004</v>
      </c>
      <c r="F251" s="260">
        <v>26.742301458670987</v>
      </c>
      <c r="G251" s="260">
        <v>11.29601613716591</v>
      </c>
      <c r="H251" s="5">
        <v>4.8800661703887513</v>
      </c>
      <c r="I251" s="5">
        <v>31.487891891253621</v>
      </c>
      <c r="J251" s="5">
        <v>-25.111854241096804</v>
      </c>
      <c r="K251" s="5">
        <v>21.328674503232854</v>
      </c>
      <c r="L251" s="5">
        <v>26.664178590580928</v>
      </c>
      <c r="M251" s="5">
        <v>9.7256432305006459</v>
      </c>
      <c r="N251" s="5">
        <v>22.329948851057331</v>
      </c>
      <c r="O251" s="5">
        <v>-4.2598716203073392</v>
      </c>
    </row>
    <row r="252" spans="2:15" ht="14.1" customHeight="1">
      <c r="B252" s="258"/>
      <c r="C252" s="259" t="str">
        <f>IF(Indice_index!$Z$1=1,"novembro","November")</f>
        <v>novembro</v>
      </c>
      <c r="D252" s="260">
        <v>-6.3398140321217236</v>
      </c>
      <c r="E252" s="260">
        <v>-31.067961165048541</v>
      </c>
      <c r="F252" s="260">
        <v>8.8861076345431798</v>
      </c>
      <c r="G252" s="260">
        <v>-1.7266187050359711</v>
      </c>
      <c r="H252" s="5">
        <v>-0.34305317324185247</v>
      </c>
      <c r="I252" s="5">
        <v>7.263631800449426</v>
      </c>
      <c r="J252" s="5">
        <v>-39.687454326578397</v>
      </c>
      <c r="K252" s="5">
        <v>10.715952594147577</v>
      </c>
      <c r="L252" s="5">
        <v>5.1992948307433275</v>
      </c>
      <c r="M252" s="5">
        <v>3.2225717285958813</v>
      </c>
      <c r="N252" s="5">
        <v>13.14438741352377</v>
      </c>
      <c r="O252" s="5">
        <v>1.6825672159583773</v>
      </c>
    </row>
    <row r="253" spans="2:15" ht="14.1" customHeight="1">
      <c r="B253" s="258"/>
      <c r="C253" s="259" t="str">
        <f>IF(Indice_index!$Z$1=1,"dezembro","December")</f>
        <v>dezembro</v>
      </c>
      <c r="D253" s="260">
        <v>25.039745627980921</v>
      </c>
      <c r="E253" s="260">
        <v>1.1627906976744187</v>
      </c>
      <c r="F253" s="260">
        <v>12.891113892365457</v>
      </c>
      <c r="G253" s="260">
        <v>19.552029864675688</v>
      </c>
      <c r="H253" s="5">
        <v>8.124459809853068</v>
      </c>
      <c r="I253" s="5">
        <v>46.50615451064585</v>
      </c>
      <c r="J253" s="5">
        <v>-3.622085999598474</v>
      </c>
      <c r="K253" s="5">
        <v>21.668831710512588</v>
      </c>
      <c r="L253" s="5">
        <v>39.517858909820404</v>
      </c>
      <c r="M253" s="5">
        <v>6.5292920541598747</v>
      </c>
      <c r="N253" s="5">
        <v>16.364725258272209</v>
      </c>
      <c r="O253" s="5">
        <v>7.7721184682135318</v>
      </c>
    </row>
    <row r="254" spans="2:15" ht="14.1" customHeight="1">
      <c r="B254" s="360">
        <v>2023</v>
      </c>
      <c r="C254" s="360"/>
      <c r="D254" s="234"/>
      <c r="E254" s="257"/>
      <c r="F254" s="257"/>
      <c r="G254" s="257"/>
      <c r="J254" s="257"/>
      <c r="L254" s="108"/>
      <c r="M254" s="108"/>
      <c r="N254" s="108"/>
      <c r="O254" s="108"/>
    </row>
    <row r="255" spans="2:15" ht="14.1" customHeight="1">
      <c r="B255" s="258"/>
      <c r="C255" s="259" t="str">
        <f>IF(Indice_index!$Z$1=1,"janeiro","January")</f>
        <v>janeiro</v>
      </c>
      <c r="D255" s="260">
        <v>5.775922059846903</v>
      </c>
      <c r="E255" s="260">
        <v>-18.75</v>
      </c>
      <c r="F255" s="260">
        <v>8.8282504012841088</v>
      </c>
      <c r="G255" s="260">
        <v>5.5658627087198518</v>
      </c>
      <c r="H255" s="5">
        <v>-0.30188679245283018</v>
      </c>
      <c r="I255" s="5">
        <v>23.310511806207622</v>
      </c>
      <c r="J255" s="5">
        <v>-8.4758293350767087</v>
      </c>
      <c r="K255" s="5">
        <v>22.667856366078741</v>
      </c>
      <c r="L255" s="5">
        <v>21.839900355819701</v>
      </c>
      <c r="M255" s="5">
        <v>-1.0106693431197273</v>
      </c>
      <c r="N255" s="5">
        <v>16.767119308692187</v>
      </c>
      <c r="O255" s="5">
        <v>12.696563774024455</v>
      </c>
    </row>
    <row r="256" spans="2:15" ht="14.1" customHeight="1">
      <c r="B256" s="258"/>
      <c r="C256" s="259" t="str">
        <f>IF(Indice_index!$Z$1=1,"fevereiro","February")</f>
        <v>fevereiro</v>
      </c>
      <c r="D256" s="260">
        <v>-9.7980553477935679</v>
      </c>
      <c r="E256" s="260">
        <v>100</v>
      </c>
      <c r="F256" s="260">
        <v>1.2931034482758621</v>
      </c>
      <c r="G256" s="260">
        <v>-3.3573141486810552</v>
      </c>
      <c r="H256" s="5">
        <v>2.6052104208416833</v>
      </c>
      <c r="I256" s="5">
        <v>0.30393584950349506</v>
      </c>
      <c r="J256" s="5">
        <v>55.907040427258558</v>
      </c>
      <c r="K256" s="5">
        <v>5.3861353976546997</v>
      </c>
      <c r="L256" s="5">
        <v>2.7228398741101527</v>
      </c>
      <c r="M256" s="5">
        <v>7.3421249341724311</v>
      </c>
      <c r="N256" s="5">
        <v>8.338628821577359</v>
      </c>
      <c r="O256" s="5">
        <v>4.0357204190279923</v>
      </c>
    </row>
    <row r="257" spans="2:15" ht="14.1" customHeight="1">
      <c r="B257" s="258"/>
      <c r="C257" s="259" t="str">
        <f>IF(Indice_index!$Z$1=1,"março","March")</f>
        <v>março</v>
      </c>
      <c r="D257" s="260">
        <v>7.2759538598047913</v>
      </c>
      <c r="E257" s="260">
        <v>-7.4074074074074066</v>
      </c>
      <c r="F257" s="260">
        <v>-1.5957446808510638</v>
      </c>
      <c r="G257" s="260">
        <v>3.2653061224489797</v>
      </c>
      <c r="H257" s="5">
        <v>6.3210227272727275</v>
      </c>
      <c r="I257" s="5">
        <v>13.195679562861709</v>
      </c>
      <c r="J257" s="5">
        <v>1.3462070758274023</v>
      </c>
      <c r="K257" s="5">
        <v>19.072396270386339</v>
      </c>
      <c r="L257" s="5">
        <v>13.662043822520239</v>
      </c>
      <c r="M257" s="5">
        <v>13.387939394048642</v>
      </c>
      <c r="N257" s="5">
        <v>5.940140153251674</v>
      </c>
      <c r="O257" s="5">
        <v>21.005423445974145</v>
      </c>
    </row>
    <row r="258" spans="2:15" ht="14.1" customHeight="1">
      <c r="B258" s="258"/>
      <c r="C258" s="259" t="str">
        <f>IF(Indice_index!$Z$1=1,"abril","April")</f>
        <v>abril</v>
      </c>
      <c r="D258" s="260">
        <v>11.244377811094452</v>
      </c>
      <c r="E258" s="260">
        <v>2.9850746268656714</v>
      </c>
      <c r="F258" s="260">
        <v>-15.343347639484978</v>
      </c>
      <c r="G258" s="260">
        <v>0.38576939562794688</v>
      </c>
      <c r="H258" s="5">
        <v>5.948215535339398</v>
      </c>
      <c r="I258" s="5">
        <v>26.84787812632355</v>
      </c>
      <c r="J258" s="5">
        <v>20.96255743654757</v>
      </c>
      <c r="K258" s="5">
        <v>-5.9977390540977282</v>
      </c>
      <c r="L258" s="5">
        <v>20.363529867607092</v>
      </c>
      <c r="M258" s="5">
        <v>8.7810573164982735</v>
      </c>
      <c r="N258" s="5">
        <v>14.25267024967685</v>
      </c>
      <c r="O258" s="5">
        <v>11.052031902772489</v>
      </c>
    </row>
    <row r="259" spans="2:15" ht="14.1" customHeight="1">
      <c r="B259" s="258"/>
      <c r="C259" s="259" t="str">
        <f>IF(Indice_index!$Z$1=1,"maio","May")</f>
        <v>maio</v>
      </c>
      <c r="D259" s="260">
        <v>4.8262548262548259</v>
      </c>
      <c r="E259" s="260">
        <v>10.38961038961039</v>
      </c>
      <c r="F259" s="260">
        <v>-22.222222222222221</v>
      </c>
      <c r="G259" s="260">
        <v>-3.9737812371978696</v>
      </c>
      <c r="H259" s="5">
        <v>-3.7555228276877761</v>
      </c>
      <c r="I259" s="5">
        <v>8.4622254609233121</v>
      </c>
      <c r="J259" s="5">
        <v>32.367009427055635</v>
      </c>
      <c r="K259" s="5">
        <v>-18.807111650573137</v>
      </c>
      <c r="L259" s="5">
        <v>5.0465969110870015</v>
      </c>
      <c r="M259" s="5">
        <v>2.2581774984608307</v>
      </c>
      <c r="N259" s="5">
        <v>3.9684032349069143</v>
      </c>
      <c r="O259" s="5">
        <v>4.3907600070534256</v>
      </c>
    </row>
    <row r="260" spans="2:15" ht="14.1" customHeight="1">
      <c r="B260" s="258"/>
      <c r="C260" s="259" t="str">
        <f>IF(Indice_index!$Z$1=1,"junho","June")</f>
        <v>junho</v>
      </c>
      <c r="D260" s="260">
        <v>-16.604010025062657</v>
      </c>
      <c r="E260" s="260">
        <v>-24.742268041237114</v>
      </c>
      <c r="F260" s="260">
        <v>50</v>
      </c>
      <c r="G260" s="260">
        <v>5.1008303677342823</v>
      </c>
      <c r="H260" s="5">
        <v>-4.8448145344436035</v>
      </c>
      <c r="I260" s="5">
        <v>-18.692013222695227</v>
      </c>
      <c r="J260" s="5">
        <v>-29.632647033621968</v>
      </c>
      <c r="K260" s="5">
        <v>48.427725389657041</v>
      </c>
      <c r="L260" s="5">
        <v>-9.5159428594802602</v>
      </c>
      <c r="M260" s="5">
        <v>-1.5066132807455348</v>
      </c>
      <c r="N260" s="5">
        <v>-2.4756142733670767</v>
      </c>
      <c r="O260" s="5">
        <v>-1.0476015438338624</v>
      </c>
    </row>
    <row r="261" spans="2:15" ht="14.1" customHeight="1">
      <c r="B261" s="258"/>
      <c r="C261" s="259" t="str">
        <f>IF(Indice_index!$Z$1=1,"julho","July")</f>
        <v>julho</v>
      </c>
      <c r="D261" s="260">
        <v>59.906542056074763</v>
      </c>
      <c r="E261" s="260">
        <v>-6.25</v>
      </c>
      <c r="F261" s="260">
        <v>13.043478260869565</v>
      </c>
      <c r="G261" s="260">
        <v>39.456521739130437</v>
      </c>
      <c r="H261" s="5">
        <v>-0.23828435266084197</v>
      </c>
      <c r="I261" s="5">
        <v>63.345005886847495</v>
      </c>
      <c r="J261" s="5">
        <v>2.5978863527879232</v>
      </c>
      <c r="K261" s="5">
        <v>15.463783787026442</v>
      </c>
      <c r="L261" s="5">
        <v>52.4885371054202</v>
      </c>
      <c r="M261" s="5">
        <v>6.2946730355001552</v>
      </c>
      <c r="N261" s="5">
        <v>3.1411937815878788</v>
      </c>
      <c r="O261" s="5">
        <v>2.1249076127124908</v>
      </c>
    </row>
    <row r="262" spans="2:15" ht="14.1" customHeight="1">
      <c r="B262" s="258"/>
      <c r="C262" s="259" t="str">
        <f>IF(Indice_index!$Z$1=1,"agosto","August")</f>
        <v>agosto</v>
      </c>
      <c r="D262" s="260">
        <v>33.704974271012006</v>
      </c>
      <c r="E262" s="260">
        <v>10</v>
      </c>
      <c r="F262" s="260">
        <v>29.161290322580648</v>
      </c>
      <c r="G262" s="260">
        <v>31.024245423057895</v>
      </c>
      <c r="H262" s="5">
        <v>-21.098901098901099</v>
      </c>
      <c r="I262" s="5">
        <v>39.291536490002002</v>
      </c>
      <c r="J262" s="5">
        <v>37.854236525840157</v>
      </c>
      <c r="K262" s="5">
        <v>30.909114270586414</v>
      </c>
      <c r="L262" s="5">
        <v>37.667274656763176</v>
      </c>
      <c r="M262" s="5">
        <v>-10.498190844498042</v>
      </c>
      <c r="N262" s="5">
        <v>5.3272738748974371</v>
      </c>
      <c r="O262" s="5">
        <v>1.3423959218351702</v>
      </c>
    </row>
    <row r="263" spans="2:15" ht="14.1" customHeight="1">
      <c r="B263" s="258"/>
      <c r="C263" s="259" t="str">
        <f>IF(Indice_index!$Z$1=1,"setembro","September")</f>
        <v>setembro</v>
      </c>
      <c r="D263" s="260">
        <v>23.838080959520237</v>
      </c>
      <c r="E263" s="260">
        <v>4.5454545454545459</v>
      </c>
      <c r="F263" s="260">
        <v>21.666666666666668</v>
      </c>
      <c r="G263" s="260">
        <v>22.281167108753316</v>
      </c>
      <c r="H263" s="5">
        <v>-11.47919876733436</v>
      </c>
      <c r="I263" s="5">
        <v>30.850841797816571</v>
      </c>
      <c r="J263" s="5">
        <v>9.6350425084168787</v>
      </c>
      <c r="K263" s="5">
        <v>45.752700552236988</v>
      </c>
      <c r="L263" s="5">
        <v>32.287387052961407</v>
      </c>
      <c r="M263" s="5">
        <v>-4.5405629212156891</v>
      </c>
      <c r="N263" s="5">
        <v>5.852011053116362</v>
      </c>
      <c r="O263" s="5">
        <v>19.801980198019802</v>
      </c>
    </row>
    <row r="264" spans="2:15" ht="14.1" customHeight="1">
      <c r="B264" s="258"/>
      <c r="C264" s="259" t="str">
        <f>IF(Indice_index!$Z$1=1,"outubro","October")</f>
        <v>outubro</v>
      </c>
      <c r="D264" s="260">
        <v>16.112342941611235</v>
      </c>
      <c r="E264" s="260">
        <v>6.9444444444444446</v>
      </c>
      <c r="F264" s="260">
        <v>31.32992327365729</v>
      </c>
      <c r="G264" s="260">
        <v>21.205256003624832</v>
      </c>
      <c r="H264" s="5">
        <v>-0.31545741324921134</v>
      </c>
      <c r="I264" s="5">
        <v>23.84871305568257</v>
      </c>
      <c r="J264" s="5">
        <v>13.514915097719335</v>
      </c>
      <c r="K264" s="5">
        <v>46.820380239201967</v>
      </c>
      <c r="L264" s="5">
        <v>26.806580158408494</v>
      </c>
      <c r="M264" s="5">
        <v>9.8919059664188822</v>
      </c>
      <c r="N264" s="5">
        <v>6.7274088866699913</v>
      </c>
      <c r="O264" s="5">
        <v>11.78382771231208</v>
      </c>
    </row>
    <row r="265" spans="2:15" ht="14.1" customHeight="1">
      <c r="B265" s="258"/>
      <c r="C265" s="259" t="str">
        <f>IF(Indice_index!$Z$1=1,"novembro","November")</f>
        <v>novembro</v>
      </c>
      <c r="D265" s="260">
        <v>50.180505415162457</v>
      </c>
      <c r="E265" s="260">
        <v>14.084507042253522</v>
      </c>
      <c r="F265" s="260">
        <v>13.103448275862069</v>
      </c>
      <c r="G265" s="260">
        <v>33.186920448999516</v>
      </c>
      <c r="H265" s="5">
        <v>3.1841652323580036</v>
      </c>
      <c r="I265" s="5">
        <v>56.742019512326557</v>
      </c>
      <c r="J265" s="5">
        <v>22.700824645727241</v>
      </c>
      <c r="K265" s="5">
        <v>2.7556524024979101</v>
      </c>
      <c r="L265" s="5">
        <v>43.627542436880859</v>
      </c>
      <c r="M265" s="5">
        <v>15.215277139931665</v>
      </c>
      <c r="N265" s="5">
        <v>4.8915187376725902</v>
      </c>
      <c r="O265" s="5">
        <v>-9.1436369839645195</v>
      </c>
    </row>
    <row r="266" spans="2:15" ht="14.1" customHeight="1">
      <c r="B266" s="258"/>
      <c r="C266" s="259" t="str">
        <f>IF(Indice_index!$Z$1=1,"dezembro","December")</f>
        <v>dezembro</v>
      </c>
      <c r="D266" s="260">
        <v>71.265098537825807</v>
      </c>
      <c r="E266" s="260">
        <v>16.091954022988507</v>
      </c>
      <c r="F266" s="260">
        <v>26.164079822616408</v>
      </c>
      <c r="G266" s="260">
        <v>53.512880562060893</v>
      </c>
      <c r="H266" s="5">
        <v>-3.0375699440447641</v>
      </c>
      <c r="I266" s="5">
        <v>71.098242576365195</v>
      </c>
      <c r="J266" s="5">
        <v>27.637316443760181</v>
      </c>
      <c r="K266" s="5">
        <v>18.629995730042044</v>
      </c>
      <c r="L266" s="5">
        <v>61.018400974018675</v>
      </c>
      <c r="M266" s="5">
        <v>3.7625927004719242</v>
      </c>
      <c r="N266" s="5">
        <v>0.66263510036026463</v>
      </c>
      <c r="O266" s="5">
        <v>-5.9688429896726607</v>
      </c>
    </row>
    <row r="267" spans="2:15" ht="14.1" customHeight="1">
      <c r="B267" s="360">
        <v>2024</v>
      </c>
      <c r="C267" s="360"/>
      <c r="D267" s="234"/>
      <c r="E267" s="257"/>
      <c r="F267" s="257"/>
      <c r="G267" s="257"/>
      <c r="J267" s="257"/>
      <c r="L267" s="108"/>
      <c r="M267" s="108"/>
      <c r="N267" s="108"/>
      <c r="O267" s="108"/>
    </row>
    <row r="268" spans="2:15" ht="14.1" customHeight="1">
      <c r="B268" s="258"/>
      <c r="C268" s="259" t="str">
        <f>IF(Indice_index!$Z$1=1,"janeiro","January")</f>
        <v>janeiro</v>
      </c>
      <c r="D268" s="260">
        <v>31.25</v>
      </c>
      <c r="E268" s="260">
        <v>30.76923076923077</v>
      </c>
      <c r="F268" s="260">
        <v>28.466076696165192</v>
      </c>
      <c r="G268" s="260">
        <v>30.404217926186295</v>
      </c>
      <c r="H268" s="5">
        <v>-5.9803179409538227</v>
      </c>
      <c r="I268" s="5">
        <v>47.636299614963306</v>
      </c>
      <c r="J268" s="5">
        <v>15.091982992969118</v>
      </c>
      <c r="K268" s="5">
        <v>25.441781675532049</v>
      </c>
      <c r="L268" s="5">
        <v>43.622275184273249</v>
      </c>
      <c r="M268" s="5">
        <v>4.0909286129688747</v>
      </c>
      <c r="N268" s="5">
        <v>11.567164179104477</v>
      </c>
      <c r="O268" s="5">
        <v>-2.3428079242032771</v>
      </c>
    </row>
    <row r="269" spans="2:15" ht="14.1" customHeight="1">
      <c r="B269" s="258"/>
      <c r="C269" s="259" t="str">
        <f>IF(Indice_index!$Z$1=1,"fevereiro","February")</f>
        <v>fevereiro</v>
      </c>
      <c r="D269" s="260">
        <v>23.797678275290217</v>
      </c>
      <c r="E269" s="260">
        <v>-39.42307692307692</v>
      </c>
      <c r="F269" s="260">
        <v>2.2695035460992909</v>
      </c>
      <c r="G269" s="260">
        <v>13.002481389578163</v>
      </c>
      <c r="H269" s="5">
        <v>5.9895833333333339</v>
      </c>
      <c r="I269" s="5">
        <v>39.063271949632615</v>
      </c>
      <c r="J269" s="5">
        <v>-24.293756066750692</v>
      </c>
      <c r="K269" s="5">
        <v>10.883905320552969</v>
      </c>
      <c r="L269" s="5">
        <v>31.443167993405797</v>
      </c>
      <c r="M269" s="5">
        <v>12.733135794601901</v>
      </c>
      <c r="N269" s="5">
        <v>14.337851929092803</v>
      </c>
      <c r="O269" s="5">
        <v>8.4186200066028398</v>
      </c>
    </row>
    <row r="270" spans="2:15" ht="14.1" customHeight="1">
      <c r="B270" s="258"/>
      <c r="C270" s="259" t="str">
        <f>IF(Indice_index!$Z$1=1,"março","March")</f>
        <v>março</v>
      </c>
      <c r="D270" s="260">
        <v>15.88089330024814</v>
      </c>
      <c r="E270" s="260">
        <v>-16</v>
      </c>
      <c r="F270" s="260">
        <v>14.054054054054054</v>
      </c>
      <c r="G270" s="260">
        <v>14.031620553359684</v>
      </c>
      <c r="H270" s="5">
        <v>13.159652638610556</v>
      </c>
      <c r="I270" s="5">
        <v>20.69697383569973</v>
      </c>
      <c r="J270" s="5">
        <v>-12.204516701992169</v>
      </c>
      <c r="K270" s="5">
        <v>18.826510767836826</v>
      </c>
      <c r="L270" s="5">
        <v>19.152334215861057</v>
      </c>
      <c r="M270" s="5">
        <v>21.696841988714596</v>
      </c>
      <c r="N270" s="5">
        <v>4.5623145400593588</v>
      </c>
      <c r="O270" s="5">
        <v>4.1889329425960966</v>
      </c>
    </row>
    <row r="271" spans="2:15" ht="14.1" customHeight="1">
      <c r="B271" s="258"/>
      <c r="C271" s="259" t="str">
        <f>IF(Indice_index!$Z$1=1,"abril","April")</f>
        <v>abril</v>
      </c>
      <c r="D271" s="260">
        <v>-5.1212938005390836</v>
      </c>
      <c r="E271" s="260">
        <v>46.376811594202898</v>
      </c>
      <c r="F271" s="260">
        <v>43.472750316856775</v>
      </c>
      <c r="G271" s="260">
        <v>12.766865926558497</v>
      </c>
      <c r="H271" s="5">
        <v>-18.428005284015853</v>
      </c>
      <c r="I271" s="5">
        <v>-10.642832700578813</v>
      </c>
      <c r="J271" s="5">
        <v>41.594968467884613</v>
      </c>
      <c r="K271" s="5">
        <v>39.099101949909539</v>
      </c>
      <c r="L271" s="5">
        <v>-1.7150190620894661</v>
      </c>
      <c r="M271" s="5">
        <v>-7.8268511938792864</v>
      </c>
      <c r="N271" s="5">
        <v>-6.2820054781469565</v>
      </c>
      <c r="O271" s="5">
        <v>-3.0608755129958922</v>
      </c>
    </row>
    <row r="272" spans="2:15" ht="14.1" customHeight="1">
      <c r="B272" s="258"/>
      <c r="C272" s="259" t="str">
        <f>IF(Indice_index!$Z$1=1,"maio","May")</f>
        <v>maio</v>
      </c>
      <c r="D272" s="260">
        <v>-8</v>
      </c>
      <c r="E272" s="260">
        <v>5.9</v>
      </c>
      <c r="F272" s="260">
        <v>103.5</v>
      </c>
      <c r="G272" s="260">
        <v>22.4</v>
      </c>
      <c r="H272" s="5">
        <v>-2.4</v>
      </c>
      <c r="I272" s="5">
        <v>-8.3000000000000007</v>
      </c>
      <c r="J272" s="5">
        <v>-4.2</v>
      </c>
      <c r="K272" s="5">
        <v>80.7</v>
      </c>
      <c r="L272" s="5">
        <v>2.2000000000000002</v>
      </c>
      <c r="M272" s="5">
        <v>4.0999999999999996</v>
      </c>
      <c r="N272" s="5">
        <v>-0.8</v>
      </c>
      <c r="O272" s="5">
        <v>-11.2</v>
      </c>
    </row>
    <row r="273" spans="2:15" ht="14.1" customHeight="1">
      <c r="B273" s="258"/>
      <c r="C273" s="259" t="str">
        <f>IF(Indice_index!$Z$1=1,"junho","June")</f>
        <v>junho</v>
      </c>
      <c r="D273" s="260">
        <v>6.0105184072126221</v>
      </c>
      <c r="E273" s="260">
        <v>17.80821917808219</v>
      </c>
      <c r="F273" s="260">
        <v>-21.451355661881976</v>
      </c>
      <c r="G273" s="260">
        <v>-6.6215199398043643</v>
      </c>
      <c r="H273" s="5">
        <v>8.5918854415274453</v>
      </c>
      <c r="I273" s="5">
        <v>6.7063099356242191</v>
      </c>
      <c r="J273" s="5">
        <v>29.888889149914693</v>
      </c>
      <c r="K273" s="5">
        <v>-13.712822321295146</v>
      </c>
      <c r="L273" s="5">
        <v>2.5551972619225825</v>
      </c>
      <c r="M273" s="5">
        <v>18.169259535451559</v>
      </c>
      <c r="N273" s="5">
        <v>0.82294106475913154</v>
      </c>
      <c r="O273" s="5">
        <v>9.8439821693907881</v>
      </c>
    </row>
    <row r="274" spans="2:15" ht="14.1" customHeight="1">
      <c r="B274" s="258"/>
      <c r="C274" s="259" t="str">
        <f>IF(Indice_index!$Z$1=1,"julho","July")</f>
        <v>julho</v>
      </c>
      <c r="D274" s="260">
        <v>4.5587375803623615</v>
      </c>
      <c r="E274" s="260">
        <v>6.666666666666667</v>
      </c>
      <c r="F274" s="260">
        <v>3.2051282051282048</v>
      </c>
      <c r="G274" s="260">
        <v>4.2088854247856586</v>
      </c>
      <c r="H274" s="5">
        <v>1.9904458598726114</v>
      </c>
      <c r="I274" s="5">
        <v>8.6558623835491684</v>
      </c>
      <c r="J274" s="5">
        <v>-5.2397359913456905</v>
      </c>
      <c r="K274" s="5">
        <v>8.4499258481996264</v>
      </c>
      <c r="L274" s="5">
        <v>8.2256631161820479</v>
      </c>
      <c r="M274" s="5">
        <v>11.1238529633347</v>
      </c>
      <c r="N274" s="5">
        <v>3.3866765909936674</v>
      </c>
      <c r="O274" s="5">
        <v>5.0841324407454147</v>
      </c>
    </row>
    <row r="275" spans="2:15" ht="14.1" customHeight="1">
      <c r="B275" s="258"/>
      <c r="C275" s="259" t="str">
        <f>IF(Indice_index!$Z$1=1,"agosto","August")</f>
        <v>agosto</v>
      </c>
      <c r="D275" s="260">
        <v>17.254650416933931</v>
      </c>
      <c r="E275" s="260">
        <v>-20.454545454545457</v>
      </c>
      <c r="F275" s="260">
        <v>11.888111888111888</v>
      </c>
      <c r="G275" s="260">
        <v>13.972809667673717</v>
      </c>
      <c r="H275" s="5">
        <v>11.327762302692665</v>
      </c>
      <c r="I275" s="5">
        <v>21.881088868395953</v>
      </c>
      <c r="J275" s="5">
        <v>-26.125742680379403</v>
      </c>
      <c r="K275" s="5">
        <v>6.5178369151251996</v>
      </c>
      <c r="L275" s="5">
        <v>17.430977920178314</v>
      </c>
      <c r="M275" s="5">
        <v>18.080652990971053</v>
      </c>
      <c r="N275" s="5">
        <v>3.9611673758015167</v>
      </c>
      <c r="O275" s="5">
        <v>-4.7954393024815598</v>
      </c>
    </row>
    <row r="276" spans="2:15" ht="14.1" customHeight="1">
      <c r="B276" s="258"/>
      <c r="C276" s="259" t="str">
        <f>IF(Indice_index!$Z$1=1,"setembro","September")</f>
        <v>setembro</v>
      </c>
      <c r="D276" s="260">
        <v>33.898305084745758</v>
      </c>
      <c r="E276" s="260">
        <v>-11.956521739130435</v>
      </c>
      <c r="F276" s="260">
        <v>-22.798434442270057</v>
      </c>
      <c r="G276" s="260">
        <v>11.424439624005785</v>
      </c>
      <c r="H276" s="5">
        <v>8.9643167972149698</v>
      </c>
      <c r="I276" s="5">
        <v>48.248250089085722</v>
      </c>
      <c r="J276" s="5">
        <v>-22.09156611492001</v>
      </c>
      <c r="K276" s="5">
        <v>-24.961386939532403</v>
      </c>
      <c r="L276" s="5">
        <v>33.368466783357086</v>
      </c>
      <c r="M276" s="5">
        <v>16.707073955621972</v>
      </c>
      <c r="N276" s="5">
        <v>10.563870518621659</v>
      </c>
      <c r="O276" s="5">
        <v>-2.8099173553719008</v>
      </c>
    </row>
    <row r="277" spans="2:15" ht="4.3499999999999996" customHeight="1">
      <c r="B277" s="267"/>
      <c r="C277" s="270"/>
      <c r="D277" s="268"/>
      <c r="E277" s="268"/>
      <c r="F277" s="268"/>
      <c r="G277" s="268"/>
      <c r="H277" s="20"/>
      <c r="I277" s="20"/>
      <c r="J277" s="20"/>
      <c r="K277" s="20"/>
      <c r="L277" s="20"/>
      <c r="M277" s="20"/>
      <c r="N277" s="20"/>
      <c r="O277" s="20"/>
    </row>
    <row r="278" spans="2:15" ht="21" customHeight="1">
      <c r="B278" s="35" t="str">
        <f>IF(Indice_index!$Z$1=1,"Notas:","Notes:")</f>
        <v>Notas:</v>
      </c>
      <c r="C278" s="35"/>
      <c r="D278" s="35"/>
      <c r="E278" s="35"/>
      <c r="F278" s="35"/>
      <c r="G278" s="35"/>
      <c r="H278" s="35"/>
      <c r="I278" s="35"/>
      <c r="J278" s="35"/>
      <c r="K278" s="35"/>
      <c r="L278" s="35"/>
      <c r="M278" s="35"/>
      <c r="N278" s="35"/>
      <c r="O278" s="35"/>
    </row>
    <row r="279" spans="2:15" ht="25.5" customHeight="1">
      <c r="B279" s="438" t="str">
        <f>IF(Indice_index!$Z$1=1,B284,B285)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279" s="438"/>
      <c r="D279" s="438"/>
      <c r="E279" s="438"/>
      <c r="F279" s="438"/>
      <c r="G279" s="438"/>
      <c r="H279" s="438"/>
      <c r="I279" s="438"/>
      <c r="J279" s="438"/>
      <c r="K279" s="438"/>
      <c r="L279" s="438"/>
      <c r="M279" s="438"/>
      <c r="N279" s="438"/>
      <c r="O279" s="438"/>
    </row>
    <row r="280" spans="2:15" ht="36" customHeight="1">
      <c r="B280" s="438" t="str">
        <f>IF(Indice_index!$Z$1=1,B286,B287)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280" s="438"/>
      <c r="D280" s="438"/>
      <c r="E280" s="438"/>
      <c r="F280" s="438"/>
      <c r="G280" s="438"/>
      <c r="H280" s="438"/>
      <c r="I280" s="438"/>
      <c r="J280" s="438"/>
      <c r="K280" s="438"/>
      <c r="L280" s="438"/>
      <c r="M280" s="438"/>
      <c r="N280" s="438"/>
      <c r="O280" s="438"/>
    </row>
    <row r="281" spans="2:15" ht="15">
      <c r="B281" s="110" t="str">
        <f>IF(Indice_index!$Z$1=1,"Fonte: Caixa Geral de Aposentações, I.P.","Source: CGA - Public Servants Social Scheme")</f>
        <v>Fonte: Caixa Geral de Aposentações, I.P.</v>
      </c>
      <c r="C281" s="110"/>
      <c r="D281" s="110"/>
      <c r="E281" s="110"/>
      <c r="F281" s="110"/>
      <c r="G281" s="110"/>
      <c r="H281" s="110"/>
      <c r="I281" s="110"/>
      <c r="J281" s="110"/>
      <c r="K281" s="110"/>
      <c r="L281" s="110"/>
      <c r="M281" s="110"/>
      <c r="N281" s="110"/>
      <c r="O281" s="110"/>
    </row>
    <row r="282" spans="2:15" ht="15"/>
    <row r="283" spans="2:15" ht="15" hidden="1"/>
    <row r="284" spans="2:15" ht="15" hidden="1">
      <c r="B284" s="436" t="s">
        <v>454</v>
      </c>
      <c r="C284" s="436"/>
      <c r="D284" s="436"/>
      <c r="E284" s="436"/>
      <c r="F284" s="436"/>
      <c r="G284" s="436"/>
      <c r="H284" s="436"/>
      <c r="I284" s="436"/>
      <c r="J284" s="436"/>
      <c r="K284" s="436"/>
      <c r="L284" s="436"/>
      <c r="M284" s="436"/>
      <c r="N284" s="436"/>
      <c r="O284" s="111"/>
    </row>
    <row r="285" spans="2:15" ht="15" hidden="1">
      <c r="B285" s="112" t="s">
        <v>17</v>
      </c>
      <c r="C285" s="111"/>
      <c r="D285" s="111"/>
      <c r="E285" s="111"/>
      <c r="F285" s="111"/>
      <c r="G285" s="111"/>
      <c r="H285" s="111"/>
      <c r="I285" s="111"/>
      <c r="J285" s="111"/>
      <c r="K285" s="111"/>
      <c r="L285" s="111"/>
      <c r="M285" s="111"/>
      <c r="N285" s="111"/>
      <c r="O285" s="111"/>
    </row>
    <row r="286" spans="2:15" ht="15.6" hidden="1" customHeight="1">
      <c r="B286" s="112" t="s">
        <v>458</v>
      </c>
      <c r="C286" s="112"/>
      <c r="D286" s="112"/>
      <c r="E286" s="112"/>
      <c r="F286" s="112"/>
      <c r="G286" s="112"/>
      <c r="H286" s="112"/>
      <c r="I286" s="112"/>
      <c r="J286" s="112"/>
      <c r="K286" s="112"/>
      <c r="L286" s="112"/>
      <c r="M286" s="112"/>
      <c r="N286" s="112"/>
      <c r="O286" s="111"/>
    </row>
    <row r="287" spans="2:15" ht="15" hidden="1">
      <c r="B287" s="112" t="s">
        <v>459</v>
      </c>
    </row>
  </sheetData>
  <mergeCells count="52">
    <mergeCell ref="B80:C80"/>
    <mergeCell ref="B93:C93"/>
    <mergeCell ref="I78:I79"/>
    <mergeCell ref="B13:C13"/>
    <mergeCell ref="B26:C26"/>
    <mergeCell ref="B39:C39"/>
    <mergeCell ref="B52:C52"/>
    <mergeCell ref="B77:C79"/>
    <mergeCell ref="D77:H77"/>
    <mergeCell ref="D78:G78"/>
    <mergeCell ref="H78:H79"/>
    <mergeCell ref="B65:C65"/>
    <mergeCell ref="B106:C106"/>
    <mergeCell ref="B119:C119"/>
    <mergeCell ref="B144:O144"/>
    <mergeCell ref="B145:C147"/>
    <mergeCell ref="D145:H145"/>
    <mergeCell ref="I145:M145"/>
    <mergeCell ref="N145:N147"/>
    <mergeCell ref="O145:O147"/>
    <mergeCell ref="D146:G146"/>
    <mergeCell ref="H146:H147"/>
    <mergeCell ref="I146:L146"/>
    <mergeCell ref="M146:M147"/>
    <mergeCell ref="B132:C132"/>
    <mergeCell ref="B148:C148"/>
    <mergeCell ref="B174:C174"/>
    <mergeCell ref="B187:C187"/>
    <mergeCell ref="B212:C214"/>
    <mergeCell ref="D212:H212"/>
    <mergeCell ref="B200:C200"/>
    <mergeCell ref="B161:C161"/>
    <mergeCell ref="I212:M212"/>
    <mergeCell ref="B284:N284"/>
    <mergeCell ref="O212:O214"/>
    <mergeCell ref="D213:G213"/>
    <mergeCell ref="H213:H214"/>
    <mergeCell ref="I213:L213"/>
    <mergeCell ref="M213:M214"/>
    <mergeCell ref="B215:C215"/>
    <mergeCell ref="N212:N214"/>
    <mergeCell ref="B228:C228"/>
    <mergeCell ref="B241:C241"/>
    <mergeCell ref="B254:C254"/>
    <mergeCell ref="B279:O279"/>
    <mergeCell ref="B280:O280"/>
    <mergeCell ref="B267:C267"/>
    <mergeCell ref="I11:I12"/>
    <mergeCell ref="D10:H10"/>
    <mergeCell ref="B10:C12"/>
    <mergeCell ref="H11:H12"/>
    <mergeCell ref="D11:G11"/>
  </mergeCells>
  <conditionalFormatting sqref="D13:D75">
    <cfRule type="cellIs" dxfId="44" priority="19" operator="equal">
      <formula>0</formula>
    </cfRule>
  </conditionalFormatting>
  <conditionalFormatting sqref="D80:D142">
    <cfRule type="cellIs" dxfId="43" priority="15" operator="equal">
      <formula>0</formula>
    </cfRule>
  </conditionalFormatting>
  <conditionalFormatting sqref="D148:D210">
    <cfRule type="cellIs" dxfId="42" priority="6" operator="equal">
      <formula>0</formula>
    </cfRule>
  </conditionalFormatting>
  <conditionalFormatting sqref="D215:D277">
    <cfRule type="cellIs" dxfId="41" priority="2" operator="equal">
      <formula>0</formula>
    </cfRule>
  </conditionalFormatting>
  <conditionalFormatting sqref="E149:H160">
    <cfRule type="cellIs" dxfId="40" priority="107" operator="equal">
      <formula>0</formula>
    </cfRule>
  </conditionalFormatting>
  <conditionalFormatting sqref="E162:H173">
    <cfRule type="cellIs" dxfId="39" priority="104" operator="equal">
      <formula>0</formula>
    </cfRule>
  </conditionalFormatting>
  <conditionalFormatting sqref="E175:H186">
    <cfRule type="cellIs" dxfId="38" priority="79" operator="equal">
      <formula>0</formula>
    </cfRule>
  </conditionalFormatting>
  <conditionalFormatting sqref="E188:H199">
    <cfRule type="cellIs" dxfId="37" priority="27" operator="equal">
      <formula>0</formula>
    </cfRule>
  </conditionalFormatting>
  <conditionalFormatting sqref="E201:H209">
    <cfRule type="cellIs" dxfId="36" priority="9" operator="equal">
      <formula>0</formula>
    </cfRule>
  </conditionalFormatting>
  <conditionalFormatting sqref="E14:I25">
    <cfRule type="cellIs" dxfId="35" priority="119" operator="equal">
      <formula>0</formula>
    </cfRule>
  </conditionalFormatting>
  <conditionalFormatting sqref="E27:I38">
    <cfRule type="cellIs" dxfId="34" priority="117" operator="equal">
      <formula>0</formula>
    </cfRule>
  </conditionalFormatting>
  <conditionalFormatting sqref="E40:I51">
    <cfRule type="cellIs" dxfId="33" priority="86" operator="equal">
      <formula>0</formula>
    </cfRule>
  </conditionalFormatting>
  <conditionalFormatting sqref="E53:I64">
    <cfRule type="cellIs" dxfId="32" priority="32" operator="equal">
      <formula>0</formula>
    </cfRule>
  </conditionalFormatting>
  <conditionalFormatting sqref="E66:I75">
    <cfRule type="cellIs" dxfId="31" priority="18" operator="equal">
      <formula>0</formula>
    </cfRule>
  </conditionalFormatting>
  <conditionalFormatting sqref="E81:I92">
    <cfRule type="cellIs" dxfId="30" priority="113" operator="equal">
      <formula>0</formula>
    </cfRule>
  </conditionalFormatting>
  <conditionalFormatting sqref="E94:I105">
    <cfRule type="cellIs" dxfId="29" priority="111" operator="equal">
      <formula>0</formula>
    </cfRule>
  </conditionalFormatting>
  <conditionalFormatting sqref="E107:I118">
    <cfRule type="cellIs" dxfId="28" priority="83" operator="equal">
      <formula>0</formula>
    </cfRule>
  </conditionalFormatting>
  <conditionalFormatting sqref="E120:I131">
    <cfRule type="cellIs" dxfId="27" priority="30" operator="equal">
      <formula>0</formula>
    </cfRule>
  </conditionalFormatting>
  <conditionalFormatting sqref="E133:I142">
    <cfRule type="cellIs" dxfId="26" priority="13" operator="equal">
      <formula>0</formula>
    </cfRule>
  </conditionalFormatting>
  <conditionalFormatting sqref="E210:I210">
    <cfRule type="cellIs" dxfId="25" priority="7" operator="equal">
      <formula>0</formula>
    </cfRule>
  </conditionalFormatting>
  <conditionalFormatting sqref="E216:O227">
    <cfRule type="cellIs" dxfId="24" priority="97" operator="equal">
      <formula>0</formula>
    </cfRule>
  </conditionalFormatting>
  <conditionalFormatting sqref="E229:O240">
    <cfRule type="cellIs" dxfId="23" priority="94" operator="equal">
      <formula>0</formula>
    </cfRule>
  </conditionalFormatting>
  <conditionalFormatting sqref="E242:O253">
    <cfRule type="cellIs" dxfId="22" priority="73" operator="equal">
      <formula>0</formula>
    </cfRule>
  </conditionalFormatting>
  <conditionalFormatting sqref="E255:O266">
    <cfRule type="cellIs" dxfId="21" priority="22" operator="equal">
      <formula>0</formula>
    </cfRule>
  </conditionalFormatting>
  <conditionalFormatting sqref="E268:O277">
    <cfRule type="cellIs" dxfId="20" priority="1" operator="equal">
      <formula>0</formula>
    </cfRule>
  </conditionalFormatting>
  <conditionalFormatting sqref="I148:I209">
    <cfRule type="cellIs" dxfId="19" priority="11" operator="equal">
      <formula>0</formula>
    </cfRule>
  </conditionalFormatting>
  <conditionalFormatting sqref="J149:O160">
    <cfRule type="cellIs" dxfId="18" priority="106" operator="equal">
      <formula>0</formula>
    </cfRule>
  </conditionalFormatting>
  <conditionalFormatting sqref="J162:O173">
    <cfRule type="cellIs" dxfId="17" priority="103" operator="equal">
      <formula>0</formula>
    </cfRule>
  </conditionalFormatting>
  <conditionalFormatting sqref="J175:O186">
    <cfRule type="cellIs" dxfId="16" priority="78" operator="equal">
      <formula>0</formula>
    </cfRule>
  </conditionalFormatting>
  <conditionalFormatting sqref="J188:O199">
    <cfRule type="cellIs" dxfId="15" priority="26" operator="equal">
      <formula>0</formula>
    </cfRule>
  </conditionalFormatting>
  <conditionalFormatting sqref="J201:O210">
    <cfRule type="cellIs" dxfId="14" priority="5"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76" min="1" max="14" man="1"/>
    <brk id="143" min="1" max="14" man="1"/>
    <brk id="211" min="1" max="14" man="1"/>
  </rowBreaks>
  <ignoredErrors>
    <ignoredError sqref="B26 B39 B93 B106 B241 B228 B161:C17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3"/>
  <sheetViews>
    <sheetView showGridLines="0" zoomScaleNormal="100" workbookViewId="0"/>
  </sheetViews>
  <sheetFormatPr defaultColWidth="0" defaultRowHeight="14.85" customHeight="1" zeroHeight="1"/>
  <cols>
    <col min="1" max="1" width="8.5703125" style="53" customWidth="1"/>
    <col min="2" max="2" width="77.42578125" style="113" customWidth="1"/>
    <col min="3" max="3" width="6.5703125" style="113" bestFit="1" customWidth="1"/>
    <col min="4" max="4" width="18.42578125" style="114" hidden="1" customWidth="1"/>
    <col min="5" max="10" width="7.5703125" style="113" hidden="1" customWidth="1"/>
    <col min="11" max="13" width="7.5703125" style="113" customWidth="1"/>
    <col min="14" max="16" width="7.5703125" style="113" hidden="1" customWidth="1"/>
    <col min="17" max="18" width="8.5703125" style="113" customWidth="1"/>
    <col min="19" max="24" width="7.5703125" style="113" hidden="1" customWidth="1"/>
    <col min="25" max="27" width="7.5703125" style="113" customWidth="1"/>
    <col min="28" max="30" width="7.5703125" style="113" hidden="1" customWidth="1"/>
    <col min="31" max="31" width="8.5703125" style="113" customWidth="1"/>
    <col min="32" max="32" width="10" style="113" customWidth="1"/>
    <col min="33" max="33" width="18.5703125" style="157" hidden="1" customWidth="1"/>
    <col min="34" max="16384" width="9.42578125" hidden="1"/>
  </cols>
  <sheetData>
    <row r="1" spans="2:31" ht="14.85" customHeight="1"/>
    <row r="2" spans="2:31" ht="15">
      <c r="E2" s="115"/>
      <c r="S2" s="115"/>
    </row>
    <row r="3" spans="2:31" ht="15">
      <c r="E3" s="115"/>
      <c r="S3" s="115"/>
    </row>
    <row r="4" spans="2:31" ht="15">
      <c r="E4" s="115"/>
      <c r="S4" s="115"/>
    </row>
    <row r="5" spans="2:31" ht="15">
      <c r="E5" s="115"/>
      <c r="S5" s="115"/>
    </row>
    <row r="6" spans="2:31" ht="15">
      <c r="E6" s="115"/>
      <c r="S6" s="115"/>
    </row>
    <row r="7" spans="2:31" ht="50.1" customHeight="1">
      <c r="B7" s="13"/>
      <c r="C7" s="14"/>
      <c r="D7" s="12"/>
      <c r="E7" s="12"/>
      <c r="F7" s="12"/>
      <c r="G7" s="12"/>
      <c r="H7" s="12"/>
      <c r="I7" s="12"/>
      <c r="J7" s="12"/>
      <c r="K7" s="12"/>
      <c r="L7" s="11"/>
      <c r="M7" s="11"/>
      <c r="N7" s="11"/>
      <c r="O7" s="11"/>
      <c r="P7"/>
      <c r="Q7"/>
      <c r="R7"/>
      <c r="S7"/>
      <c r="T7"/>
      <c r="U7"/>
      <c r="V7"/>
      <c r="W7"/>
      <c r="X7"/>
      <c r="Y7"/>
      <c r="Z7"/>
      <c r="AA7"/>
      <c r="AB7"/>
      <c r="AC7"/>
      <c r="AD7"/>
      <c r="AE7"/>
    </row>
    <row r="8" spans="2:31"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2:31" ht="15">
      <c r="B9" s="116"/>
      <c r="E9" s="117"/>
      <c r="F9" s="117"/>
      <c r="G9" s="117"/>
      <c r="H9" s="117"/>
      <c r="I9" s="117"/>
      <c r="R9" s="117"/>
      <c r="S9" s="3"/>
      <c r="T9" s="117"/>
      <c r="U9" s="117"/>
      <c r="V9" s="117"/>
      <c r="W9" s="117"/>
      <c r="AE9" s="3" t="str">
        <f>IF(Indice_index!$Z$1=1,"€ Milhões","€ Millions")</f>
        <v>€ Milhões</v>
      </c>
    </row>
    <row r="10" spans="2:31" ht="16.350000000000001" customHeight="1">
      <c r="B10" s="347"/>
      <c r="C10" s="348"/>
      <c r="D10" s="377" t="str">
        <f>IF(Indice_index!$Z$1=1,"Classificação económica","Economic classification")</f>
        <v>Classificação económica</v>
      </c>
      <c r="E10" s="347" t="str">
        <f>IF(Indice_index!$Z$1=1,"2023","2023")</f>
        <v>2023</v>
      </c>
      <c r="F10" s="348"/>
      <c r="G10" s="348"/>
      <c r="H10" s="348"/>
      <c r="I10" s="348"/>
      <c r="J10" s="348"/>
      <c r="K10" s="348"/>
      <c r="L10" s="348"/>
      <c r="M10" s="348"/>
      <c r="N10" s="348"/>
      <c r="O10" s="348"/>
      <c r="P10" s="348"/>
      <c r="Q10" s="348"/>
      <c r="R10" s="348"/>
      <c r="S10" s="347" t="str">
        <f>IF(Indice_index!$Z$1=1,"2024","2024")</f>
        <v>2024</v>
      </c>
      <c r="T10" s="348"/>
      <c r="U10" s="348"/>
      <c r="V10" s="348"/>
      <c r="W10" s="348"/>
      <c r="X10" s="348"/>
      <c r="Y10" s="348"/>
      <c r="Z10" s="348"/>
      <c r="AA10" s="348"/>
      <c r="AB10" s="348"/>
      <c r="AC10" s="348"/>
      <c r="AD10" s="348"/>
      <c r="AE10" s="348"/>
    </row>
    <row r="11" spans="2:31" ht="26.85" customHeight="1">
      <c r="B11" s="347"/>
      <c r="C11" s="348"/>
      <c r="D11" s="376"/>
      <c r="E11" s="24" t="str">
        <f>IF(Indice_index!$Z$1=1,"jan","Jan")</f>
        <v>jan</v>
      </c>
      <c r="F11" s="24" t="str">
        <f>IF(Indice_index!$Z$1=1,"fev","Feb")</f>
        <v>fev</v>
      </c>
      <c r="G11" s="24" t="str">
        <f>IF(Indice_index!$Z$1=1,"mar","Mar")</f>
        <v>mar</v>
      </c>
      <c r="H11" s="24" t="str">
        <f>IF(Indice_index!$Z$1=1,"abr","Apr")</f>
        <v>abr</v>
      </c>
      <c r="I11" s="24" t="str">
        <f>IF(Indice_index!$Z$1=1,"mai","May")</f>
        <v>mai</v>
      </c>
      <c r="J11" s="24" t="str">
        <f>IF(Indice_index!$Z$1=1,"jun","Jun")</f>
        <v>jun</v>
      </c>
      <c r="K11" s="24" t="str">
        <f>IF(Indice_index!$Z$1=1,"jul","Jul")</f>
        <v>jul</v>
      </c>
      <c r="L11" s="24" t="str">
        <f>IF(Indice_index!$Z$1=1,"ago","Aug")</f>
        <v>ago</v>
      </c>
      <c r="M11" s="24" t="str">
        <f>IF(Indice_index!$Z$1=1,"set","Sep")</f>
        <v>set</v>
      </c>
      <c r="N11" s="24" t="str">
        <f>IF(Indice_index!$Z$1=1,"out","Oct")</f>
        <v>out</v>
      </c>
      <c r="O11" s="24" t="str">
        <f>IF(Indice_index!$Z$1=1,"nov","Nov")</f>
        <v>nov</v>
      </c>
      <c r="P11" s="24" t="str">
        <f>IF(Indice_index!$Z$1=1,"dez","Dec")</f>
        <v>dez</v>
      </c>
      <c r="Q11" s="24" t="str">
        <f>IF(Indice_index!$Z$1=1,"Ano até 
à data","Year to date")</f>
        <v>Ano até 
à data</v>
      </c>
      <c r="R11" s="24" t="str">
        <f>IF(Indice_index!$Z$1=1,"Acumulado","Cumulative")</f>
        <v>Acumulado</v>
      </c>
      <c r="S11" s="24" t="str">
        <f>IF(Indice_index!$Z$1=1,"jan","Jan")</f>
        <v>jan</v>
      </c>
      <c r="T11" s="24" t="str">
        <f>IF(Indice_index!$Z$1=1,"fev","Feb")</f>
        <v>fev</v>
      </c>
      <c r="U11" s="24" t="str">
        <f>IF(Indice_index!$Z$1=1,"mar","Mar")</f>
        <v>mar</v>
      </c>
      <c r="V11" s="24" t="str">
        <f>IF(Indice_index!$Z$1=1,"abr","Apr")</f>
        <v>abr</v>
      </c>
      <c r="W11" s="24" t="str">
        <f>IF(Indice_index!$Z$1=1,"mai","May")</f>
        <v>mai</v>
      </c>
      <c r="X11" s="24" t="str">
        <f>IF(Indice_index!$Z$1=1,"jun","Jun")</f>
        <v>jun</v>
      </c>
      <c r="Y11" s="24" t="str">
        <f>IF(Indice_index!$Z$1=1,"jul","Jul")</f>
        <v>jul</v>
      </c>
      <c r="Z11" s="24" t="str">
        <f>IF(Indice_index!$Z$1=1,"ago","Aug")</f>
        <v>ago</v>
      </c>
      <c r="AA11" s="24" t="str">
        <f>IF(Indice_index!$Z$1=1,"set","Sep")</f>
        <v>set</v>
      </c>
      <c r="AB11" s="24" t="str">
        <f>IF(Indice_index!$Z$1=1,"out","Oct")</f>
        <v>out</v>
      </c>
      <c r="AC11" s="24" t="str">
        <f>IF(Indice_index!$Z$1=1,"nov","Nov")</f>
        <v>nov</v>
      </c>
      <c r="AD11" s="24" t="str">
        <f>IF(Indice_index!$Z$1=1,"dez","Dec")</f>
        <v>dez</v>
      </c>
      <c r="AE11" s="24" t="str">
        <f>IF(Indice_index!$Z$1=1,"Acumulado","Cumulative")</f>
        <v>Acumulado</v>
      </c>
    </row>
    <row r="12" spans="2:31" ht="14.1" customHeight="1">
      <c r="B12" s="360" t="str">
        <f>IF(Indice_index!$Z$1=1,"Receita corrente","Current revenue")</f>
        <v>Receita corrente</v>
      </c>
      <c r="C12" s="360"/>
      <c r="D12" s="227"/>
      <c r="E12" s="254">
        <f t="shared" ref="E12:P12" si="0">+E13+E14+E16+E19+E15</f>
        <v>132.50199308999998</v>
      </c>
      <c r="F12" s="254">
        <f t="shared" si="0"/>
        <v>55.526556409999998</v>
      </c>
      <c r="G12" s="254">
        <f t="shared" si="0"/>
        <v>128.73589600999998</v>
      </c>
      <c r="H12" s="254">
        <f t="shared" si="0"/>
        <v>69.023631249999994</v>
      </c>
      <c r="I12" s="254">
        <f t="shared" si="0"/>
        <v>224.67150404</v>
      </c>
      <c r="J12" s="254">
        <f t="shared" si="0"/>
        <v>19.685498679999998</v>
      </c>
      <c r="K12" s="254">
        <f t="shared" si="0"/>
        <v>25.496028339999999</v>
      </c>
      <c r="L12" s="254">
        <f t="shared" si="0"/>
        <v>17.464285689999997</v>
      </c>
      <c r="M12" s="254">
        <f t="shared" si="0"/>
        <v>244.99650693000001</v>
      </c>
      <c r="N12" s="254">
        <f t="shared" si="0"/>
        <v>695.03139826999995</v>
      </c>
      <c r="O12" s="254">
        <f t="shared" si="0"/>
        <v>855.63165117000005</v>
      </c>
      <c r="P12" s="254">
        <f t="shared" si="0"/>
        <v>20.697522369999998</v>
      </c>
      <c r="Q12" s="254">
        <f>+Q13+Q14+Q16+Q19+Q15</f>
        <v>918.10190044000001</v>
      </c>
      <c r="R12" s="254">
        <f>SUM(E12:P12)</f>
        <v>2489.4624722500002</v>
      </c>
      <c r="S12" s="254">
        <f t="shared" ref="S12:AD12" si="1">+S13+S14+S16+S19+S15</f>
        <v>158.26451408000003</v>
      </c>
      <c r="T12" s="254">
        <f t="shared" si="1"/>
        <v>109.42916728</v>
      </c>
      <c r="U12" s="254">
        <f t="shared" si="1"/>
        <v>185.32353294000001</v>
      </c>
      <c r="V12" s="254">
        <f t="shared" si="1"/>
        <v>115.92145231000002</v>
      </c>
      <c r="W12" s="254">
        <f t="shared" si="1"/>
        <v>76.866250930000007</v>
      </c>
      <c r="X12" s="254">
        <f t="shared" si="1"/>
        <v>481.00187798000002</v>
      </c>
      <c r="Y12" s="254">
        <f t="shared" si="1"/>
        <v>226.10185238999998</v>
      </c>
      <c r="Z12" s="254">
        <f t="shared" si="1"/>
        <v>262.55152722999998</v>
      </c>
      <c r="AA12" s="254">
        <f t="shared" si="1"/>
        <v>16.751679439999997</v>
      </c>
      <c r="AB12" s="254">
        <f t="shared" si="1"/>
        <v>0</v>
      </c>
      <c r="AC12" s="254">
        <f t="shared" si="1"/>
        <v>0</v>
      </c>
      <c r="AD12" s="254">
        <f t="shared" si="1"/>
        <v>0</v>
      </c>
      <c r="AE12" s="254">
        <f>SUM(S12:AD12)</f>
        <v>1632.2118545799999</v>
      </c>
    </row>
    <row r="13" spans="2:31" ht="14.1" customHeight="1">
      <c r="B13" s="355" t="str">
        <f>IF(Indice_index!$Z$1=1,"Impostos diretos ","Direct taxes")</f>
        <v xml:space="preserve">Impostos diretos </v>
      </c>
      <c r="C13" s="355"/>
      <c r="D13" s="228" t="s">
        <v>18</v>
      </c>
      <c r="E13" s="255">
        <f t="shared" ref="E13:N15" si="2">+SUMIF($D$54:$D$80,$D13,E$54:E$80)</f>
        <v>5.1679879999999997E-2</v>
      </c>
      <c r="F13" s="255">
        <f t="shared" si="2"/>
        <v>0</v>
      </c>
      <c r="G13" s="255">
        <f t="shared" si="2"/>
        <v>12.814335120000001</v>
      </c>
      <c r="H13" s="255">
        <f t="shared" si="2"/>
        <v>4.5122879999999997E-2</v>
      </c>
      <c r="I13" s="255">
        <f t="shared" si="2"/>
        <v>1.2963765</v>
      </c>
      <c r="J13" s="255">
        <f t="shared" si="2"/>
        <v>0.96002504</v>
      </c>
      <c r="K13" s="255">
        <f t="shared" si="2"/>
        <v>1.77371831</v>
      </c>
      <c r="L13" s="255">
        <f t="shared" si="2"/>
        <v>0</v>
      </c>
      <c r="M13" s="255">
        <f t="shared" si="2"/>
        <v>26.706545420000001</v>
      </c>
      <c r="N13" s="255">
        <f t="shared" si="2"/>
        <v>669.95254639999996</v>
      </c>
      <c r="O13" s="255">
        <f t="shared" ref="O13:X15" si="3">+SUMIF($D$54:$D$80,$D13,O$54:O$80)</f>
        <v>6.0607269999999998E-2</v>
      </c>
      <c r="P13" s="255">
        <f t="shared" si="3"/>
        <v>3.7892177600000001</v>
      </c>
      <c r="Q13" s="255">
        <f t="shared" si="3"/>
        <v>43.647803150000001</v>
      </c>
      <c r="R13" s="255">
        <f t="shared" si="3"/>
        <v>717.45017457999995</v>
      </c>
      <c r="S13" s="255">
        <f t="shared" si="3"/>
        <v>0.52537933000000003</v>
      </c>
      <c r="T13" s="255">
        <f t="shared" si="3"/>
        <v>-0.34765652000000002</v>
      </c>
      <c r="U13" s="255">
        <f t="shared" si="3"/>
        <v>0</v>
      </c>
      <c r="V13" s="255">
        <f t="shared" si="3"/>
        <v>-0.43179037999999997</v>
      </c>
      <c r="W13" s="255">
        <f t="shared" si="3"/>
        <v>0.29464562</v>
      </c>
      <c r="X13" s="255">
        <f t="shared" si="3"/>
        <v>0.84749121000000005</v>
      </c>
      <c r="Y13" s="255">
        <f t="shared" ref="Y13:AE15" si="4">+SUMIF($D$54:$D$80,$D13,Y$54:Y$80)</f>
        <v>0.19559972</v>
      </c>
      <c r="Z13" s="255">
        <f t="shared" si="4"/>
        <v>0</v>
      </c>
      <c r="AA13" s="255">
        <f t="shared" si="4"/>
        <v>6.0301979999999998E-2</v>
      </c>
      <c r="AB13" s="255">
        <f t="shared" si="4"/>
        <v>0</v>
      </c>
      <c r="AC13" s="255">
        <f t="shared" si="4"/>
        <v>0</v>
      </c>
      <c r="AD13" s="255">
        <f t="shared" si="4"/>
        <v>0</v>
      </c>
      <c r="AE13" s="255">
        <f t="shared" si="4"/>
        <v>1.1439709600000001</v>
      </c>
    </row>
    <row r="14" spans="2:31" ht="14.1" customHeight="1">
      <c r="B14" s="355" t="str">
        <f>IF(Indice_index!$Z$1=1,"Impostos indiretos","Indirect taxes")</f>
        <v>Impostos indiretos</v>
      </c>
      <c r="C14" s="355"/>
      <c r="D14" s="228" t="s">
        <v>19</v>
      </c>
      <c r="E14" s="255">
        <f t="shared" si="2"/>
        <v>76.842341320000003</v>
      </c>
      <c r="F14" s="255">
        <f t="shared" si="2"/>
        <v>54.814488349999998</v>
      </c>
      <c r="G14" s="255">
        <f t="shared" si="2"/>
        <v>51.1090898</v>
      </c>
      <c r="H14" s="255">
        <f t="shared" si="2"/>
        <v>68.383426229999998</v>
      </c>
      <c r="I14" s="255">
        <f t="shared" si="2"/>
        <v>34.804187859999999</v>
      </c>
      <c r="J14" s="255">
        <f t="shared" si="2"/>
        <v>17.095585239999998</v>
      </c>
      <c r="K14" s="255">
        <f t="shared" si="2"/>
        <v>23.164671509999998</v>
      </c>
      <c r="L14" s="255">
        <f t="shared" si="2"/>
        <v>16.859027469999997</v>
      </c>
      <c r="M14" s="255">
        <f t="shared" si="2"/>
        <v>15.633534300000001</v>
      </c>
      <c r="N14" s="255">
        <f t="shared" si="2"/>
        <v>24.49704449</v>
      </c>
      <c r="O14" s="255">
        <f t="shared" si="3"/>
        <v>16.596162760000002</v>
      </c>
      <c r="P14" s="255">
        <f t="shared" si="3"/>
        <v>16.331509629999999</v>
      </c>
      <c r="Q14" s="255">
        <f t="shared" si="3"/>
        <v>358.70635207999999</v>
      </c>
      <c r="R14" s="255">
        <f t="shared" si="3"/>
        <v>416.13106895999999</v>
      </c>
      <c r="S14" s="255">
        <f t="shared" si="3"/>
        <v>108.07258829</v>
      </c>
      <c r="T14" s="255">
        <f t="shared" si="3"/>
        <v>109.12374193000001</v>
      </c>
      <c r="U14" s="255">
        <f t="shared" si="3"/>
        <v>100.53378509000001</v>
      </c>
      <c r="V14" s="255">
        <f t="shared" si="3"/>
        <v>115.80463961000001</v>
      </c>
      <c r="W14" s="255">
        <f t="shared" si="3"/>
        <v>75.981644950000003</v>
      </c>
      <c r="X14" s="255">
        <f t="shared" si="3"/>
        <v>16.31221665</v>
      </c>
      <c r="Y14" s="255">
        <f t="shared" si="4"/>
        <v>25.298682339999999</v>
      </c>
      <c r="Z14" s="255">
        <f t="shared" si="4"/>
        <v>17.244107109999998</v>
      </c>
      <c r="AA14" s="255">
        <f t="shared" si="4"/>
        <v>16.08026705</v>
      </c>
      <c r="AB14" s="255">
        <f t="shared" si="4"/>
        <v>0</v>
      </c>
      <c r="AC14" s="255">
        <f t="shared" si="4"/>
        <v>0</v>
      </c>
      <c r="AD14" s="255">
        <f t="shared" si="4"/>
        <v>0</v>
      </c>
      <c r="AE14" s="255">
        <f t="shared" si="4"/>
        <v>584.45167302000004</v>
      </c>
    </row>
    <row r="15" spans="2:31" ht="14.1" customHeight="1">
      <c r="B15" s="355" t="str">
        <f>IF(Indice_index!$Z$1=1,"Contribuições para Segurança Social, CGA e ADSE","Social security, CGA and ADSE contributions")</f>
        <v>Contribuições para Segurança Social, CGA e ADSE</v>
      </c>
      <c r="C15" s="355"/>
      <c r="D15" s="228" t="s">
        <v>20</v>
      </c>
      <c r="E15" s="255">
        <f t="shared" si="2"/>
        <v>0</v>
      </c>
      <c r="F15" s="255">
        <f t="shared" si="2"/>
        <v>0</v>
      </c>
      <c r="G15" s="255">
        <f t="shared" si="2"/>
        <v>0</v>
      </c>
      <c r="H15" s="255">
        <f t="shared" si="2"/>
        <v>0</v>
      </c>
      <c r="I15" s="255">
        <f t="shared" si="2"/>
        <v>0</v>
      </c>
      <c r="J15" s="255">
        <f t="shared" si="2"/>
        <v>0</v>
      </c>
      <c r="K15" s="255">
        <f t="shared" si="2"/>
        <v>0</v>
      </c>
      <c r="L15" s="255">
        <f t="shared" si="2"/>
        <v>0</v>
      </c>
      <c r="M15" s="255">
        <f t="shared" si="2"/>
        <v>0</v>
      </c>
      <c r="N15" s="255">
        <f t="shared" si="2"/>
        <v>0</v>
      </c>
      <c r="O15" s="255">
        <f t="shared" si="3"/>
        <v>0</v>
      </c>
      <c r="P15" s="255">
        <f t="shared" si="3"/>
        <v>0</v>
      </c>
      <c r="Q15" s="255">
        <f t="shared" si="3"/>
        <v>0</v>
      </c>
      <c r="R15" s="255">
        <f t="shared" si="3"/>
        <v>0</v>
      </c>
      <c r="S15" s="255">
        <f t="shared" si="3"/>
        <v>0</v>
      </c>
      <c r="T15" s="255">
        <f t="shared" si="3"/>
        <v>0</v>
      </c>
      <c r="U15" s="255">
        <f t="shared" si="3"/>
        <v>0</v>
      </c>
      <c r="V15" s="255">
        <f t="shared" si="3"/>
        <v>0</v>
      </c>
      <c r="W15" s="255">
        <f t="shared" si="3"/>
        <v>0</v>
      </c>
      <c r="X15" s="255">
        <f t="shared" si="3"/>
        <v>0</v>
      </c>
      <c r="Y15" s="255">
        <f t="shared" si="4"/>
        <v>0</v>
      </c>
      <c r="Z15" s="255">
        <f t="shared" si="4"/>
        <v>0</v>
      </c>
      <c r="AA15" s="255">
        <f t="shared" si="4"/>
        <v>0</v>
      </c>
      <c r="AB15" s="255">
        <f t="shared" si="4"/>
        <v>0</v>
      </c>
      <c r="AC15" s="255">
        <f t="shared" si="4"/>
        <v>0</v>
      </c>
      <c r="AD15" s="255">
        <f t="shared" si="4"/>
        <v>0</v>
      </c>
      <c r="AE15" s="255">
        <f t="shared" si="4"/>
        <v>0</v>
      </c>
    </row>
    <row r="16" spans="2:31" ht="14.1" customHeight="1">
      <c r="B16" s="355" t="str">
        <f>IF(Indice_index!$Z$1=1,"Transferências correntes","Current transfers")</f>
        <v>Transferências correntes</v>
      </c>
      <c r="C16" s="355"/>
      <c r="D16" s="228" t="s">
        <v>21</v>
      </c>
      <c r="E16" s="255">
        <f t="shared" ref="E16:AE16" si="5">+E17+E18</f>
        <v>0</v>
      </c>
      <c r="F16" s="255">
        <f t="shared" si="5"/>
        <v>0</v>
      </c>
      <c r="G16" s="255">
        <f t="shared" si="5"/>
        <v>0</v>
      </c>
      <c r="H16" s="255">
        <f t="shared" si="5"/>
        <v>0</v>
      </c>
      <c r="I16" s="255">
        <f t="shared" si="5"/>
        <v>0</v>
      </c>
      <c r="J16" s="255">
        <f t="shared" si="5"/>
        <v>0</v>
      </c>
      <c r="K16" s="255">
        <f t="shared" si="5"/>
        <v>0</v>
      </c>
      <c r="L16" s="255">
        <f t="shared" si="5"/>
        <v>0</v>
      </c>
      <c r="M16" s="255">
        <f t="shared" si="5"/>
        <v>0</v>
      </c>
      <c r="N16" s="255">
        <f t="shared" si="5"/>
        <v>0</v>
      </c>
      <c r="O16" s="255">
        <f t="shared" si="5"/>
        <v>0</v>
      </c>
      <c r="P16" s="255">
        <f t="shared" si="5"/>
        <v>0</v>
      </c>
      <c r="Q16" s="255">
        <f t="shared" si="5"/>
        <v>0</v>
      </c>
      <c r="R16" s="255">
        <f t="shared" si="5"/>
        <v>0</v>
      </c>
      <c r="S16" s="255">
        <f t="shared" si="5"/>
        <v>0</v>
      </c>
      <c r="T16" s="255">
        <f t="shared" si="5"/>
        <v>0</v>
      </c>
      <c r="U16" s="255">
        <f t="shared" si="5"/>
        <v>0</v>
      </c>
      <c r="V16" s="255">
        <f t="shared" si="5"/>
        <v>0</v>
      </c>
      <c r="W16" s="255">
        <f t="shared" si="5"/>
        <v>0</v>
      </c>
      <c r="X16" s="255">
        <f t="shared" si="5"/>
        <v>0</v>
      </c>
      <c r="Y16" s="255">
        <f t="shared" si="5"/>
        <v>0</v>
      </c>
      <c r="Z16" s="255">
        <f t="shared" si="5"/>
        <v>0</v>
      </c>
      <c r="AA16" s="255">
        <f t="shared" si="5"/>
        <v>0</v>
      </c>
      <c r="AB16" s="255">
        <f t="shared" si="5"/>
        <v>0</v>
      </c>
      <c r="AC16" s="255">
        <f t="shared" si="5"/>
        <v>0</v>
      </c>
      <c r="AD16" s="255">
        <f t="shared" si="5"/>
        <v>0</v>
      </c>
      <c r="AE16" s="255">
        <f t="shared" si="5"/>
        <v>0</v>
      </c>
    </row>
    <row r="17" spans="2:31" ht="14.1" customHeight="1">
      <c r="B17" s="362" t="str">
        <f>IF(Indice_index!$Z$1=1,"Administrações Públicas","General Government subsectors")</f>
        <v>Administrações Públicas</v>
      </c>
      <c r="C17" s="362"/>
      <c r="D17" s="228" t="s">
        <v>22</v>
      </c>
      <c r="E17" s="255">
        <f t="shared" ref="E17:N19" si="6">+SUMIF($D$54:$D$80,$D17,E$54:E$80)</f>
        <v>0</v>
      </c>
      <c r="F17" s="255">
        <f t="shared" si="6"/>
        <v>0</v>
      </c>
      <c r="G17" s="255">
        <f t="shared" si="6"/>
        <v>0</v>
      </c>
      <c r="H17" s="255">
        <f t="shared" si="6"/>
        <v>0</v>
      </c>
      <c r="I17" s="255">
        <f t="shared" si="6"/>
        <v>0</v>
      </c>
      <c r="J17" s="255">
        <f t="shared" si="6"/>
        <v>0</v>
      </c>
      <c r="K17" s="255">
        <f t="shared" si="6"/>
        <v>0</v>
      </c>
      <c r="L17" s="255">
        <f t="shared" si="6"/>
        <v>0</v>
      </c>
      <c r="M17" s="255">
        <f t="shared" si="6"/>
        <v>0</v>
      </c>
      <c r="N17" s="255">
        <f t="shared" si="6"/>
        <v>0</v>
      </c>
      <c r="O17" s="255">
        <f t="shared" ref="O17:X19" si="7">+SUMIF($D$54:$D$80,$D17,O$54:O$80)</f>
        <v>0</v>
      </c>
      <c r="P17" s="255">
        <f t="shared" si="7"/>
        <v>0</v>
      </c>
      <c r="Q17" s="255">
        <f t="shared" si="7"/>
        <v>0</v>
      </c>
      <c r="R17" s="255">
        <f t="shared" si="7"/>
        <v>0</v>
      </c>
      <c r="S17" s="255">
        <f t="shared" si="7"/>
        <v>0</v>
      </c>
      <c r="T17" s="255">
        <f t="shared" si="7"/>
        <v>0</v>
      </c>
      <c r="U17" s="255">
        <f t="shared" si="7"/>
        <v>0</v>
      </c>
      <c r="V17" s="255">
        <f t="shared" si="7"/>
        <v>0</v>
      </c>
      <c r="W17" s="255">
        <f t="shared" si="7"/>
        <v>0</v>
      </c>
      <c r="X17" s="255">
        <f t="shared" si="7"/>
        <v>0</v>
      </c>
      <c r="Y17" s="255">
        <f t="shared" ref="Y17:AE19" si="8">+SUMIF($D$54:$D$80,$D17,Y$54:Y$80)</f>
        <v>0</v>
      </c>
      <c r="Z17" s="255">
        <f t="shared" si="8"/>
        <v>0</v>
      </c>
      <c r="AA17" s="255">
        <f t="shared" si="8"/>
        <v>0</v>
      </c>
      <c r="AB17" s="255">
        <f t="shared" si="8"/>
        <v>0</v>
      </c>
      <c r="AC17" s="255">
        <f t="shared" si="8"/>
        <v>0</v>
      </c>
      <c r="AD17" s="255">
        <f t="shared" si="8"/>
        <v>0</v>
      </c>
      <c r="AE17" s="255">
        <f t="shared" si="8"/>
        <v>0</v>
      </c>
    </row>
    <row r="18" spans="2:31" ht="14.1" customHeight="1">
      <c r="B18" s="362" t="str">
        <f>IF(Indice_index!$Z$1=1,"Outras","Others")</f>
        <v>Outras</v>
      </c>
      <c r="C18" s="362"/>
      <c r="D18" s="228" t="s">
        <v>23</v>
      </c>
      <c r="E18" s="255">
        <f t="shared" si="6"/>
        <v>0</v>
      </c>
      <c r="F18" s="255">
        <f t="shared" si="6"/>
        <v>0</v>
      </c>
      <c r="G18" s="255">
        <f t="shared" si="6"/>
        <v>0</v>
      </c>
      <c r="H18" s="255">
        <f t="shared" si="6"/>
        <v>0</v>
      </c>
      <c r="I18" s="255">
        <f t="shared" si="6"/>
        <v>0</v>
      </c>
      <c r="J18" s="255">
        <f t="shared" si="6"/>
        <v>0</v>
      </c>
      <c r="K18" s="255">
        <f t="shared" si="6"/>
        <v>0</v>
      </c>
      <c r="L18" s="255">
        <f t="shared" si="6"/>
        <v>0</v>
      </c>
      <c r="M18" s="255">
        <f t="shared" si="6"/>
        <v>0</v>
      </c>
      <c r="N18" s="255">
        <f t="shared" si="6"/>
        <v>0</v>
      </c>
      <c r="O18" s="255">
        <f t="shared" si="7"/>
        <v>0</v>
      </c>
      <c r="P18" s="255">
        <f t="shared" si="7"/>
        <v>0</v>
      </c>
      <c r="Q18" s="255">
        <f t="shared" si="7"/>
        <v>0</v>
      </c>
      <c r="R18" s="255">
        <f t="shared" si="7"/>
        <v>0</v>
      </c>
      <c r="S18" s="255">
        <f t="shared" si="7"/>
        <v>0</v>
      </c>
      <c r="T18" s="255">
        <f t="shared" si="7"/>
        <v>0</v>
      </c>
      <c r="U18" s="255">
        <f t="shared" si="7"/>
        <v>0</v>
      </c>
      <c r="V18" s="255">
        <f t="shared" si="7"/>
        <v>0</v>
      </c>
      <c r="W18" s="255">
        <f t="shared" si="7"/>
        <v>0</v>
      </c>
      <c r="X18" s="255">
        <f t="shared" si="7"/>
        <v>0</v>
      </c>
      <c r="Y18" s="255">
        <f t="shared" si="8"/>
        <v>0</v>
      </c>
      <c r="Z18" s="255">
        <f t="shared" si="8"/>
        <v>0</v>
      </c>
      <c r="AA18" s="255">
        <f t="shared" si="8"/>
        <v>0</v>
      </c>
      <c r="AB18" s="255">
        <f t="shared" si="8"/>
        <v>0</v>
      </c>
      <c r="AC18" s="255">
        <f t="shared" si="8"/>
        <v>0</v>
      </c>
      <c r="AD18" s="255">
        <f t="shared" si="8"/>
        <v>0</v>
      </c>
      <c r="AE18" s="255">
        <f t="shared" si="8"/>
        <v>0</v>
      </c>
    </row>
    <row r="19" spans="2:31" ht="14.1" customHeight="1">
      <c r="B19" s="355" t="str">
        <f>IF(Indice_index!$Z$1=1,"Outras receitas correntes","Other current revenue")</f>
        <v>Outras receitas correntes</v>
      </c>
      <c r="C19" s="355"/>
      <c r="D19" s="228" t="s">
        <v>24</v>
      </c>
      <c r="E19" s="255">
        <f t="shared" si="6"/>
        <v>55.607971889999995</v>
      </c>
      <c r="F19" s="255">
        <f t="shared" si="6"/>
        <v>0.71206806</v>
      </c>
      <c r="G19" s="255">
        <f t="shared" si="6"/>
        <v>64.812471089999988</v>
      </c>
      <c r="H19" s="255">
        <f t="shared" si="6"/>
        <v>0.59508214000000004</v>
      </c>
      <c r="I19" s="255">
        <f t="shared" si="6"/>
        <v>188.57093968000001</v>
      </c>
      <c r="J19" s="255">
        <f t="shared" si="6"/>
        <v>1.6298884</v>
      </c>
      <c r="K19" s="255">
        <f t="shared" si="6"/>
        <v>0.55763852000000003</v>
      </c>
      <c r="L19" s="255">
        <f t="shared" si="6"/>
        <v>0.60525821999999996</v>
      </c>
      <c r="M19" s="255">
        <f t="shared" si="6"/>
        <v>202.65642721</v>
      </c>
      <c r="N19" s="255">
        <f t="shared" si="6"/>
        <v>0.58180737999999999</v>
      </c>
      <c r="O19" s="255">
        <f t="shared" si="7"/>
        <v>838.97488114000009</v>
      </c>
      <c r="P19" s="255">
        <f t="shared" si="7"/>
        <v>0.57679497999999996</v>
      </c>
      <c r="Q19" s="255">
        <f t="shared" si="7"/>
        <v>515.74774520999995</v>
      </c>
      <c r="R19" s="255">
        <f t="shared" si="7"/>
        <v>1355.8812287100002</v>
      </c>
      <c r="S19" s="255">
        <f t="shared" si="7"/>
        <v>49.666546460000006</v>
      </c>
      <c r="T19" s="255">
        <f t="shared" si="7"/>
        <v>0.65308186999999995</v>
      </c>
      <c r="U19" s="255">
        <f t="shared" si="7"/>
        <v>84.789747849999998</v>
      </c>
      <c r="V19" s="255">
        <f t="shared" si="7"/>
        <v>0.54860308000000002</v>
      </c>
      <c r="W19" s="255">
        <f t="shared" si="7"/>
        <v>0.58996035999999996</v>
      </c>
      <c r="X19" s="255">
        <f t="shared" si="7"/>
        <v>463.84217011999999</v>
      </c>
      <c r="Y19" s="255">
        <f t="shared" si="8"/>
        <v>200.60757032999999</v>
      </c>
      <c r="Z19" s="255">
        <f t="shared" si="8"/>
        <v>245.30742011999999</v>
      </c>
      <c r="AA19" s="255">
        <f t="shared" si="8"/>
        <v>0.61111040999999999</v>
      </c>
      <c r="AB19" s="255">
        <f t="shared" si="8"/>
        <v>0</v>
      </c>
      <c r="AC19" s="255">
        <f t="shared" si="8"/>
        <v>0</v>
      </c>
      <c r="AD19" s="255">
        <f t="shared" si="8"/>
        <v>0</v>
      </c>
      <c r="AE19" s="255">
        <f t="shared" si="8"/>
        <v>1046.6162105999999</v>
      </c>
    </row>
    <row r="20" spans="2:31" ht="14.1" customHeight="1">
      <c r="B20" s="360" t="str">
        <f>IF(Indice_index!$Z$1=1,"Receita de capital","Capital revenue")</f>
        <v>Receita de capital</v>
      </c>
      <c r="C20" s="360"/>
      <c r="D20" s="229"/>
      <c r="E20" s="254">
        <f t="shared" ref="E20:AE20" si="9">+E21+E22+E25</f>
        <v>0</v>
      </c>
      <c r="F20" s="254">
        <f t="shared" si="9"/>
        <v>0</v>
      </c>
      <c r="G20" s="254">
        <f t="shared" si="9"/>
        <v>3020.4153669999996</v>
      </c>
      <c r="H20" s="254">
        <f t="shared" si="9"/>
        <v>0</v>
      </c>
      <c r="I20" s="254">
        <f t="shared" si="9"/>
        <v>0</v>
      </c>
      <c r="J20" s="254">
        <f t="shared" si="9"/>
        <v>0</v>
      </c>
      <c r="K20" s="254">
        <f t="shared" si="9"/>
        <v>0</v>
      </c>
      <c r="L20" s="254">
        <f t="shared" si="9"/>
        <v>0</v>
      </c>
      <c r="M20" s="254">
        <f t="shared" si="9"/>
        <v>0</v>
      </c>
      <c r="N20" s="254">
        <f t="shared" si="9"/>
        <v>0</v>
      </c>
      <c r="O20" s="254">
        <f t="shared" si="9"/>
        <v>0</v>
      </c>
      <c r="P20" s="254">
        <f t="shared" si="9"/>
        <v>0</v>
      </c>
      <c r="Q20" s="254">
        <f t="shared" si="9"/>
        <v>3020.4153669999996</v>
      </c>
      <c r="R20" s="254">
        <f t="shared" si="9"/>
        <v>3020.4153669999996</v>
      </c>
      <c r="S20" s="254">
        <f t="shared" si="9"/>
        <v>0</v>
      </c>
      <c r="T20" s="254">
        <f t="shared" si="9"/>
        <v>0</v>
      </c>
      <c r="U20" s="254">
        <f t="shared" si="9"/>
        <v>0</v>
      </c>
      <c r="V20" s="254">
        <f t="shared" si="9"/>
        <v>2.9249999999999998</v>
      </c>
      <c r="W20" s="254">
        <f t="shared" si="9"/>
        <v>0</v>
      </c>
      <c r="X20" s="254">
        <f t="shared" si="9"/>
        <v>0</v>
      </c>
      <c r="Y20" s="254">
        <f t="shared" si="9"/>
        <v>0</v>
      </c>
      <c r="Z20" s="254">
        <f t="shared" si="9"/>
        <v>0</v>
      </c>
      <c r="AA20" s="254">
        <f t="shared" si="9"/>
        <v>0</v>
      </c>
      <c r="AB20" s="254">
        <f t="shared" si="9"/>
        <v>0</v>
      </c>
      <c r="AC20" s="254">
        <f t="shared" si="9"/>
        <v>0</v>
      </c>
      <c r="AD20" s="254">
        <f t="shared" si="9"/>
        <v>0</v>
      </c>
      <c r="AE20" s="254">
        <f t="shared" si="9"/>
        <v>2.9249999999999998</v>
      </c>
    </row>
    <row r="21" spans="2:31" ht="14.1" customHeight="1">
      <c r="B21" s="355" t="str">
        <f>IF(Indice_index!$Z$1=1,"Venda de bens de investimento","Sale of investment good")</f>
        <v>Venda de bens de investimento</v>
      </c>
      <c r="C21" s="355"/>
      <c r="D21" s="228" t="s">
        <v>25</v>
      </c>
      <c r="E21" s="255">
        <f t="shared" ref="E21:AE21" si="10">+SUMIF($D$54:$D$80,$D21,E$54:E$80)</f>
        <v>0</v>
      </c>
      <c r="F21" s="255">
        <f t="shared" si="10"/>
        <v>0</v>
      </c>
      <c r="G21" s="255">
        <f t="shared" si="10"/>
        <v>2.0750000000000002</v>
      </c>
      <c r="H21" s="255">
        <f t="shared" si="10"/>
        <v>0</v>
      </c>
      <c r="I21" s="255">
        <f t="shared" si="10"/>
        <v>0</v>
      </c>
      <c r="J21" s="255">
        <f t="shared" si="10"/>
        <v>0</v>
      </c>
      <c r="K21" s="255">
        <f t="shared" si="10"/>
        <v>0</v>
      </c>
      <c r="L21" s="255">
        <f t="shared" si="10"/>
        <v>0</v>
      </c>
      <c r="M21" s="255">
        <f t="shared" si="10"/>
        <v>0</v>
      </c>
      <c r="N21" s="255">
        <f t="shared" si="10"/>
        <v>0</v>
      </c>
      <c r="O21" s="255">
        <f t="shared" si="10"/>
        <v>0</v>
      </c>
      <c r="P21" s="255">
        <f t="shared" si="10"/>
        <v>0</v>
      </c>
      <c r="Q21" s="255">
        <f t="shared" si="10"/>
        <v>2.0750000000000002</v>
      </c>
      <c r="R21" s="255">
        <f t="shared" si="10"/>
        <v>2.0750000000000002</v>
      </c>
      <c r="S21" s="255">
        <f t="shared" si="10"/>
        <v>0</v>
      </c>
      <c r="T21" s="255">
        <f t="shared" si="10"/>
        <v>0</v>
      </c>
      <c r="U21" s="255">
        <f t="shared" si="10"/>
        <v>0</v>
      </c>
      <c r="V21" s="255">
        <f t="shared" si="10"/>
        <v>2.9249999999999998</v>
      </c>
      <c r="W21" s="255">
        <f t="shared" si="10"/>
        <v>0</v>
      </c>
      <c r="X21" s="255">
        <f t="shared" si="10"/>
        <v>0</v>
      </c>
      <c r="Y21" s="255">
        <f t="shared" si="10"/>
        <v>0</v>
      </c>
      <c r="Z21" s="255">
        <f t="shared" si="10"/>
        <v>0</v>
      </c>
      <c r="AA21" s="255">
        <f t="shared" si="10"/>
        <v>0</v>
      </c>
      <c r="AB21" s="255">
        <f t="shared" si="10"/>
        <v>0</v>
      </c>
      <c r="AC21" s="255">
        <f t="shared" si="10"/>
        <v>0</v>
      </c>
      <c r="AD21" s="255">
        <f t="shared" si="10"/>
        <v>0</v>
      </c>
      <c r="AE21" s="255">
        <f t="shared" si="10"/>
        <v>2.9249999999999998</v>
      </c>
    </row>
    <row r="22" spans="2:31" ht="14.1" customHeight="1">
      <c r="B22" s="355" t="str">
        <f>IF(Indice_index!$Z$1=1,"Transferências de capital","Capital transfers")</f>
        <v>Transferências de capital</v>
      </c>
      <c r="C22" s="355"/>
      <c r="D22" s="228" t="s">
        <v>26</v>
      </c>
      <c r="E22" s="255">
        <f t="shared" ref="E22:AE22" si="11">+E23+E24</f>
        <v>0</v>
      </c>
      <c r="F22" s="255">
        <f t="shared" si="11"/>
        <v>0</v>
      </c>
      <c r="G22" s="255">
        <f t="shared" si="11"/>
        <v>3018.3403669999998</v>
      </c>
      <c r="H22" s="255">
        <f t="shared" si="11"/>
        <v>0</v>
      </c>
      <c r="I22" s="255">
        <f t="shared" si="11"/>
        <v>0</v>
      </c>
      <c r="J22" s="255">
        <f t="shared" si="11"/>
        <v>0</v>
      </c>
      <c r="K22" s="255">
        <f t="shared" si="11"/>
        <v>0</v>
      </c>
      <c r="L22" s="255">
        <f t="shared" si="11"/>
        <v>0</v>
      </c>
      <c r="M22" s="255">
        <f t="shared" si="11"/>
        <v>0</v>
      </c>
      <c r="N22" s="255">
        <f t="shared" si="11"/>
        <v>0</v>
      </c>
      <c r="O22" s="255">
        <f t="shared" si="11"/>
        <v>0</v>
      </c>
      <c r="P22" s="255">
        <f t="shared" si="11"/>
        <v>0</v>
      </c>
      <c r="Q22" s="255">
        <f t="shared" si="11"/>
        <v>3018.3403669999998</v>
      </c>
      <c r="R22" s="255">
        <f t="shared" si="11"/>
        <v>3018.3403669999998</v>
      </c>
      <c r="S22" s="255">
        <f t="shared" si="11"/>
        <v>0</v>
      </c>
      <c r="T22" s="255">
        <f t="shared" si="11"/>
        <v>0</v>
      </c>
      <c r="U22" s="255">
        <f t="shared" si="11"/>
        <v>0</v>
      </c>
      <c r="V22" s="255">
        <f t="shared" si="11"/>
        <v>0</v>
      </c>
      <c r="W22" s="255">
        <f t="shared" si="11"/>
        <v>0</v>
      </c>
      <c r="X22" s="255">
        <f t="shared" si="11"/>
        <v>0</v>
      </c>
      <c r="Y22" s="255">
        <f t="shared" si="11"/>
        <v>0</v>
      </c>
      <c r="Z22" s="255">
        <f t="shared" si="11"/>
        <v>0</v>
      </c>
      <c r="AA22" s="255">
        <f t="shared" si="11"/>
        <v>0</v>
      </c>
      <c r="AB22" s="255">
        <f t="shared" si="11"/>
        <v>0</v>
      </c>
      <c r="AC22" s="255">
        <f t="shared" si="11"/>
        <v>0</v>
      </c>
      <c r="AD22" s="255">
        <f t="shared" si="11"/>
        <v>0</v>
      </c>
      <c r="AE22" s="255">
        <f t="shared" si="11"/>
        <v>0</v>
      </c>
    </row>
    <row r="23" spans="2:31" ht="14.1" customHeight="1">
      <c r="B23" s="362" t="str">
        <f>IF(Indice_index!$Z$1=1,"Administrações Públicas","General Government subsectors")</f>
        <v>Administrações Públicas</v>
      </c>
      <c r="C23" s="362"/>
      <c r="D23" s="228" t="s">
        <v>27</v>
      </c>
      <c r="E23" s="255">
        <f t="shared" ref="E23:N25" si="12">+SUMIF($D$54:$D$80,$D23,E$54:E$80)</f>
        <v>0</v>
      </c>
      <c r="F23" s="255">
        <f t="shared" si="12"/>
        <v>0</v>
      </c>
      <c r="G23" s="255">
        <f t="shared" si="12"/>
        <v>0</v>
      </c>
      <c r="H23" s="255">
        <f t="shared" si="12"/>
        <v>0</v>
      </c>
      <c r="I23" s="255">
        <f t="shared" si="12"/>
        <v>0</v>
      </c>
      <c r="J23" s="255">
        <f t="shared" si="12"/>
        <v>0</v>
      </c>
      <c r="K23" s="255">
        <f t="shared" si="12"/>
        <v>0</v>
      </c>
      <c r="L23" s="255">
        <f t="shared" si="12"/>
        <v>0</v>
      </c>
      <c r="M23" s="255">
        <f t="shared" si="12"/>
        <v>0</v>
      </c>
      <c r="N23" s="255">
        <f t="shared" si="12"/>
        <v>0</v>
      </c>
      <c r="O23" s="255">
        <f t="shared" ref="O23:X25" si="13">+SUMIF($D$54:$D$80,$D23,O$54:O$80)</f>
        <v>0</v>
      </c>
      <c r="P23" s="255">
        <f t="shared" si="13"/>
        <v>0</v>
      </c>
      <c r="Q23" s="255">
        <f t="shared" si="13"/>
        <v>0</v>
      </c>
      <c r="R23" s="255">
        <f t="shared" si="13"/>
        <v>0</v>
      </c>
      <c r="S23" s="255">
        <f t="shared" si="13"/>
        <v>0</v>
      </c>
      <c r="T23" s="255">
        <f t="shared" si="13"/>
        <v>0</v>
      </c>
      <c r="U23" s="255">
        <f t="shared" si="13"/>
        <v>0</v>
      </c>
      <c r="V23" s="255">
        <f t="shared" si="13"/>
        <v>0</v>
      </c>
      <c r="W23" s="255">
        <f t="shared" si="13"/>
        <v>0</v>
      </c>
      <c r="X23" s="255">
        <f t="shared" si="13"/>
        <v>0</v>
      </c>
      <c r="Y23" s="255">
        <f t="shared" ref="Y23:AE25" si="14">+SUMIF($D$54:$D$80,$D23,Y$54:Y$80)</f>
        <v>0</v>
      </c>
      <c r="Z23" s="255">
        <f t="shared" si="14"/>
        <v>0</v>
      </c>
      <c r="AA23" s="255">
        <f t="shared" si="14"/>
        <v>0</v>
      </c>
      <c r="AB23" s="255">
        <f t="shared" si="14"/>
        <v>0</v>
      </c>
      <c r="AC23" s="255">
        <f t="shared" si="14"/>
        <v>0</v>
      </c>
      <c r="AD23" s="255">
        <f t="shared" si="14"/>
        <v>0</v>
      </c>
      <c r="AE23" s="255">
        <f t="shared" si="14"/>
        <v>0</v>
      </c>
    </row>
    <row r="24" spans="2:31" ht="14.1" customHeight="1">
      <c r="B24" s="362" t="str">
        <f>IF(Indice_index!$Z$1=1,"Outras","Others")</f>
        <v>Outras</v>
      </c>
      <c r="C24" s="362"/>
      <c r="D24" s="228" t="s">
        <v>28</v>
      </c>
      <c r="E24" s="255">
        <f t="shared" si="12"/>
        <v>0</v>
      </c>
      <c r="F24" s="255">
        <f t="shared" si="12"/>
        <v>0</v>
      </c>
      <c r="G24" s="255">
        <f t="shared" si="12"/>
        <v>3018.3403669999998</v>
      </c>
      <c r="H24" s="255">
        <f t="shared" si="12"/>
        <v>0</v>
      </c>
      <c r="I24" s="255">
        <f t="shared" si="12"/>
        <v>0</v>
      </c>
      <c r="J24" s="255">
        <f t="shared" si="12"/>
        <v>0</v>
      </c>
      <c r="K24" s="255">
        <f t="shared" si="12"/>
        <v>0</v>
      </c>
      <c r="L24" s="255">
        <f t="shared" si="12"/>
        <v>0</v>
      </c>
      <c r="M24" s="255">
        <f t="shared" si="12"/>
        <v>0</v>
      </c>
      <c r="N24" s="255">
        <f t="shared" si="12"/>
        <v>0</v>
      </c>
      <c r="O24" s="255">
        <f t="shared" si="13"/>
        <v>0</v>
      </c>
      <c r="P24" s="255">
        <f t="shared" si="13"/>
        <v>0</v>
      </c>
      <c r="Q24" s="255">
        <f t="shared" si="13"/>
        <v>3018.3403669999998</v>
      </c>
      <c r="R24" s="255">
        <f t="shared" si="13"/>
        <v>3018.3403669999998</v>
      </c>
      <c r="S24" s="255">
        <f t="shared" si="13"/>
        <v>0</v>
      </c>
      <c r="T24" s="255">
        <f t="shared" si="13"/>
        <v>0</v>
      </c>
      <c r="U24" s="255">
        <f t="shared" si="13"/>
        <v>0</v>
      </c>
      <c r="V24" s="255">
        <f t="shared" si="13"/>
        <v>0</v>
      </c>
      <c r="W24" s="255">
        <f t="shared" si="13"/>
        <v>0</v>
      </c>
      <c r="X24" s="255">
        <f t="shared" si="13"/>
        <v>0</v>
      </c>
      <c r="Y24" s="255">
        <f t="shared" si="14"/>
        <v>0</v>
      </c>
      <c r="Z24" s="255">
        <f t="shared" si="14"/>
        <v>0</v>
      </c>
      <c r="AA24" s="255">
        <f t="shared" si="14"/>
        <v>0</v>
      </c>
      <c r="AB24" s="255">
        <f t="shared" si="14"/>
        <v>0</v>
      </c>
      <c r="AC24" s="255">
        <f t="shared" si="14"/>
        <v>0</v>
      </c>
      <c r="AD24" s="255">
        <f t="shared" si="14"/>
        <v>0</v>
      </c>
      <c r="AE24" s="255">
        <f t="shared" si="14"/>
        <v>0</v>
      </c>
    </row>
    <row r="25" spans="2:31" ht="14.1" customHeight="1">
      <c r="B25" s="355" t="str">
        <f>IF(Indice_index!$Z$1=1,"Outras receitas de capital","Other capital revenue")</f>
        <v>Outras receitas de capital</v>
      </c>
      <c r="C25" s="355"/>
      <c r="D25" s="228" t="s">
        <v>29</v>
      </c>
      <c r="E25" s="255">
        <f t="shared" si="12"/>
        <v>0</v>
      </c>
      <c r="F25" s="255">
        <f t="shared" si="12"/>
        <v>0</v>
      </c>
      <c r="G25" s="255">
        <f t="shared" si="12"/>
        <v>0</v>
      </c>
      <c r="H25" s="255">
        <f t="shared" si="12"/>
        <v>0</v>
      </c>
      <c r="I25" s="255">
        <f t="shared" si="12"/>
        <v>0</v>
      </c>
      <c r="J25" s="255">
        <f t="shared" si="12"/>
        <v>0</v>
      </c>
      <c r="K25" s="255">
        <f t="shared" si="12"/>
        <v>0</v>
      </c>
      <c r="L25" s="255">
        <f t="shared" si="12"/>
        <v>0</v>
      </c>
      <c r="M25" s="255">
        <f t="shared" si="12"/>
        <v>0</v>
      </c>
      <c r="N25" s="255">
        <f t="shared" si="12"/>
        <v>0</v>
      </c>
      <c r="O25" s="255">
        <f t="shared" si="13"/>
        <v>0</v>
      </c>
      <c r="P25" s="255">
        <f t="shared" si="13"/>
        <v>0</v>
      </c>
      <c r="Q25" s="255">
        <f t="shared" si="13"/>
        <v>0</v>
      </c>
      <c r="R25" s="255">
        <f t="shared" si="13"/>
        <v>0</v>
      </c>
      <c r="S25" s="255">
        <f t="shared" si="13"/>
        <v>0</v>
      </c>
      <c r="T25" s="255">
        <f t="shared" si="13"/>
        <v>0</v>
      </c>
      <c r="U25" s="255">
        <f t="shared" si="13"/>
        <v>0</v>
      </c>
      <c r="V25" s="255">
        <f t="shared" si="13"/>
        <v>0</v>
      </c>
      <c r="W25" s="255">
        <f t="shared" si="13"/>
        <v>0</v>
      </c>
      <c r="X25" s="255">
        <f t="shared" si="13"/>
        <v>0</v>
      </c>
      <c r="Y25" s="255">
        <f t="shared" si="14"/>
        <v>0</v>
      </c>
      <c r="Z25" s="255">
        <f t="shared" si="14"/>
        <v>0</v>
      </c>
      <c r="AA25" s="255">
        <f t="shared" si="14"/>
        <v>0</v>
      </c>
      <c r="AB25" s="255">
        <f t="shared" si="14"/>
        <v>0</v>
      </c>
      <c r="AC25" s="255">
        <f t="shared" si="14"/>
        <v>0</v>
      </c>
      <c r="AD25" s="255">
        <f t="shared" si="14"/>
        <v>0</v>
      </c>
      <c r="AE25" s="255">
        <f t="shared" si="14"/>
        <v>0</v>
      </c>
    </row>
    <row r="26" spans="2:31" ht="14.1" customHeight="1">
      <c r="B26" s="439" t="str">
        <f>IF(Indice_index!$Z$1=1,"Receita efetiva","Effective revenue")</f>
        <v>Receita efetiva</v>
      </c>
      <c r="C26" s="440"/>
      <c r="D26" s="118"/>
      <c r="E26" s="119">
        <f t="shared" ref="E26:AE26" si="15">+E12+E20</f>
        <v>132.50199308999998</v>
      </c>
      <c r="F26" s="119">
        <f t="shared" si="15"/>
        <v>55.526556409999998</v>
      </c>
      <c r="G26" s="119">
        <f t="shared" si="15"/>
        <v>3149.1512630099996</v>
      </c>
      <c r="H26" s="119">
        <f t="shared" si="15"/>
        <v>69.023631249999994</v>
      </c>
      <c r="I26" s="119">
        <f t="shared" si="15"/>
        <v>224.67150404</v>
      </c>
      <c r="J26" s="119">
        <f t="shared" si="15"/>
        <v>19.685498679999998</v>
      </c>
      <c r="K26" s="119">
        <f t="shared" si="15"/>
        <v>25.496028339999999</v>
      </c>
      <c r="L26" s="119">
        <f t="shared" si="15"/>
        <v>17.464285689999997</v>
      </c>
      <c r="M26" s="119">
        <f t="shared" si="15"/>
        <v>244.99650693000001</v>
      </c>
      <c r="N26" s="119">
        <f t="shared" si="15"/>
        <v>695.03139826999995</v>
      </c>
      <c r="O26" s="119">
        <f t="shared" si="15"/>
        <v>855.63165117000005</v>
      </c>
      <c r="P26" s="119">
        <f t="shared" si="15"/>
        <v>20.697522369999998</v>
      </c>
      <c r="Q26" s="119">
        <f t="shared" si="15"/>
        <v>3938.5172674399996</v>
      </c>
      <c r="R26" s="119">
        <f t="shared" si="15"/>
        <v>5509.8778392499999</v>
      </c>
      <c r="S26" s="119">
        <f t="shared" si="15"/>
        <v>158.26451408000003</v>
      </c>
      <c r="T26" s="119">
        <f t="shared" si="15"/>
        <v>109.42916728</v>
      </c>
      <c r="U26" s="119">
        <f t="shared" si="15"/>
        <v>185.32353294000001</v>
      </c>
      <c r="V26" s="119">
        <f t="shared" si="15"/>
        <v>118.84645231000002</v>
      </c>
      <c r="W26" s="119">
        <f t="shared" si="15"/>
        <v>76.866250930000007</v>
      </c>
      <c r="X26" s="119">
        <f t="shared" si="15"/>
        <v>481.00187798000002</v>
      </c>
      <c r="Y26" s="119">
        <f t="shared" si="15"/>
        <v>226.10185238999998</v>
      </c>
      <c r="Z26" s="119">
        <f t="shared" si="15"/>
        <v>262.55152722999998</v>
      </c>
      <c r="AA26" s="119">
        <f t="shared" si="15"/>
        <v>16.751679439999997</v>
      </c>
      <c r="AB26" s="119">
        <f t="shared" si="15"/>
        <v>0</v>
      </c>
      <c r="AC26" s="119">
        <f t="shared" si="15"/>
        <v>0</v>
      </c>
      <c r="AD26" s="119">
        <f t="shared" si="15"/>
        <v>0</v>
      </c>
      <c r="AE26" s="119">
        <f t="shared" si="15"/>
        <v>1635.1368545799999</v>
      </c>
    </row>
    <row r="27" spans="2:31" ht="14.1" customHeight="1">
      <c r="B27" s="360" t="str">
        <f>IF(Indice_index!$Z$1=1,"Despesa corrente","Current expenditure")</f>
        <v>Despesa corrente</v>
      </c>
      <c r="C27" s="360"/>
      <c r="D27" s="229"/>
      <c r="E27" s="254">
        <f t="shared" ref="E27:Q27" si="16">+E28+E29+E30+E31+E34+E35</f>
        <v>16.357583999999999</v>
      </c>
      <c r="F27" s="254">
        <f t="shared" si="16"/>
        <v>4.16</v>
      </c>
      <c r="G27" s="254">
        <f t="shared" si="16"/>
        <v>0</v>
      </c>
      <c r="H27" s="254">
        <f t="shared" si="16"/>
        <v>16.357583999999999</v>
      </c>
      <c r="I27" s="254">
        <f t="shared" si="16"/>
        <v>0</v>
      </c>
      <c r="J27" s="254">
        <f t="shared" si="16"/>
        <v>150.13425899999999</v>
      </c>
      <c r="K27" s="254">
        <f t="shared" si="16"/>
        <v>16.357584000000003</v>
      </c>
      <c r="L27" s="254">
        <f t="shared" si="16"/>
        <v>0</v>
      </c>
      <c r="M27" s="254">
        <f t="shared" si="16"/>
        <v>0</v>
      </c>
      <c r="N27" s="254">
        <f t="shared" si="16"/>
        <v>16.363766000000005</v>
      </c>
      <c r="O27" s="254">
        <f t="shared" si="16"/>
        <v>0</v>
      </c>
      <c r="P27" s="254">
        <f t="shared" si="16"/>
        <v>1398.1724756000001</v>
      </c>
      <c r="Q27" s="254">
        <f t="shared" si="16"/>
        <v>203.36701099999999</v>
      </c>
      <c r="R27" s="254">
        <f>SUM(E27:P27)</f>
        <v>1617.9032526000001</v>
      </c>
      <c r="S27" s="254">
        <f t="shared" ref="S27:AD27" si="17">+S28+S29+S30+S31+S34+S35</f>
        <v>191.79408907000001</v>
      </c>
      <c r="T27" s="254">
        <f t="shared" si="17"/>
        <v>9.3333879999999994</v>
      </c>
      <c r="U27" s="254">
        <f t="shared" si="17"/>
        <v>281.84011700000002</v>
      </c>
      <c r="V27" s="254">
        <f t="shared" si="17"/>
        <v>9.3333879999999994</v>
      </c>
      <c r="W27" s="254">
        <f t="shared" si="17"/>
        <v>9.3333879999999994</v>
      </c>
      <c r="X27" s="254">
        <f t="shared" si="17"/>
        <v>9.3333879999999994</v>
      </c>
      <c r="Y27" s="254">
        <f t="shared" si="17"/>
        <v>-35.541612000000001</v>
      </c>
      <c r="Z27" s="254">
        <f t="shared" si="17"/>
        <v>9.3333879999999994</v>
      </c>
      <c r="AA27" s="254">
        <f t="shared" si="17"/>
        <v>9.3333879999999994</v>
      </c>
      <c r="AB27" s="254">
        <f t="shared" si="17"/>
        <v>0</v>
      </c>
      <c r="AC27" s="254">
        <f t="shared" si="17"/>
        <v>0</v>
      </c>
      <c r="AD27" s="254">
        <f t="shared" si="17"/>
        <v>0</v>
      </c>
      <c r="AE27" s="254">
        <f>SUM(S27:AD27)</f>
        <v>494.0929220700001</v>
      </c>
    </row>
    <row r="28" spans="2:31" ht="14.1" customHeight="1">
      <c r="B28" s="355" t="str">
        <f>IF(Indice_index!$Z$1=1,"Despesas com o pessoal","Employees")</f>
        <v>Despesas com o pessoal</v>
      </c>
      <c r="C28" s="355"/>
      <c r="D28" s="228" t="s">
        <v>30</v>
      </c>
      <c r="E28" s="255">
        <f t="shared" ref="E28:N30" si="18">+SUMIF($D$54:$D$80,$D28,E$54:E$80)</f>
        <v>0</v>
      </c>
      <c r="F28" s="255">
        <f t="shared" si="18"/>
        <v>0</v>
      </c>
      <c r="G28" s="255">
        <f t="shared" si="18"/>
        <v>0</v>
      </c>
      <c r="H28" s="255">
        <f t="shared" si="18"/>
        <v>0</v>
      </c>
      <c r="I28" s="255">
        <f t="shared" si="18"/>
        <v>0</v>
      </c>
      <c r="J28" s="255">
        <f t="shared" si="18"/>
        <v>0</v>
      </c>
      <c r="K28" s="255">
        <f t="shared" si="18"/>
        <v>0</v>
      </c>
      <c r="L28" s="255">
        <f t="shared" si="18"/>
        <v>0</v>
      </c>
      <c r="M28" s="255">
        <f t="shared" si="18"/>
        <v>0</v>
      </c>
      <c r="N28" s="255">
        <f t="shared" si="18"/>
        <v>0</v>
      </c>
      <c r="O28" s="255">
        <f t="shared" ref="O28:X30" si="19">+SUMIF($D$54:$D$80,$D28,O$54:O$80)</f>
        <v>0</v>
      </c>
      <c r="P28" s="255">
        <f t="shared" si="19"/>
        <v>0</v>
      </c>
      <c r="Q28" s="255">
        <f t="shared" si="19"/>
        <v>0</v>
      </c>
      <c r="R28" s="255">
        <f t="shared" si="19"/>
        <v>0</v>
      </c>
      <c r="S28" s="255">
        <f t="shared" si="19"/>
        <v>17.26070107</v>
      </c>
      <c r="T28" s="255">
        <f t="shared" si="19"/>
        <v>0</v>
      </c>
      <c r="U28" s="255">
        <f t="shared" si="19"/>
        <v>0</v>
      </c>
      <c r="V28" s="255">
        <f t="shared" si="19"/>
        <v>0</v>
      </c>
      <c r="W28" s="255">
        <f t="shared" si="19"/>
        <v>0</v>
      </c>
      <c r="X28" s="255">
        <f t="shared" si="19"/>
        <v>0</v>
      </c>
      <c r="Y28" s="255">
        <f t="shared" ref="Y28:AE30" si="20">+SUMIF($D$54:$D$80,$D28,Y$54:Y$80)</f>
        <v>0</v>
      </c>
      <c r="Z28" s="255">
        <f t="shared" si="20"/>
        <v>0</v>
      </c>
      <c r="AA28" s="255">
        <f t="shared" si="20"/>
        <v>0</v>
      </c>
      <c r="AB28" s="255">
        <f t="shared" si="20"/>
        <v>0</v>
      </c>
      <c r="AC28" s="255">
        <f t="shared" si="20"/>
        <v>0</v>
      </c>
      <c r="AD28" s="255">
        <f t="shared" si="20"/>
        <v>0</v>
      </c>
      <c r="AE28" s="255">
        <f t="shared" si="20"/>
        <v>17.26070107</v>
      </c>
    </row>
    <row r="29" spans="2:31" ht="14.1" customHeight="1">
      <c r="B29" s="355" t="str">
        <f>IF(Indice_index!$Z$1=1,"Aquisição de bens e serviços","Purchase of goods and services")</f>
        <v>Aquisição de bens e serviços</v>
      </c>
      <c r="C29" s="355"/>
      <c r="D29" s="228" t="s">
        <v>31</v>
      </c>
      <c r="E29" s="255">
        <f t="shared" si="18"/>
        <v>0</v>
      </c>
      <c r="F29" s="255">
        <f t="shared" si="18"/>
        <v>0</v>
      </c>
      <c r="G29" s="255">
        <f t="shared" si="18"/>
        <v>0</v>
      </c>
      <c r="H29" s="255">
        <f t="shared" si="18"/>
        <v>0</v>
      </c>
      <c r="I29" s="255">
        <f t="shared" si="18"/>
        <v>0</v>
      </c>
      <c r="J29" s="255">
        <f t="shared" si="18"/>
        <v>0</v>
      </c>
      <c r="K29" s="255">
        <f t="shared" si="18"/>
        <v>0</v>
      </c>
      <c r="L29" s="255">
        <f t="shared" si="18"/>
        <v>0</v>
      </c>
      <c r="M29" s="255">
        <f t="shared" si="18"/>
        <v>0</v>
      </c>
      <c r="N29" s="255">
        <f t="shared" si="18"/>
        <v>0</v>
      </c>
      <c r="O29" s="255">
        <f t="shared" si="19"/>
        <v>0</v>
      </c>
      <c r="P29" s="255">
        <f t="shared" si="19"/>
        <v>1045.95859236</v>
      </c>
      <c r="Q29" s="255">
        <f t="shared" si="19"/>
        <v>0</v>
      </c>
      <c r="R29" s="255">
        <f t="shared" si="19"/>
        <v>1045.95859236</v>
      </c>
      <c r="S29" s="255">
        <f t="shared" si="19"/>
        <v>0</v>
      </c>
      <c r="T29" s="255">
        <f t="shared" si="19"/>
        <v>0</v>
      </c>
      <c r="U29" s="255">
        <f t="shared" si="19"/>
        <v>0</v>
      </c>
      <c r="V29" s="255">
        <f t="shared" si="19"/>
        <v>0</v>
      </c>
      <c r="W29" s="255">
        <f t="shared" si="19"/>
        <v>0</v>
      </c>
      <c r="X29" s="255">
        <f t="shared" si="19"/>
        <v>0</v>
      </c>
      <c r="Y29" s="255">
        <f t="shared" si="20"/>
        <v>0</v>
      </c>
      <c r="Z29" s="255">
        <f t="shared" si="20"/>
        <v>0</v>
      </c>
      <c r="AA29" s="255">
        <f t="shared" si="20"/>
        <v>0</v>
      </c>
      <c r="AB29" s="255">
        <f t="shared" si="20"/>
        <v>0</v>
      </c>
      <c r="AC29" s="255">
        <f t="shared" si="20"/>
        <v>0</v>
      </c>
      <c r="AD29" s="255">
        <f t="shared" si="20"/>
        <v>0</v>
      </c>
      <c r="AE29" s="255">
        <f t="shared" si="20"/>
        <v>0</v>
      </c>
    </row>
    <row r="30" spans="2:31" ht="14.1" customHeight="1">
      <c r="B30" s="355" t="str">
        <f>IF(Indice_index!$Z$1=1,"Juros e outros encargos","Interests and other charges")</f>
        <v>Juros e outros encargos</v>
      </c>
      <c r="C30" s="355"/>
      <c r="D30" s="228" t="s">
        <v>32</v>
      </c>
      <c r="E30" s="255">
        <f t="shared" si="18"/>
        <v>0</v>
      </c>
      <c r="F30" s="255">
        <f t="shared" si="18"/>
        <v>0</v>
      </c>
      <c r="G30" s="255">
        <f t="shared" si="18"/>
        <v>0</v>
      </c>
      <c r="H30" s="255">
        <f t="shared" si="18"/>
        <v>0</v>
      </c>
      <c r="I30" s="255">
        <f t="shared" si="18"/>
        <v>0</v>
      </c>
      <c r="J30" s="255">
        <f t="shared" si="18"/>
        <v>0</v>
      </c>
      <c r="K30" s="255">
        <f t="shared" si="18"/>
        <v>0</v>
      </c>
      <c r="L30" s="255">
        <f t="shared" si="18"/>
        <v>0</v>
      </c>
      <c r="M30" s="255">
        <f t="shared" si="18"/>
        <v>0</v>
      </c>
      <c r="N30" s="255">
        <f t="shared" si="18"/>
        <v>0</v>
      </c>
      <c r="O30" s="255">
        <f t="shared" si="19"/>
        <v>0</v>
      </c>
      <c r="P30" s="255">
        <f t="shared" si="19"/>
        <v>0</v>
      </c>
      <c r="Q30" s="255">
        <f t="shared" si="19"/>
        <v>0</v>
      </c>
      <c r="R30" s="255">
        <f t="shared" si="19"/>
        <v>0</v>
      </c>
      <c r="S30" s="255">
        <f t="shared" si="19"/>
        <v>0</v>
      </c>
      <c r="T30" s="255">
        <f t="shared" si="19"/>
        <v>0</v>
      </c>
      <c r="U30" s="255">
        <f t="shared" si="19"/>
        <v>0</v>
      </c>
      <c r="V30" s="255">
        <f t="shared" si="19"/>
        <v>0</v>
      </c>
      <c r="W30" s="255">
        <f t="shared" si="19"/>
        <v>0</v>
      </c>
      <c r="X30" s="255">
        <f t="shared" si="19"/>
        <v>0</v>
      </c>
      <c r="Y30" s="255">
        <f t="shared" si="20"/>
        <v>0</v>
      </c>
      <c r="Z30" s="255">
        <f t="shared" si="20"/>
        <v>0</v>
      </c>
      <c r="AA30" s="255">
        <f t="shared" si="20"/>
        <v>0</v>
      </c>
      <c r="AB30" s="255">
        <f t="shared" si="20"/>
        <v>0</v>
      </c>
      <c r="AC30" s="255">
        <f t="shared" si="20"/>
        <v>0</v>
      </c>
      <c r="AD30" s="255">
        <f t="shared" si="20"/>
        <v>0</v>
      </c>
      <c r="AE30" s="255">
        <f t="shared" si="20"/>
        <v>0</v>
      </c>
    </row>
    <row r="31" spans="2:31" ht="14.1" customHeight="1">
      <c r="B31" s="355" t="str">
        <f>IF(Indice_index!$Z$1=1,"Transferências correntes","Current transfers")</f>
        <v>Transferências correntes</v>
      </c>
      <c r="C31" s="355"/>
      <c r="D31" s="228" t="s">
        <v>33</v>
      </c>
      <c r="E31" s="255">
        <f t="shared" ref="E31:AE31" si="21">+E32+E33</f>
        <v>16.357583999999999</v>
      </c>
      <c r="F31" s="255">
        <f t="shared" si="21"/>
        <v>4.16</v>
      </c>
      <c r="G31" s="255">
        <f t="shared" si="21"/>
        <v>0</v>
      </c>
      <c r="H31" s="255">
        <f t="shared" si="21"/>
        <v>16.357583999999999</v>
      </c>
      <c r="I31" s="255">
        <f t="shared" si="21"/>
        <v>0</v>
      </c>
      <c r="J31" s="255">
        <f t="shared" si="21"/>
        <v>150.13425899999999</v>
      </c>
      <c r="K31" s="255">
        <f t="shared" si="21"/>
        <v>16.357584000000003</v>
      </c>
      <c r="L31" s="255">
        <f t="shared" si="21"/>
        <v>0</v>
      </c>
      <c r="M31" s="255">
        <f t="shared" si="21"/>
        <v>0</v>
      </c>
      <c r="N31" s="255">
        <f t="shared" si="21"/>
        <v>16.363766000000005</v>
      </c>
      <c r="O31" s="255">
        <f t="shared" si="21"/>
        <v>0</v>
      </c>
      <c r="P31" s="255">
        <f t="shared" si="21"/>
        <v>352.21388324000003</v>
      </c>
      <c r="Q31" s="255">
        <f t="shared" si="21"/>
        <v>203.36701099999999</v>
      </c>
      <c r="R31" s="255">
        <f t="shared" si="21"/>
        <v>571.94466024000008</v>
      </c>
      <c r="S31" s="255">
        <f t="shared" si="21"/>
        <v>174.533388</v>
      </c>
      <c r="T31" s="255">
        <f t="shared" si="21"/>
        <v>9.3333879999999994</v>
      </c>
      <c r="U31" s="255">
        <f t="shared" si="21"/>
        <v>236.96511700000002</v>
      </c>
      <c r="V31" s="255">
        <f t="shared" si="21"/>
        <v>9.3333879999999994</v>
      </c>
      <c r="W31" s="255">
        <f t="shared" si="21"/>
        <v>9.3333879999999994</v>
      </c>
      <c r="X31" s="255">
        <f t="shared" si="21"/>
        <v>9.3333879999999994</v>
      </c>
      <c r="Y31" s="255">
        <f t="shared" si="21"/>
        <v>9.3333879999999994</v>
      </c>
      <c r="Z31" s="255">
        <f t="shared" si="21"/>
        <v>9.3333879999999994</v>
      </c>
      <c r="AA31" s="255">
        <f t="shared" si="21"/>
        <v>9.3333879999999994</v>
      </c>
      <c r="AB31" s="255">
        <f t="shared" si="21"/>
        <v>0</v>
      </c>
      <c r="AC31" s="255">
        <f t="shared" si="21"/>
        <v>0</v>
      </c>
      <c r="AD31" s="255">
        <f t="shared" si="21"/>
        <v>0</v>
      </c>
      <c r="AE31" s="255">
        <f t="shared" si="21"/>
        <v>476.832221</v>
      </c>
    </row>
    <row r="32" spans="2:31" ht="14.1" customHeight="1">
      <c r="B32" s="230" t="str">
        <f>IF(Indice_index!$Z$1=1,"Administrações Públicas","General Government subsectors")</f>
        <v>Administrações Públicas</v>
      </c>
      <c r="C32" s="33"/>
      <c r="D32" s="228" t="s">
        <v>34</v>
      </c>
      <c r="E32" s="255">
        <f t="shared" ref="E32:N35" si="22">+SUMIF($D$54:$D$80,$D32,E$54:E$80)</f>
        <v>16.357583999999999</v>
      </c>
      <c r="F32" s="255">
        <f t="shared" si="22"/>
        <v>0</v>
      </c>
      <c r="G32" s="255">
        <f t="shared" si="22"/>
        <v>0</v>
      </c>
      <c r="H32" s="255">
        <f t="shared" si="22"/>
        <v>16.357583999999999</v>
      </c>
      <c r="I32" s="255">
        <f t="shared" si="22"/>
        <v>0</v>
      </c>
      <c r="J32" s="255">
        <f t="shared" si="22"/>
        <v>0</v>
      </c>
      <c r="K32" s="255">
        <f t="shared" si="22"/>
        <v>16.357584000000003</v>
      </c>
      <c r="L32" s="255">
        <f t="shared" si="22"/>
        <v>0</v>
      </c>
      <c r="M32" s="255">
        <f t="shared" si="22"/>
        <v>0</v>
      </c>
      <c r="N32" s="255">
        <f t="shared" si="22"/>
        <v>16.363766000000005</v>
      </c>
      <c r="O32" s="255">
        <f t="shared" ref="O32:X35" si="23">+SUMIF($D$54:$D$80,$D32,O$54:O$80)</f>
        <v>0</v>
      </c>
      <c r="P32" s="255">
        <f t="shared" si="23"/>
        <v>0</v>
      </c>
      <c r="Q32" s="255">
        <f t="shared" si="23"/>
        <v>49.072752000000001</v>
      </c>
      <c r="R32" s="255">
        <f t="shared" si="23"/>
        <v>65.436518000000007</v>
      </c>
      <c r="S32" s="255">
        <f t="shared" si="23"/>
        <v>9.3333879999999994</v>
      </c>
      <c r="T32" s="255">
        <f t="shared" si="23"/>
        <v>9.3333879999999994</v>
      </c>
      <c r="U32" s="255">
        <f t="shared" si="23"/>
        <v>9.3333879999999994</v>
      </c>
      <c r="V32" s="255">
        <f t="shared" si="23"/>
        <v>9.3333879999999994</v>
      </c>
      <c r="W32" s="255">
        <f t="shared" si="23"/>
        <v>9.3333879999999994</v>
      </c>
      <c r="X32" s="255">
        <f t="shared" si="23"/>
        <v>9.3333879999999994</v>
      </c>
      <c r="Y32" s="255">
        <f t="shared" ref="Y32:AE35" si="24">+SUMIF($D$54:$D$80,$D32,Y$54:Y$80)</f>
        <v>9.3333879999999994</v>
      </c>
      <c r="Z32" s="255">
        <f t="shared" si="24"/>
        <v>9.3333879999999994</v>
      </c>
      <c r="AA32" s="255">
        <f t="shared" si="24"/>
        <v>9.3333879999999994</v>
      </c>
      <c r="AB32" s="255">
        <f t="shared" si="24"/>
        <v>0</v>
      </c>
      <c r="AC32" s="255">
        <f t="shared" si="24"/>
        <v>0</v>
      </c>
      <c r="AD32" s="255">
        <f t="shared" si="24"/>
        <v>0</v>
      </c>
      <c r="AE32" s="255">
        <f t="shared" si="24"/>
        <v>84.000491999999994</v>
      </c>
    </row>
    <row r="33" spans="2:31" ht="14.1" customHeight="1">
      <c r="B33" s="362" t="str">
        <f>IF(Indice_index!$Z$1=1,"Outras","Others")</f>
        <v>Outras</v>
      </c>
      <c r="C33" s="362"/>
      <c r="D33" s="228" t="s">
        <v>35</v>
      </c>
      <c r="E33" s="255">
        <f t="shared" si="22"/>
        <v>0</v>
      </c>
      <c r="F33" s="255">
        <f t="shared" si="22"/>
        <v>4.16</v>
      </c>
      <c r="G33" s="255">
        <f t="shared" si="22"/>
        <v>0</v>
      </c>
      <c r="H33" s="255">
        <f t="shared" si="22"/>
        <v>0</v>
      </c>
      <c r="I33" s="255">
        <f t="shared" si="22"/>
        <v>0</v>
      </c>
      <c r="J33" s="255">
        <f t="shared" si="22"/>
        <v>150.13425899999999</v>
      </c>
      <c r="K33" s="255">
        <f t="shared" si="22"/>
        <v>0</v>
      </c>
      <c r="L33" s="255">
        <f t="shared" si="22"/>
        <v>0</v>
      </c>
      <c r="M33" s="255">
        <f t="shared" si="22"/>
        <v>0</v>
      </c>
      <c r="N33" s="255">
        <f t="shared" si="22"/>
        <v>0</v>
      </c>
      <c r="O33" s="255">
        <f t="shared" si="23"/>
        <v>0</v>
      </c>
      <c r="P33" s="255">
        <f t="shared" si="23"/>
        <v>352.21388324000003</v>
      </c>
      <c r="Q33" s="255">
        <f t="shared" si="23"/>
        <v>154.29425899999998</v>
      </c>
      <c r="R33" s="255">
        <f t="shared" si="23"/>
        <v>506.50814224000004</v>
      </c>
      <c r="S33" s="255">
        <f t="shared" si="23"/>
        <v>165.2</v>
      </c>
      <c r="T33" s="255">
        <f t="shared" si="23"/>
        <v>0</v>
      </c>
      <c r="U33" s="255">
        <f t="shared" si="23"/>
        <v>227.63172900000001</v>
      </c>
      <c r="V33" s="255">
        <f t="shared" si="23"/>
        <v>0</v>
      </c>
      <c r="W33" s="255">
        <f t="shared" si="23"/>
        <v>0</v>
      </c>
      <c r="X33" s="255">
        <f t="shared" si="23"/>
        <v>0</v>
      </c>
      <c r="Y33" s="255">
        <f t="shared" si="24"/>
        <v>0</v>
      </c>
      <c r="Z33" s="255">
        <f t="shared" si="24"/>
        <v>0</v>
      </c>
      <c r="AA33" s="255">
        <f t="shared" si="24"/>
        <v>0</v>
      </c>
      <c r="AB33" s="255">
        <f t="shared" si="24"/>
        <v>0</v>
      </c>
      <c r="AC33" s="255">
        <f t="shared" si="24"/>
        <v>0</v>
      </c>
      <c r="AD33" s="255">
        <f t="shared" si="24"/>
        <v>0</v>
      </c>
      <c r="AE33" s="255">
        <f t="shared" si="24"/>
        <v>392.831729</v>
      </c>
    </row>
    <row r="34" spans="2:31" ht="14.1" customHeight="1">
      <c r="B34" s="362" t="str">
        <f>IF(Indice_index!$Z$1=1,"Subsídios","Subsidies")</f>
        <v>Subsídios</v>
      </c>
      <c r="C34" s="362"/>
      <c r="D34" s="228" t="s">
        <v>36</v>
      </c>
      <c r="E34" s="255">
        <f t="shared" si="22"/>
        <v>0</v>
      </c>
      <c r="F34" s="255">
        <f t="shared" si="22"/>
        <v>0</v>
      </c>
      <c r="G34" s="255">
        <f t="shared" si="22"/>
        <v>0</v>
      </c>
      <c r="H34" s="255">
        <f t="shared" si="22"/>
        <v>0</v>
      </c>
      <c r="I34" s="255">
        <f t="shared" si="22"/>
        <v>0</v>
      </c>
      <c r="J34" s="255">
        <f t="shared" si="22"/>
        <v>0</v>
      </c>
      <c r="K34" s="255">
        <f t="shared" si="22"/>
        <v>0</v>
      </c>
      <c r="L34" s="255">
        <f t="shared" si="22"/>
        <v>0</v>
      </c>
      <c r="M34" s="255">
        <f t="shared" si="22"/>
        <v>0</v>
      </c>
      <c r="N34" s="255">
        <f t="shared" si="22"/>
        <v>0</v>
      </c>
      <c r="O34" s="255">
        <f t="shared" si="23"/>
        <v>0</v>
      </c>
      <c r="P34" s="255">
        <f t="shared" si="23"/>
        <v>0</v>
      </c>
      <c r="Q34" s="255">
        <f t="shared" si="23"/>
        <v>0</v>
      </c>
      <c r="R34" s="255">
        <f t="shared" si="23"/>
        <v>0</v>
      </c>
      <c r="S34" s="255">
        <f t="shared" si="23"/>
        <v>0</v>
      </c>
      <c r="T34" s="255">
        <f t="shared" si="23"/>
        <v>0</v>
      </c>
      <c r="U34" s="255">
        <f t="shared" si="23"/>
        <v>44.875</v>
      </c>
      <c r="V34" s="255">
        <f t="shared" si="23"/>
        <v>0</v>
      </c>
      <c r="W34" s="255">
        <f t="shared" si="23"/>
        <v>0</v>
      </c>
      <c r="X34" s="255">
        <f t="shared" si="23"/>
        <v>0</v>
      </c>
      <c r="Y34" s="255">
        <f t="shared" si="24"/>
        <v>-44.875</v>
      </c>
      <c r="Z34" s="255">
        <f t="shared" si="24"/>
        <v>0</v>
      </c>
      <c r="AA34" s="255">
        <f t="shared" si="24"/>
        <v>0</v>
      </c>
      <c r="AB34" s="255">
        <f t="shared" si="24"/>
        <v>0</v>
      </c>
      <c r="AC34" s="255">
        <f t="shared" si="24"/>
        <v>0</v>
      </c>
      <c r="AD34" s="255">
        <f t="shared" si="24"/>
        <v>0</v>
      </c>
      <c r="AE34" s="255">
        <f t="shared" si="24"/>
        <v>0</v>
      </c>
    </row>
    <row r="35" spans="2:31" ht="14.1" customHeight="1">
      <c r="B35" s="355" t="str">
        <f>IF(Indice_index!$Z$1=1,"Outras despesas correntes","Other current expenditure")</f>
        <v>Outras despesas correntes</v>
      </c>
      <c r="C35" s="355"/>
      <c r="D35" s="228" t="s">
        <v>37</v>
      </c>
      <c r="E35" s="255">
        <f t="shared" si="22"/>
        <v>0</v>
      </c>
      <c r="F35" s="255">
        <f t="shared" si="22"/>
        <v>0</v>
      </c>
      <c r="G35" s="255">
        <f t="shared" si="22"/>
        <v>0</v>
      </c>
      <c r="H35" s="255">
        <f t="shared" si="22"/>
        <v>0</v>
      </c>
      <c r="I35" s="255">
        <f t="shared" si="22"/>
        <v>0</v>
      </c>
      <c r="J35" s="255">
        <f t="shared" si="22"/>
        <v>0</v>
      </c>
      <c r="K35" s="255">
        <f t="shared" si="22"/>
        <v>0</v>
      </c>
      <c r="L35" s="255">
        <f t="shared" si="22"/>
        <v>0</v>
      </c>
      <c r="M35" s="255">
        <f t="shared" si="22"/>
        <v>0</v>
      </c>
      <c r="N35" s="255">
        <f t="shared" si="22"/>
        <v>0</v>
      </c>
      <c r="O35" s="255">
        <f t="shared" si="23"/>
        <v>0</v>
      </c>
      <c r="P35" s="255">
        <f t="shared" si="23"/>
        <v>0</v>
      </c>
      <c r="Q35" s="255">
        <f t="shared" si="23"/>
        <v>0</v>
      </c>
      <c r="R35" s="255">
        <f t="shared" si="23"/>
        <v>0</v>
      </c>
      <c r="S35" s="255">
        <f t="shared" si="23"/>
        <v>0</v>
      </c>
      <c r="T35" s="255">
        <f t="shared" si="23"/>
        <v>0</v>
      </c>
      <c r="U35" s="255">
        <f t="shared" si="23"/>
        <v>0</v>
      </c>
      <c r="V35" s="255">
        <f t="shared" si="23"/>
        <v>0</v>
      </c>
      <c r="W35" s="255">
        <f t="shared" si="23"/>
        <v>0</v>
      </c>
      <c r="X35" s="255">
        <f t="shared" si="23"/>
        <v>0</v>
      </c>
      <c r="Y35" s="255">
        <f t="shared" si="24"/>
        <v>0</v>
      </c>
      <c r="Z35" s="255">
        <f t="shared" si="24"/>
        <v>0</v>
      </c>
      <c r="AA35" s="255">
        <f t="shared" si="24"/>
        <v>0</v>
      </c>
      <c r="AB35" s="255">
        <f t="shared" si="24"/>
        <v>0</v>
      </c>
      <c r="AC35" s="255">
        <f t="shared" si="24"/>
        <v>0</v>
      </c>
      <c r="AD35" s="255">
        <f t="shared" si="24"/>
        <v>0</v>
      </c>
      <c r="AE35" s="255">
        <f t="shared" si="24"/>
        <v>0</v>
      </c>
    </row>
    <row r="36" spans="2:31" ht="14.1" customHeight="1">
      <c r="B36" s="360" t="str">
        <f>IF(Indice_index!$Z$1=1,"Despesa de capital","Capital expenditure")</f>
        <v>Despesa de capital</v>
      </c>
      <c r="C36" s="360"/>
      <c r="D36" s="229"/>
      <c r="E36" s="254">
        <f t="shared" ref="E36:Q36" si="25">+E37+E38+E41</f>
        <v>15.699769</v>
      </c>
      <c r="F36" s="254">
        <f t="shared" si="25"/>
        <v>17.23389032</v>
      </c>
      <c r="G36" s="254">
        <f t="shared" si="25"/>
        <v>18.806271639999999</v>
      </c>
      <c r="H36" s="254">
        <f t="shared" si="25"/>
        <v>17.253020320000005</v>
      </c>
      <c r="I36" s="254">
        <f t="shared" si="25"/>
        <v>18.806271639999995</v>
      </c>
      <c r="J36" s="254">
        <f t="shared" si="25"/>
        <v>15.699769000000003</v>
      </c>
      <c r="K36" s="254">
        <f t="shared" si="25"/>
        <v>17.249769000000004</v>
      </c>
      <c r="L36" s="254">
        <f t="shared" si="25"/>
        <v>17.249769000000004</v>
      </c>
      <c r="M36" s="254">
        <f t="shared" si="25"/>
        <v>15.699769000000018</v>
      </c>
      <c r="N36" s="254">
        <f t="shared" si="25"/>
        <v>18.806271639999977</v>
      </c>
      <c r="O36" s="254">
        <f t="shared" si="25"/>
        <v>17.292877070000003</v>
      </c>
      <c r="P36" s="254">
        <f t="shared" si="25"/>
        <v>17.237173840000011</v>
      </c>
      <c r="Q36" s="254">
        <f t="shared" si="25"/>
        <v>153.69829892000001</v>
      </c>
      <c r="R36" s="254">
        <f>SUM(E36:P36)</f>
        <v>207.03462146999999</v>
      </c>
      <c r="S36" s="254">
        <f t="shared" ref="S36:AD36" si="26">+S37+S38+S41</f>
        <v>26.839382000000001</v>
      </c>
      <c r="T36" s="254">
        <f t="shared" si="26"/>
        <v>29.945884639999999</v>
      </c>
      <c r="U36" s="254">
        <f t="shared" si="26"/>
        <v>28.34763332</v>
      </c>
      <c r="V36" s="254">
        <f t="shared" si="26"/>
        <v>28.379133320000001</v>
      </c>
      <c r="W36" s="254">
        <f t="shared" si="26"/>
        <v>29.945884639999999</v>
      </c>
      <c r="X36" s="254">
        <f t="shared" si="26"/>
        <v>26.839382000000001</v>
      </c>
      <c r="Y36" s="254">
        <f t="shared" si="26"/>
        <v>28.392633320000002</v>
      </c>
      <c r="Z36" s="254">
        <f t="shared" si="26"/>
        <v>28.392633320000002</v>
      </c>
      <c r="AA36" s="254">
        <f t="shared" si="26"/>
        <v>28.392633320000002</v>
      </c>
      <c r="AB36" s="254">
        <f t="shared" si="26"/>
        <v>0</v>
      </c>
      <c r="AC36" s="254">
        <f t="shared" si="26"/>
        <v>0</v>
      </c>
      <c r="AD36" s="254">
        <f t="shared" si="26"/>
        <v>0</v>
      </c>
      <c r="AE36" s="254">
        <f>SUM(S36:AD36)</f>
        <v>255.47519988000005</v>
      </c>
    </row>
    <row r="37" spans="2:31" ht="14.1" customHeight="1">
      <c r="B37" s="355" t="str">
        <f>IF(Indice_index!$Z$1=1,"Investimento","Investments")</f>
        <v>Investimento</v>
      </c>
      <c r="C37" s="355"/>
      <c r="D37" s="228" t="s">
        <v>38</v>
      </c>
      <c r="E37" s="255">
        <f t="shared" ref="E37:AE37" si="27">+SUMIF($D$54:$D$80,$D37,E$54:E$80)</f>
        <v>0</v>
      </c>
      <c r="F37" s="255">
        <f t="shared" si="27"/>
        <v>1.55325132</v>
      </c>
      <c r="G37" s="255">
        <f t="shared" si="27"/>
        <v>3.10650264</v>
      </c>
      <c r="H37" s="255">
        <f t="shared" si="27"/>
        <v>1.55325132</v>
      </c>
      <c r="I37" s="255">
        <f t="shared" si="27"/>
        <v>3.10650264</v>
      </c>
      <c r="J37" s="255">
        <f t="shared" si="27"/>
        <v>0</v>
      </c>
      <c r="K37" s="255">
        <f t="shared" si="27"/>
        <v>1.55</v>
      </c>
      <c r="L37" s="255">
        <f t="shared" si="27"/>
        <v>1.55</v>
      </c>
      <c r="M37" s="255">
        <f t="shared" si="27"/>
        <v>0</v>
      </c>
      <c r="N37" s="255">
        <f t="shared" si="27"/>
        <v>3.1065026400000004</v>
      </c>
      <c r="O37" s="255">
        <f t="shared" si="27"/>
        <v>1.5931080699999984</v>
      </c>
      <c r="P37" s="255">
        <f t="shared" si="27"/>
        <v>1.5532513200000002</v>
      </c>
      <c r="Q37" s="255">
        <f t="shared" si="27"/>
        <v>12.419507920000001</v>
      </c>
      <c r="R37" s="255">
        <f t="shared" si="27"/>
        <v>18.67236995</v>
      </c>
      <c r="S37" s="255">
        <f t="shared" si="27"/>
        <v>0</v>
      </c>
      <c r="T37" s="255">
        <f t="shared" si="27"/>
        <v>3.10650264</v>
      </c>
      <c r="U37" s="255">
        <f t="shared" si="27"/>
        <v>1.55325132</v>
      </c>
      <c r="V37" s="255">
        <f t="shared" si="27"/>
        <v>1.55325132</v>
      </c>
      <c r="W37" s="255">
        <f t="shared" si="27"/>
        <v>3.1065026399999995</v>
      </c>
      <c r="X37" s="255">
        <f t="shared" si="27"/>
        <v>0</v>
      </c>
      <c r="Y37" s="255">
        <f t="shared" si="27"/>
        <v>1.55325132</v>
      </c>
      <c r="Z37" s="255">
        <f t="shared" si="27"/>
        <v>1.5532513200000002</v>
      </c>
      <c r="AA37" s="255">
        <f t="shared" si="27"/>
        <v>1.5532513200000002</v>
      </c>
      <c r="AB37" s="255">
        <f t="shared" si="27"/>
        <v>0</v>
      </c>
      <c r="AC37" s="255">
        <f t="shared" si="27"/>
        <v>0</v>
      </c>
      <c r="AD37" s="255">
        <f t="shared" si="27"/>
        <v>0</v>
      </c>
      <c r="AE37" s="255">
        <f t="shared" si="27"/>
        <v>13.979261879999999</v>
      </c>
    </row>
    <row r="38" spans="2:31" ht="14.1" customHeight="1">
      <c r="B38" s="355" t="str">
        <f>IF(Indice_index!$Z$1=1,"Transferências de capital","Capital transfers")</f>
        <v>Transferências de capital</v>
      </c>
      <c r="C38" s="355"/>
      <c r="D38" s="228" t="s">
        <v>39</v>
      </c>
      <c r="E38" s="255">
        <f t="shared" ref="E38:AE38" si="28">+E39+E40</f>
        <v>15.699769</v>
      </c>
      <c r="F38" s="255">
        <f t="shared" si="28"/>
        <v>15.680638999999999</v>
      </c>
      <c r="G38" s="255">
        <f t="shared" si="28"/>
        <v>15.699769</v>
      </c>
      <c r="H38" s="255">
        <f t="shared" si="28"/>
        <v>15.699769000000003</v>
      </c>
      <c r="I38" s="255">
        <f t="shared" si="28"/>
        <v>15.699768999999996</v>
      </c>
      <c r="J38" s="255">
        <f t="shared" si="28"/>
        <v>15.699769000000003</v>
      </c>
      <c r="K38" s="255">
        <f t="shared" si="28"/>
        <v>15.699769000000003</v>
      </c>
      <c r="L38" s="255">
        <f t="shared" si="28"/>
        <v>15.699769000000003</v>
      </c>
      <c r="M38" s="255">
        <f t="shared" si="28"/>
        <v>15.699769000000018</v>
      </c>
      <c r="N38" s="255">
        <f t="shared" si="28"/>
        <v>15.699768999999975</v>
      </c>
      <c r="O38" s="255">
        <f t="shared" si="28"/>
        <v>15.699769000000003</v>
      </c>
      <c r="P38" s="255">
        <f t="shared" si="28"/>
        <v>15.68392252000001</v>
      </c>
      <c r="Q38" s="255">
        <f t="shared" si="28"/>
        <v>141.27879100000001</v>
      </c>
      <c r="R38" s="255">
        <f t="shared" si="28"/>
        <v>188.36225152</v>
      </c>
      <c r="S38" s="255">
        <f t="shared" si="28"/>
        <v>26.839382000000001</v>
      </c>
      <c r="T38" s="255">
        <f t="shared" si="28"/>
        <v>26.839382000000001</v>
      </c>
      <c r="U38" s="255">
        <f t="shared" si="28"/>
        <v>26.794381999999999</v>
      </c>
      <c r="V38" s="255">
        <f t="shared" si="28"/>
        <v>26.825882</v>
      </c>
      <c r="W38" s="255">
        <f t="shared" si="28"/>
        <v>26.839382000000001</v>
      </c>
      <c r="X38" s="255">
        <f t="shared" si="28"/>
        <v>26.839382000000001</v>
      </c>
      <c r="Y38" s="255">
        <f t="shared" si="28"/>
        <v>26.839382000000001</v>
      </c>
      <c r="Z38" s="255">
        <f t="shared" si="28"/>
        <v>26.839382000000001</v>
      </c>
      <c r="AA38" s="255">
        <f t="shared" si="28"/>
        <v>26.839382000000001</v>
      </c>
      <c r="AB38" s="255">
        <f t="shared" si="28"/>
        <v>0</v>
      </c>
      <c r="AC38" s="255">
        <f t="shared" si="28"/>
        <v>0</v>
      </c>
      <c r="AD38" s="255">
        <f t="shared" si="28"/>
        <v>0</v>
      </c>
      <c r="AE38" s="255">
        <f t="shared" si="28"/>
        <v>241.495938</v>
      </c>
    </row>
    <row r="39" spans="2:31" ht="14.1" customHeight="1">
      <c r="B39" s="362" t="str">
        <f>IF(Indice_index!$Z$1=1,"Administrações Públicas","General Government subsectors")</f>
        <v>Administrações Públicas</v>
      </c>
      <c r="C39" s="362"/>
      <c r="D39" s="228" t="s">
        <v>40</v>
      </c>
      <c r="E39" s="255">
        <f t="shared" ref="E39:N41" si="29">+SUMIF($D$54:$D$80,$D39,E$54:E$80)</f>
        <v>15.699769</v>
      </c>
      <c r="F39" s="255">
        <f t="shared" si="29"/>
        <v>15.680638999999999</v>
      </c>
      <c r="G39" s="255">
        <f t="shared" si="29"/>
        <v>15.699769</v>
      </c>
      <c r="H39" s="255">
        <f t="shared" si="29"/>
        <v>15.699769000000003</v>
      </c>
      <c r="I39" s="255">
        <f t="shared" si="29"/>
        <v>15.699768999999996</v>
      </c>
      <c r="J39" s="255">
        <f t="shared" si="29"/>
        <v>15.699769000000003</v>
      </c>
      <c r="K39" s="255">
        <f t="shared" si="29"/>
        <v>15.699769000000003</v>
      </c>
      <c r="L39" s="255">
        <f t="shared" si="29"/>
        <v>15.699769000000003</v>
      </c>
      <c r="M39" s="255">
        <f t="shared" si="29"/>
        <v>15.699769000000018</v>
      </c>
      <c r="N39" s="255">
        <f t="shared" si="29"/>
        <v>15.699768999999975</v>
      </c>
      <c r="O39" s="255">
        <f t="shared" ref="O39:X41" si="30">+SUMIF($D$54:$D$80,$D39,O$54:O$80)</f>
        <v>15.699769000000003</v>
      </c>
      <c r="P39" s="255">
        <f t="shared" si="30"/>
        <v>15.68392252000001</v>
      </c>
      <c r="Q39" s="255">
        <f t="shared" si="30"/>
        <v>141.27879100000001</v>
      </c>
      <c r="R39" s="255">
        <f t="shared" si="30"/>
        <v>188.36225152</v>
      </c>
      <c r="S39" s="255">
        <f t="shared" si="30"/>
        <v>26.839382000000001</v>
      </c>
      <c r="T39" s="255">
        <f t="shared" si="30"/>
        <v>26.839382000000001</v>
      </c>
      <c r="U39" s="255">
        <f t="shared" si="30"/>
        <v>26.794381999999999</v>
      </c>
      <c r="V39" s="255">
        <f t="shared" si="30"/>
        <v>26.825882</v>
      </c>
      <c r="W39" s="255">
        <f t="shared" si="30"/>
        <v>26.839382000000001</v>
      </c>
      <c r="X39" s="255">
        <f t="shared" si="30"/>
        <v>26.839382000000001</v>
      </c>
      <c r="Y39" s="255">
        <f t="shared" ref="Y39:AE41" si="31">+SUMIF($D$54:$D$80,$D39,Y$54:Y$80)</f>
        <v>26.839382000000001</v>
      </c>
      <c r="Z39" s="255">
        <f t="shared" si="31"/>
        <v>26.839382000000001</v>
      </c>
      <c r="AA39" s="255">
        <f t="shared" si="31"/>
        <v>26.839382000000001</v>
      </c>
      <c r="AB39" s="255">
        <f t="shared" si="31"/>
        <v>0</v>
      </c>
      <c r="AC39" s="255">
        <f t="shared" si="31"/>
        <v>0</v>
      </c>
      <c r="AD39" s="255">
        <f t="shared" si="31"/>
        <v>0</v>
      </c>
      <c r="AE39" s="255">
        <f t="shared" si="31"/>
        <v>241.495938</v>
      </c>
    </row>
    <row r="40" spans="2:31" ht="14.1" customHeight="1">
      <c r="B40" s="362" t="str">
        <f>IF(Indice_index!$Z$1=1,"Outras","Others")</f>
        <v>Outras</v>
      </c>
      <c r="C40" s="362"/>
      <c r="D40" s="228" t="s">
        <v>41</v>
      </c>
      <c r="E40" s="255">
        <f t="shared" si="29"/>
        <v>0</v>
      </c>
      <c r="F40" s="255">
        <f t="shared" si="29"/>
        <v>0</v>
      </c>
      <c r="G40" s="255">
        <f t="shared" si="29"/>
        <v>0</v>
      </c>
      <c r="H40" s="255">
        <f t="shared" si="29"/>
        <v>0</v>
      </c>
      <c r="I40" s="255">
        <f t="shared" si="29"/>
        <v>0</v>
      </c>
      <c r="J40" s="255">
        <f t="shared" si="29"/>
        <v>0</v>
      </c>
      <c r="K40" s="255">
        <f t="shared" si="29"/>
        <v>0</v>
      </c>
      <c r="L40" s="255">
        <f t="shared" si="29"/>
        <v>0</v>
      </c>
      <c r="M40" s="255">
        <f t="shared" si="29"/>
        <v>0</v>
      </c>
      <c r="N40" s="255">
        <f t="shared" si="29"/>
        <v>0</v>
      </c>
      <c r="O40" s="255">
        <f t="shared" si="30"/>
        <v>0</v>
      </c>
      <c r="P40" s="255">
        <f t="shared" si="30"/>
        <v>0</v>
      </c>
      <c r="Q40" s="255">
        <f t="shared" si="30"/>
        <v>0</v>
      </c>
      <c r="R40" s="255">
        <f t="shared" si="30"/>
        <v>0</v>
      </c>
      <c r="S40" s="255">
        <f t="shared" si="30"/>
        <v>0</v>
      </c>
      <c r="T40" s="255">
        <f t="shared" si="30"/>
        <v>0</v>
      </c>
      <c r="U40" s="255">
        <f t="shared" si="30"/>
        <v>0</v>
      </c>
      <c r="V40" s="255">
        <f t="shared" si="30"/>
        <v>0</v>
      </c>
      <c r="W40" s="255">
        <f t="shared" si="30"/>
        <v>0</v>
      </c>
      <c r="X40" s="255">
        <f t="shared" si="30"/>
        <v>0</v>
      </c>
      <c r="Y40" s="255">
        <f t="shared" si="31"/>
        <v>0</v>
      </c>
      <c r="Z40" s="255">
        <f t="shared" si="31"/>
        <v>0</v>
      </c>
      <c r="AA40" s="255">
        <f t="shared" si="31"/>
        <v>0</v>
      </c>
      <c r="AB40" s="255">
        <f t="shared" si="31"/>
        <v>0</v>
      </c>
      <c r="AC40" s="255">
        <f t="shared" si="31"/>
        <v>0</v>
      </c>
      <c r="AD40" s="255">
        <f t="shared" si="31"/>
        <v>0</v>
      </c>
      <c r="AE40" s="255">
        <f t="shared" si="31"/>
        <v>0</v>
      </c>
    </row>
    <row r="41" spans="2:31" ht="14.1" customHeight="1">
      <c r="B41" s="355" t="str">
        <f>IF(Indice_index!$Z$1=1,"Outras despesas de capital","Other capital expenditure")</f>
        <v>Outras despesas de capital</v>
      </c>
      <c r="C41" s="355"/>
      <c r="D41" s="228" t="s">
        <v>42</v>
      </c>
      <c r="E41" s="255">
        <f t="shared" si="29"/>
        <v>0</v>
      </c>
      <c r="F41" s="255">
        <f t="shared" si="29"/>
        <v>0</v>
      </c>
      <c r="G41" s="255">
        <f t="shared" si="29"/>
        <v>0</v>
      </c>
      <c r="H41" s="255">
        <f t="shared" si="29"/>
        <v>0</v>
      </c>
      <c r="I41" s="255">
        <f t="shared" si="29"/>
        <v>0</v>
      </c>
      <c r="J41" s="255">
        <f t="shared" si="29"/>
        <v>0</v>
      </c>
      <c r="K41" s="255">
        <f t="shared" si="29"/>
        <v>0</v>
      </c>
      <c r="L41" s="255">
        <f t="shared" si="29"/>
        <v>0</v>
      </c>
      <c r="M41" s="255">
        <f t="shared" si="29"/>
        <v>0</v>
      </c>
      <c r="N41" s="255">
        <f t="shared" si="29"/>
        <v>0</v>
      </c>
      <c r="O41" s="255">
        <f t="shared" si="30"/>
        <v>0</v>
      </c>
      <c r="P41" s="255">
        <f t="shared" si="30"/>
        <v>0</v>
      </c>
      <c r="Q41" s="255">
        <f t="shared" si="30"/>
        <v>0</v>
      </c>
      <c r="R41" s="255">
        <f t="shared" si="30"/>
        <v>0</v>
      </c>
      <c r="S41" s="255">
        <f t="shared" si="30"/>
        <v>0</v>
      </c>
      <c r="T41" s="255">
        <f t="shared" si="30"/>
        <v>0</v>
      </c>
      <c r="U41" s="255">
        <f t="shared" si="30"/>
        <v>0</v>
      </c>
      <c r="V41" s="255">
        <f t="shared" si="30"/>
        <v>0</v>
      </c>
      <c r="W41" s="255">
        <f t="shared" si="30"/>
        <v>0</v>
      </c>
      <c r="X41" s="255">
        <f t="shared" si="30"/>
        <v>0</v>
      </c>
      <c r="Y41" s="255">
        <f t="shared" si="31"/>
        <v>0</v>
      </c>
      <c r="Z41" s="255">
        <f t="shared" si="31"/>
        <v>0</v>
      </c>
      <c r="AA41" s="255">
        <f t="shared" si="31"/>
        <v>0</v>
      </c>
      <c r="AB41" s="255">
        <f t="shared" si="31"/>
        <v>0</v>
      </c>
      <c r="AC41" s="255">
        <f t="shared" si="31"/>
        <v>0</v>
      </c>
      <c r="AD41" s="255">
        <f t="shared" si="31"/>
        <v>0</v>
      </c>
      <c r="AE41" s="255">
        <f t="shared" si="31"/>
        <v>0</v>
      </c>
    </row>
    <row r="42" spans="2:31" ht="14.1" customHeight="1">
      <c r="B42" s="441" t="str">
        <f>IF(Indice_index!$Z$1=1,"Despesa efetiva","Effective Expenditure")</f>
        <v>Despesa efetiva</v>
      </c>
      <c r="C42" s="441"/>
      <c r="D42" s="165"/>
      <c r="E42" s="119">
        <f t="shared" ref="E42:AE42" si="32">+E27+E36</f>
        <v>32.057352999999999</v>
      </c>
      <c r="F42" s="119">
        <f t="shared" si="32"/>
        <v>21.393890320000001</v>
      </c>
      <c r="G42" s="119">
        <f t="shared" si="32"/>
        <v>18.806271639999999</v>
      </c>
      <c r="H42" s="119">
        <f t="shared" si="32"/>
        <v>33.610604320000007</v>
      </c>
      <c r="I42" s="119">
        <f t="shared" si="32"/>
        <v>18.806271639999995</v>
      </c>
      <c r="J42" s="119">
        <f t="shared" si="32"/>
        <v>165.83402799999999</v>
      </c>
      <c r="K42" s="119">
        <f t="shared" si="32"/>
        <v>33.607353000000003</v>
      </c>
      <c r="L42" s="119">
        <f t="shared" si="32"/>
        <v>17.249769000000004</v>
      </c>
      <c r="M42" s="119">
        <f t="shared" si="32"/>
        <v>15.699769000000018</v>
      </c>
      <c r="N42" s="119">
        <f t="shared" si="32"/>
        <v>35.170037639999983</v>
      </c>
      <c r="O42" s="119">
        <f t="shared" si="32"/>
        <v>17.292877070000003</v>
      </c>
      <c r="P42" s="119">
        <f t="shared" si="32"/>
        <v>1415.4096494400001</v>
      </c>
      <c r="Q42" s="119">
        <f t="shared" si="32"/>
        <v>357.06530992</v>
      </c>
      <c r="R42" s="119">
        <f t="shared" si="32"/>
        <v>1824.9378740700001</v>
      </c>
      <c r="S42" s="119">
        <f t="shared" si="32"/>
        <v>218.63347107000001</v>
      </c>
      <c r="T42" s="119">
        <f t="shared" si="32"/>
        <v>39.279272640000002</v>
      </c>
      <c r="U42" s="119">
        <f t="shared" si="32"/>
        <v>310.18775032000002</v>
      </c>
      <c r="V42" s="119">
        <f t="shared" si="32"/>
        <v>37.71252132</v>
      </c>
      <c r="W42" s="119">
        <f t="shared" si="32"/>
        <v>39.279272640000002</v>
      </c>
      <c r="X42" s="119">
        <f t="shared" si="32"/>
        <v>36.17277</v>
      </c>
      <c r="Y42" s="119">
        <f t="shared" si="32"/>
        <v>-7.148978679999999</v>
      </c>
      <c r="Z42" s="119">
        <f t="shared" si="32"/>
        <v>37.726021320000001</v>
      </c>
      <c r="AA42" s="119">
        <f t="shared" si="32"/>
        <v>37.726021320000001</v>
      </c>
      <c r="AB42" s="119">
        <f t="shared" si="32"/>
        <v>0</v>
      </c>
      <c r="AC42" s="119">
        <f t="shared" si="32"/>
        <v>0</v>
      </c>
      <c r="AD42" s="119">
        <f t="shared" si="32"/>
        <v>0</v>
      </c>
      <c r="AE42" s="119">
        <f t="shared" si="32"/>
        <v>749.5681219500002</v>
      </c>
    </row>
    <row r="43" spans="2:31" ht="14.1" customHeight="1">
      <c r="B43" s="439" t="str">
        <f>IF(Indice_index!$Z$1=1,"Impacto no Saldo global","Impact in Overall balance")</f>
        <v>Impacto no Saldo global</v>
      </c>
      <c r="C43" s="440"/>
      <c r="D43" s="246"/>
      <c r="E43" s="247">
        <f t="shared" ref="E43:AE43" si="33">+E26-E42</f>
        <v>100.44464008999998</v>
      </c>
      <c r="F43" s="119">
        <f t="shared" si="33"/>
        <v>34.132666090000001</v>
      </c>
      <c r="G43" s="119">
        <f t="shared" si="33"/>
        <v>3130.3449913699997</v>
      </c>
      <c r="H43" s="119">
        <f t="shared" si="33"/>
        <v>35.413026929999987</v>
      </c>
      <c r="I43" s="119">
        <f t="shared" si="33"/>
        <v>205.8652324</v>
      </c>
      <c r="J43" s="119">
        <f t="shared" si="33"/>
        <v>-146.14852931999999</v>
      </c>
      <c r="K43" s="119">
        <f t="shared" si="33"/>
        <v>-8.1113246600000046</v>
      </c>
      <c r="L43" s="119">
        <f t="shared" si="33"/>
        <v>0.21451668999999285</v>
      </c>
      <c r="M43" s="119">
        <f t="shared" si="33"/>
        <v>229.29673793000001</v>
      </c>
      <c r="N43" s="119">
        <f t="shared" si="33"/>
        <v>659.86136062999992</v>
      </c>
      <c r="O43" s="119">
        <f t="shared" si="33"/>
        <v>838.33877410000002</v>
      </c>
      <c r="P43" s="119">
        <f t="shared" si="33"/>
        <v>-1394.7121270700002</v>
      </c>
      <c r="Q43" s="119">
        <f t="shared" si="33"/>
        <v>3581.4519575199997</v>
      </c>
      <c r="R43" s="119">
        <f t="shared" si="33"/>
        <v>3684.9399651799995</v>
      </c>
      <c r="S43" s="247">
        <f t="shared" si="33"/>
        <v>-60.368956989999987</v>
      </c>
      <c r="T43" s="119">
        <f t="shared" si="33"/>
        <v>70.149894639999999</v>
      </c>
      <c r="U43" s="119">
        <f t="shared" si="33"/>
        <v>-124.86421738000001</v>
      </c>
      <c r="V43" s="119">
        <f t="shared" si="33"/>
        <v>81.13393099000001</v>
      </c>
      <c r="W43" s="119">
        <f t="shared" si="33"/>
        <v>37.586978290000005</v>
      </c>
      <c r="X43" s="119">
        <f t="shared" si="33"/>
        <v>444.82910798</v>
      </c>
      <c r="Y43" s="119">
        <f t="shared" si="33"/>
        <v>233.25083106999998</v>
      </c>
      <c r="Z43" s="119">
        <f t="shared" si="33"/>
        <v>224.82550590999998</v>
      </c>
      <c r="AA43" s="119">
        <f t="shared" si="33"/>
        <v>-20.974341880000004</v>
      </c>
      <c r="AB43" s="119">
        <f t="shared" si="33"/>
        <v>0</v>
      </c>
      <c r="AC43" s="119">
        <f t="shared" si="33"/>
        <v>0</v>
      </c>
      <c r="AD43" s="119">
        <f t="shared" si="33"/>
        <v>0</v>
      </c>
      <c r="AE43" s="119">
        <f t="shared" si="33"/>
        <v>885.56873262999966</v>
      </c>
    </row>
    <row r="44" spans="2:31" ht="14.1" customHeight="1">
      <c r="B44" s="442" t="str">
        <f>IF(Indice_index!$Z$1=1,"   Por memória:","   Memo item:")</f>
        <v xml:space="preserve">   Por memória:</v>
      </c>
      <c r="C44" s="442"/>
      <c r="D44" s="228"/>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row>
    <row r="45" spans="2:31" ht="14.1" customHeight="1">
      <c r="B45" s="362" t="str">
        <f>IF(Indice_index!$Z$1=1,"Saldo corrente","Current balance")</f>
        <v>Saldo corrente</v>
      </c>
      <c r="C45" s="362"/>
      <c r="D45" s="228"/>
      <c r="E45" s="255">
        <f t="shared" ref="E45:AE45" si="34">+E12-E27</f>
        <v>116.14440908999998</v>
      </c>
      <c r="F45" s="255">
        <f t="shared" si="34"/>
        <v>51.366556410000001</v>
      </c>
      <c r="G45" s="255">
        <f t="shared" si="34"/>
        <v>128.73589600999998</v>
      </c>
      <c r="H45" s="255">
        <f t="shared" si="34"/>
        <v>52.666047249999991</v>
      </c>
      <c r="I45" s="255">
        <f t="shared" si="34"/>
        <v>224.67150404</v>
      </c>
      <c r="J45" s="255">
        <f t="shared" si="34"/>
        <v>-130.44876031999999</v>
      </c>
      <c r="K45" s="255">
        <f t="shared" si="34"/>
        <v>9.1384443399999959</v>
      </c>
      <c r="L45" s="255">
        <f t="shared" si="34"/>
        <v>17.464285689999997</v>
      </c>
      <c r="M45" s="255">
        <f t="shared" si="34"/>
        <v>244.99650693000001</v>
      </c>
      <c r="N45" s="255">
        <f t="shared" si="34"/>
        <v>678.6676322699999</v>
      </c>
      <c r="O45" s="255">
        <f t="shared" si="34"/>
        <v>855.63165117000005</v>
      </c>
      <c r="P45" s="255">
        <f t="shared" si="34"/>
        <v>-1377.4749532300002</v>
      </c>
      <c r="Q45" s="255">
        <f t="shared" si="34"/>
        <v>714.73488943999996</v>
      </c>
      <c r="R45" s="255">
        <f t="shared" si="34"/>
        <v>871.55921965000016</v>
      </c>
      <c r="S45" s="255">
        <f t="shared" si="34"/>
        <v>-33.529574989999986</v>
      </c>
      <c r="T45" s="255">
        <f t="shared" si="34"/>
        <v>100.09577928</v>
      </c>
      <c r="U45" s="255">
        <f t="shared" si="34"/>
        <v>-96.516584060000014</v>
      </c>
      <c r="V45" s="255">
        <f t="shared" si="34"/>
        <v>106.58806431000002</v>
      </c>
      <c r="W45" s="255">
        <f t="shared" si="34"/>
        <v>67.532862930000007</v>
      </c>
      <c r="X45" s="255">
        <f t="shared" si="34"/>
        <v>471.66848998</v>
      </c>
      <c r="Y45" s="255">
        <f t="shared" si="34"/>
        <v>261.64346438999996</v>
      </c>
      <c r="Z45" s="255">
        <f t="shared" si="34"/>
        <v>253.21813922999996</v>
      </c>
      <c r="AA45" s="255">
        <f t="shared" si="34"/>
        <v>7.4182914399999973</v>
      </c>
      <c r="AB45" s="255">
        <f t="shared" si="34"/>
        <v>0</v>
      </c>
      <c r="AC45" s="255">
        <f t="shared" si="34"/>
        <v>0</v>
      </c>
      <c r="AD45" s="255">
        <f t="shared" si="34"/>
        <v>0</v>
      </c>
      <c r="AE45" s="255">
        <f t="shared" si="34"/>
        <v>1138.1189325099999</v>
      </c>
    </row>
    <row r="46" spans="2:31" ht="14.1" customHeight="1">
      <c r="B46" s="362" t="str">
        <f>IF(Indice_index!$Z$1=1,"Saldo de capital","Capital balance")</f>
        <v>Saldo de capital</v>
      </c>
      <c r="C46" s="362"/>
      <c r="D46" s="228"/>
      <c r="E46" s="255">
        <f t="shared" ref="E46:AE46" si="35">+E20-E36</f>
        <v>-15.699769</v>
      </c>
      <c r="F46" s="255">
        <f t="shared" si="35"/>
        <v>-17.23389032</v>
      </c>
      <c r="G46" s="255">
        <f t="shared" si="35"/>
        <v>3001.6090953599996</v>
      </c>
      <c r="H46" s="255">
        <f t="shared" si="35"/>
        <v>-17.253020320000005</v>
      </c>
      <c r="I46" s="255">
        <f t="shared" si="35"/>
        <v>-18.806271639999995</v>
      </c>
      <c r="J46" s="255">
        <f t="shared" si="35"/>
        <v>-15.699769000000003</v>
      </c>
      <c r="K46" s="255">
        <f t="shared" si="35"/>
        <v>-17.249769000000004</v>
      </c>
      <c r="L46" s="255">
        <f t="shared" si="35"/>
        <v>-17.249769000000004</v>
      </c>
      <c r="M46" s="255">
        <f t="shared" si="35"/>
        <v>-15.699769000000018</v>
      </c>
      <c r="N46" s="255">
        <f t="shared" si="35"/>
        <v>-18.806271639999977</v>
      </c>
      <c r="O46" s="255">
        <f t="shared" si="35"/>
        <v>-17.292877070000003</v>
      </c>
      <c r="P46" s="255">
        <f t="shared" si="35"/>
        <v>-17.237173840000011</v>
      </c>
      <c r="Q46" s="255">
        <f t="shared" si="35"/>
        <v>2866.7170680799995</v>
      </c>
      <c r="R46" s="255">
        <f t="shared" si="35"/>
        <v>2813.3807455299998</v>
      </c>
      <c r="S46" s="255">
        <f t="shared" si="35"/>
        <v>-26.839382000000001</v>
      </c>
      <c r="T46" s="255">
        <f t="shared" si="35"/>
        <v>-29.945884639999999</v>
      </c>
      <c r="U46" s="255">
        <f t="shared" si="35"/>
        <v>-28.34763332</v>
      </c>
      <c r="V46" s="255">
        <f t="shared" si="35"/>
        <v>-25.45413332</v>
      </c>
      <c r="W46" s="255">
        <f t="shared" si="35"/>
        <v>-29.945884639999999</v>
      </c>
      <c r="X46" s="255">
        <f t="shared" si="35"/>
        <v>-26.839382000000001</v>
      </c>
      <c r="Y46" s="255">
        <f t="shared" si="35"/>
        <v>-28.392633320000002</v>
      </c>
      <c r="Z46" s="255">
        <f t="shared" si="35"/>
        <v>-28.392633320000002</v>
      </c>
      <c r="AA46" s="255">
        <f t="shared" si="35"/>
        <v>-28.392633320000002</v>
      </c>
      <c r="AB46" s="255">
        <f t="shared" si="35"/>
        <v>0</v>
      </c>
      <c r="AC46" s="255">
        <f t="shared" si="35"/>
        <v>0</v>
      </c>
      <c r="AD46" s="255">
        <f t="shared" si="35"/>
        <v>0</v>
      </c>
      <c r="AE46" s="255">
        <f t="shared" si="35"/>
        <v>-252.55019988000004</v>
      </c>
    </row>
    <row r="47" spans="2:31" ht="14.1" customHeight="1">
      <c r="B47" s="362" t="str">
        <f>IF(Indice_index!$Z$1=1,"Saldo primário","Primary balance")</f>
        <v>Saldo primário</v>
      </c>
      <c r="C47" s="362"/>
      <c r="D47" s="228"/>
      <c r="E47" s="255">
        <f t="shared" ref="E47:AE47" si="36">+E43+E30</f>
        <v>100.44464008999998</v>
      </c>
      <c r="F47" s="255">
        <f t="shared" si="36"/>
        <v>34.132666090000001</v>
      </c>
      <c r="G47" s="255">
        <f t="shared" si="36"/>
        <v>3130.3449913699997</v>
      </c>
      <c r="H47" s="255">
        <f t="shared" si="36"/>
        <v>35.413026929999987</v>
      </c>
      <c r="I47" s="255">
        <f t="shared" si="36"/>
        <v>205.8652324</v>
      </c>
      <c r="J47" s="255">
        <f t="shared" si="36"/>
        <v>-146.14852931999999</v>
      </c>
      <c r="K47" s="255">
        <f t="shared" si="36"/>
        <v>-8.1113246600000046</v>
      </c>
      <c r="L47" s="255">
        <f t="shared" si="36"/>
        <v>0.21451668999999285</v>
      </c>
      <c r="M47" s="255">
        <f t="shared" si="36"/>
        <v>229.29673793000001</v>
      </c>
      <c r="N47" s="255">
        <f t="shared" si="36"/>
        <v>659.86136062999992</v>
      </c>
      <c r="O47" s="255">
        <f t="shared" si="36"/>
        <v>838.33877410000002</v>
      </c>
      <c r="P47" s="255">
        <f t="shared" si="36"/>
        <v>-1394.7121270700002</v>
      </c>
      <c r="Q47" s="255">
        <f t="shared" si="36"/>
        <v>3581.4519575199997</v>
      </c>
      <c r="R47" s="255">
        <f t="shared" si="36"/>
        <v>3684.9399651799995</v>
      </c>
      <c r="S47" s="255">
        <f t="shared" si="36"/>
        <v>-60.368956989999987</v>
      </c>
      <c r="T47" s="255">
        <f t="shared" si="36"/>
        <v>70.149894639999999</v>
      </c>
      <c r="U47" s="255">
        <f t="shared" si="36"/>
        <v>-124.86421738000001</v>
      </c>
      <c r="V47" s="255">
        <f t="shared" si="36"/>
        <v>81.13393099000001</v>
      </c>
      <c r="W47" s="255">
        <f t="shared" si="36"/>
        <v>37.586978290000005</v>
      </c>
      <c r="X47" s="255">
        <f t="shared" si="36"/>
        <v>444.82910798</v>
      </c>
      <c r="Y47" s="255">
        <f t="shared" si="36"/>
        <v>233.25083106999998</v>
      </c>
      <c r="Z47" s="255">
        <f t="shared" si="36"/>
        <v>224.82550590999998</v>
      </c>
      <c r="AA47" s="255">
        <f t="shared" si="36"/>
        <v>-20.974341880000004</v>
      </c>
      <c r="AB47" s="255">
        <f t="shared" si="36"/>
        <v>0</v>
      </c>
      <c r="AC47" s="255">
        <f t="shared" si="36"/>
        <v>0</v>
      </c>
      <c r="AD47" s="255">
        <f t="shared" si="36"/>
        <v>0</v>
      </c>
      <c r="AE47" s="255">
        <f t="shared" si="36"/>
        <v>885.56873262999966</v>
      </c>
    </row>
    <row r="48" spans="2:31" ht="14.1" customHeight="1">
      <c r="B48" s="444" t="str">
        <f>IF(Indice_index!$Z$1=1,"Despesa  primária","Primary Expenditure")</f>
        <v>Despesa  primária</v>
      </c>
      <c r="C48" s="444"/>
      <c r="D48" s="231"/>
      <c r="E48" s="256">
        <f t="shared" ref="E48:AE48" si="37">+E42-E30</f>
        <v>32.057352999999999</v>
      </c>
      <c r="F48" s="256">
        <f t="shared" si="37"/>
        <v>21.393890320000001</v>
      </c>
      <c r="G48" s="256">
        <f t="shared" si="37"/>
        <v>18.806271639999999</v>
      </c>
      <c r="H48" s="256">
        <f t="shared" si="37"/>
        <v>33.610604320000007</v>
      </c>
      <c r="I48" s="256">
        <f t="shared" si="37"/>
        <v>18.806271639999995</v>
      </c>
      <c r="J48" s="256">
        <f t="shared" si="37"/>
        <v>165.83402799999999</v>
      </c>
      <c r="K48" s="256">
        <f t="shared" si="37"/>
        <v>33.607353000000003</v>
      </c>
      <c r="L48" s="256">
        <f t="shared" si="37"/>
        <v>17.249769000000004</v>
      </c>
      <c r="M48" s="256">
        <f t="shared" si="37"/>
        <v>15.699769000000018</v>
      </c>
      <c r="N48" s="256">
        <f t="shared" si="37"/>
        <v>35.170037639999983</v>
      </c>
      <c r="O48" s="256">
        <f t="shared" si="37"/>
        <v>17.292877070000003</v>
      </c>
      <c r="P48" s="256">
        <f t="shared" si="37"/>
        <v>1415.4096494400001</v>
      </c>
      <c r="Q48" s="256">
        <f t="shared" si="37"/>
        <v>357.06530992</v>
      </c>
      <c r="R48" s="256">
        <f t="shared" si="37"/>
        <v>1824.9378740700001</v>
      </c>
      <c r="S48" s="256">
        <f t="shared" si="37"/>
        <v>218.63347107000001</v>
      </c>
      <c r="T48" s="256">
        <f t="shared" si="37"/>
        <v>39.279272640000002</v>
      </c>
      <c r="U48" s="256">
        <f t="shared" si="37"/>
        <v>310.18775032000002</v>
      </c>
      <c r="V48" s="256">
        <f t="shared" si="37"/>
        <v>37.71252132</v>
      </c>
      <c r="W48" s="256">
        <f t="shared" si="37"/>
        <v>39.279272640000002</v>
      </c>
      <c r="X48" s="256">
        <f t="shared" si="37"/>
        <v>36.17277</v>
      </c>
      <c r="Y48" s="256">
        <f t="shared" si="37"/>
        <v>-7.148978679999999</v>
      </c>
      <c r="Z48" s="256">
        <f t="shared" si="37"/>
        <v>37.726021320000001</v>
      </c>
      <c r="AA48" s="256">
        <f t="shared" si="37"/>
        <v>37.726021320000001</v>
      </c>
      <c r="AB48" s="256">
        <f t="shared" si="37"/>
        <v>0</v>
      </c>
      <c r="AC48" s="256">
        <f t="shared" si="37"/>
        <v>0</v>
      </c>
      <c r="AD48" s="256">
        <f t="shared" si="37"/>
        <v>0</v>
      </c>
      <c r="AE48" s="256">
        <f t="shared" si="37"/>
        <v>749.5681219500002</v>
      </c>
    </row>
    <row r="49" spans="2:31" ht="15">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row>
    <row r="50" spans="2:31" ht="16.350000000000001" customHeight="1">
      <c r="B50" s="445"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row>
    <row r="51" spans="2:31" ht="16.350000000000001" customHeight="1">
      <c r="B51" s="347"/>
      <c r="C51" s="348"/>
      <c r="D51" s="120"/>
      <c r="E51" s="347" t="str">
        <f>IF(Indice_index!$Z$1=1,"2023","2023")</f>
        <v>2023</v>
      </c>
      <c r="F51" s="348" t="s">
        <v>43</v>
      </c>
      <c r="G51" s="348" t="s">
        <v>43</v>
      </c>
      <c r="H51" s="348" t="s">
        <v>43</v>
      </c>
      <c r="I51" s="348" t="s">
        <v>43</v>
      </c>
      <c r="J51" s="348" t="s">
        <v>43</v>
      </c>
      <c r="K51" s="348" t="s">
        <v>43</v>
      </c>
      <c r="L51" s="348" t="s">
        <v>43</v>
      </c>
      <c r="M51" s="348" t="s">
        <v>43</v>
      </c>
      <c r="N51" s="348" t="s">
        <v>43</v>
      </c>
      <c r="O51" s="348" t="s">
        <v>43</v>
      </c>
      <c r="P51" s="348" t="s">
        <v>43</v>
      </c>
      <c r="Q51" s="348"/>
      <c r="R51" s="348" t="s">
        <v>43</v>
      </c>
      <c r="S51" s="347" t="str">
        <f>IF(Indice_index!$Z$1=1,"2024","2024")</f>
        <v>2024</v>
      </c>
      <c r="T51" s="348" t="s">
        <v>43</v>
      </c>
      <c r="U51" s="348" t="s">
        <v>43</v>
      </c>
      <c r="V51" s="348" t="s">
        <v>43</v>
      </c>
      <c r="W51" s="348" t="s">
        <v>43</v>
      </c>
      <c r="X51" s="348" t="s">
        <v>43</v>
      </c>
      <c r="Y51" s="348" t="s">
        <v>43</v>
      </c>
      <c r="Z51" s="348" t="s">
        <v>43</v>
      </c>
      <c r="AA51" s="348" t="s">
        <v>43</v>
      </c>
      <c r="AB51" s="348" t="s">
        <v>43</v>
      </c>
      <c r="AC51" s="348" t="s">
        <v>43</v>
      </c>
      <c r="AD51" s="348" t="s">
        <v>43</v>
      </c>
      <c r="AE51" s="348" t="s">
        <v>43</v>
      </c>
    </row>
    <row r="52" spans="2:31" ht="26.85" customHeight="1">
      <c r="B52" s="347"/>
      <c r="C52" s="348"/>
      <c r="D52" s="120"/>
      <c r="E52" s="24" t="str">
        <f>IF(Indice_index!$Z$1=1,"jan","Jan")</f>
        <v>jan</v>
      </c>
      <c r="F52" s="24" t="str">
        <f>IF(Indice_index!$Z$1=1,"fev","Feb")</f>
        <v>fev</v>
      </c>
      <c r="G52" s="24" t="str">
        <f>IF(Indice_index!$Z$1=1,"mar","Mar")</f>
        <v>mar</v>
      </c>
      <c r="H52" s="24" t="str">
        <f>IF(Indice_index!$Z$1=1,"abr","Apr")</f>
        <v>abr</v>
      </c>
      <c r="I52" s="24" t="str">
        <f>IF(Indice_index!$Z$1=1,"mai","May")</f>
        <v>mai</v>
      </c>
      <c r="J52" s="24" t="str">
        <f>IF(Indice_index!$Z$1=1,"jun","Jun")</f>
        <v>jun</v>
      </c>
      <c r="K52" s="24" t="str">
        <f>IF(Indice_index!$Z$1=1,"jul","Jul")</f>
        <v>jul</v>
      </c>
      <c r="L52" s="24" t="str">
        <f>IF(Indice_index!$Z$1=1,"ago","Aug")</f>
        <v>ago</v>
      </c>
      <c r="M52" s="24" t="str">
        <f>IF(Indice_index!$Z$1=1,"set","Sep")</f>
        <v>set</v>
      </c>
      <c r="N52" s="24" t="str">
        <f>IF(Indice_index!$Z$1=1,"out","Oct")</f>
        <v>out</v>
      </c>
      <c r="O52" s="24" t="str">
        <f>IF(Indice_index!$Z$1=1,"nov","Nov")</f>
        <v>nov</v>
      </c>
      <c r="P52" s="24" t="str">
        <f>IF(Indice_index!$Z$1=1,"dez","Dec")</f>
        <v>dez</v>
      </c>
      <c r="Q52" s="24" t="str">
        <f>IF(Indice_index!$Z$1=1,"Ano até 
à data","Year to date")</f>
        <v>Ano até 
à data</v>
      </c>
      <c r="R52" s="24" t="str">
        <f>IF(Indice_index!$Z$1=1,"Acumulado","Cumulative")</f>
        <v>Acumulado</v>
      </c>
      <c r="S52" s="24" t="str">
        <f>IF(Indice_index!$Z$1=1,"jan","Jan")</f>
        <v>jan</v>
      </c>
      <c r="T52" s="24" t="str">
        <f>IF(Indice_index!$Z$1=1,"fev","Feb")</f>
        <v>fev</v>
      </c>
      <c r="U52" s="24" t="str">
        <f>IF(Indice_index!$Z$1=1,"mar","Mar")</f>
        <v>mar</v>
      </c>
      <c r="V52" s="24" t="str">
        <f>IF(Indice_index!$Z$1=1,"abr","Apr")</f>
        <v>abr</v>
      </c>
      <c r="W52" s="24" t="str">
        <f>IF(Indice_index!$Z$1=1,"mai","May")</f>
        <v>mai</v>
      </c>
      <c r="X52" s="24" t="str">
        <f>IF(Indice_index!$Z$1=1,"jun","Jun")</f>
        <v>jun</v>
      </c>
      <c r="Y52" s="24" t="str">
        <f>IF(Indice_index!$Z$1=1,"jul","Jul")</f>
        <v>jul</v>
      </c>
      <c r="Z52" s="24" t="str">
        <f>IF(Indice_index!$Z$1=1,"ago","Aug")</f>
        <v>ago</v>
      </c>
      <c r="AA52" s="24" t="str">
        <f>IF(Indice_index!$Z$1=1,"set","Sep")</f>
        <v>set</v>
      </c>
      <c r="AB52" s="24" t="str">
        <f>IF(Indice_index!$Z$1=1,"out","Oct")</f>
        <v>out</v>
      </c>
      <c r="AC52" s="24" t="str">
        <f>IF(Indice_index!$Z$1=1,"nov","Nov")</f>
        <v>nov</v>
      </c>
      <c r="AD52" s="24" t="str">
        <f>IF(Indice_index!$Z$1=1,"dez","Dec")</f>
        <v>dez</v>
      </c>
      <c r="AE52" s="24" t="str">
        <f>IF(Indice_index!$Z$1=1,"Acumulado","Cumulative")</f>
        <v>Acumulado</v>
      </c>
    </row>
    <row r="53" spans="2:31" ht="15">
      <c r="B53" s="439" t="str">
        <f>IF(Indice_index!$Z$1=1,"Subtotal da Administração Central","Central Government subtotal")</f>
        <v>Subtotal da Administração Central</v>
      </c>
      <c r="C53" s="440"/>
      <c r="D53" s="118"/>
      <c r="E53" s="119">
        <f t="shared" ref="E53:AE53" si="38">SUMIF($C54:$C80,"Receita",E54:E80)-SUMIF($C54:$C80,"Despesa",E54:E80)+SUMIF($C54:$C80,"Revenue",E54:E80)-SUMIF($C54:$C80,"Expenditure",E54:E80)</f>
        <v>100.44464008999998</v>
      </c>
      <c r="F53" s="119">
        <f t="shared" si="38"/>
        <v>34.132666090000001</v>
      </c>
      <c r="G53" s="119">
        <f t="shared" si="38"/>
        <v>3130.3449913699997</v>
      </c>
      <c r="H53" s="119">
        <f t="shared" si="38"/>
        <v>35.413026930000001</v>
      </c>
      <c r="I53" s="119">
        <f t="shared" si="38"/>
        <v>205.8652324</v>
      </c>
      <c r="J53" s="119">
        <f t="shared" si="38"/>
        <v>-146.14852931999999</v>
      </c>
      <c r="K53" s="119">
        <f t="shared" si="38"/>
        <v>-8.1113246600000046</v>
      </c>
      <c r="L53" s="119">
        <f t="shared" si="38"/>
        <v>0.21451668999999285</v>
      </c>
      <c r="M53" s="119">
        <f t="shared" si="38"/>
        <v>229.29673793000001</v>
      </c>
      <c r="N53" s="119">
        <f t="shared" si="38"/>
        <v>659.86136062999992</v>
      </c>
      <c r="O53" s="119">
        <f t="shared" si="38"/>
        <v>838.33877410000002</v>
      </c>
      <c r="P53" s="119">
        <f t="shared" si="38"/>
        <v>-1394.7121270700004</v>
      </c>
      <c r="Q53" s="119">
        <f t="shared" si="38"/>
        <v>3581.4519575200002</v>
      </c>
      <c r="R53" s="119">
        <f t="shared" si="38"/>
        <v>3684.9399651799995</v>
      </c>
      <c r="S53" s="119">
        <f t="shared" si="38"/>
        <v>-60.368956989999987</v>
      </c>
      <c r="T53" s="119">
        <f t="shared" si="38"/>
        <v>70.149894639999999</v>
      </c>
      <c r="U53" s="119">
        <f t="shared" si="38"/>
        <v>-124.86421738000001</v>
      </c>
      <c r="V53" s="119">
        <f t="shared" si="38"/>
        <v>81.13393099000001</v>
      </c>
      <c r="W53" s="119">
        <f t="shared" si="38"/>
        <v>37.586978290000005</v>
      </c>
      <c r="X53" s="119">
        <f t="shared" si="38"/>
        <v>444.82910798</v>
      </c>
      <c r="Y53" s="119">
        <f t="shared" si="38"/>
        <v>233.25083107</v>
      </c>
      <c r="Z53" s="119">
        <f t="shared" si="38"/>
        <v>224.82550591000003</v>
      </c>
      <c r="AA53" s="119">
        <f t="shared" si="38"/>
        <v>-20.974341880000004</v>
      </c>
      <c r="AB53" s="119">
        <f t="shared" si="38"/>
        <v>0</v>
      </c>
      <c r="AC53" s="119">
        <f t="shared" si="38"/>
        <v>0</v>
      </c>
      <c r="AD53" s="119">
        <f t="shared" si="38"/>
        <v>0</v>
      </c>
      <c r="AE53" s="119">
        <f t="shared" si="38"/>
        <v>885.56873262999989</v>
      </c>
    </row>
    <row r="54" spans="2:31" ht="14.1" customHeight="1">
      <c r="B54" s="171"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72" t="str">
        <f>IF(Indice_index!$Z$1=1,"Receita","Revenue")</f>
        <v>Receita</v>
      </c>
      <c r="D54" s="113" t="s">
        <v>18</v>
      </c>
      <c r="E54" s="214"/>
      <c r="F54" s="214"/>
      <c r="G54" s="215"/>
      <c r="H54" s="215"/>
      <c r="I54" s="215"/>
      <c r="J54" s="215"/>
      <c r="K54" s="215"/>
      <c r="L54" s="215"/>
      <c r="M54" s="215"/>
      <c r="N54" s="215">
        <v>604.72375082999997</v>
      </c>
      <c r="O54" s="215"/>
      <c r="P54" s="215"/>
      <c r="Q54" s="215">
        <f>SUM(E54:M54)</f>
        <v>0</v>
      </c>
      <c r="R54" s="215">
        <f t="shared" ref="R54:R80" si="39">SUM(E54:P54)</f>
        <v>604.72375082999997</v>
      </c>
      <c r="S54" s="214"/>
      <c r="T54" s="214"/>
      <c r="U54" s="215"/>
      <c r="V54" s="215"/>
      <c r="W54" s="215"/>
      <c r="X54" s="215"/>
      <c r="Y54" s="215"/>
      <c r="Z54" s="215"/>
      <c r="AA54" s="215"/>
      <c r="AB54" s="215"/>
      <c r="AC54" s="215"/>
      <c r="AD54" s="215"/>
      <c r="AE54" s="215">
        <f>SUM(S54:AD54)</f>
        <v>0</v>
      </c>
    </row>
    <row r="55" spans="2:31" ht="14.1" customHeight="1">
      <c r="B55" s="171"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5" s="172" t="str">
        <f>IF(Indice_index!$Z$1=1,"Receita","Revenue")</f>
        <v>Receita</v>
      </c>
      <c r="D55" s="113" t="s">
        <v>18</v>
      </c>
      <c r="E55" s="214">
        <v>5.1679879999999997E-2</v>
      </c>
      <c r="F55" s="214"/>
      <c r="G55" s="215">
        <v>12.814335120000001</v>
      </c>
      <c r="H55" s="215">
        <v>4.5122879999999997E-2</v>
      </c>
      <c r="I55" s="215">
        <v>1.2963765</v>
      </c>
      <c r="J55" s="215">
        <v>0.96002504</v>
      </c>
      <c r="K55" s="215">
        <v>1.77371831</v>
      </c>
      <c r="L55" s="215"/>
      <c r="M55" s="215">
        <v>26.706545420000001</v>
      </c>
      <c r="N55" s="215">
        <v>65.228795570000003</v>
      </c>
      <c r="O55" s="215">
        <v>6.0607269999999998E-2</v>
      </c>
      <c r="P55" s="215">
        <v>3.7892177600000001</v>
      </c>
      <c r="Q55" s="215">
        <f t="shared" ref="Q55:Q69" si="40">SUM(E55:M55)</f>
        <v>43.647803150000001</v>
      </c>
      <c r="R55" s="215">
        <f t="shared" si="39"/>
        <v>112.72642375000001</v>
      </c>
      <c r="S55" s="214">
        <v>0.52537933000000003</v>
      </c>
      <c r="T55" s="214">
        <v>-0.34765652000000002</v>
      </c>
      <c r="U55" s="215"/>
      <c r="V55" s="215">
        <v>-0.43179037999999997</v>
      </c>
      <c r="W55" s="215">
        <v>0.29464562</v>
      </c>
      <c r="X55" s="215">
        <v>0.84749121000000005</v>
      </c>
      <c r="Y55" s="215">
        <v>0.19559972</v>
      </c>
      <c r="Z55" s="215"/>
      <c r="AA55" s="215">
        <v>6.0301979999999998E-2</v>
      </c>
      <c r="AB55" s="215"/>
      <c r="AC55" s="215"/>
      <c r="AD55" s="215"/>
      <c r="AE55" s="215">
        <f t="shared" ref="AE55:AE80" si="41">SUM(S55:AD55)</f>
        <v>1.1439709600000001</v>
      </c>
    </row>
    <row r="56" spans="2:31" ht="13.5" customHeight="1">
      <c r="B56" s="171"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6" s="172" t="str">
        <f>IF(Indice_index!$Z$1=1,"Receita","Revenue")</f>
        <v>Receita</v>
      </c>
      <c r="D56" s="113" t="s">
        <v>19</v>
      </c>
      <c r="E56" s="214">
        <v>51.03543792</v>
      </c>
      <c r="F56" s="214">
        <v>37.30626238</v>
      </c>
      <c r="G56" s="215">
        <v>37.30894464</v>
      </c>
      <c r="H56" s="215">
        <v>42.748344039999999</v>
      </c>
      <c r="I56" s="215">
        <v>20.201011019999999</v>
      </c>
      <c r="J56" s="215"/>
      <c r="K56" s="215"/>
      <c r="L56" s="215"/>
      <c r="M56" s="215"/>
      <c r="N56" s="215"/>
      <c r="O56" s="215"/>
      <c r="P56" s="215"/>
      <c r="Q56" s="215">
        <f t="shared" si="40"/>
        <v>188.60000000000002</v>
      </c>
      <c r="R56" s="215">
        <f t="shared" si="39"/>
        <v>188.60000000000002</v>
      </c>
      <c r="S56" s="214">
        <v>81.950739540000001</v>
      </c>
      <c r="T56" s="214">
        <v>91.373872520000006</v>
      </c>
      <c r="U56" s="215">
        <v>85.428676830000001</v>
      </c>
      <c r="V56" s="215">
        <v>92.073773360000004</v>
      </c>
      <c r="W56" s="215">
        <v>59.172937750000003</v>
      </c>
      <c r="X56" s="215"/>
      <c r="Y56" s="215"/>
      <c r="Z56" s="215"/>
      <c r="AA56" s="215"/>
      <c r="AB56" s="215"/>
      <c r="AC56" s="215"/>
      <c r="AD56" s="215"/>
      <c r="AE56" s="215">
        <f t="shared" si="41"/>
        <v>410.00000000000006</v>
      </c>
    </row>
    <row r="57" spans="2:31" ht="14.1" customHeight="1">
      <c r="B57" s="171"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7" s="172" t="str">
        <f>IF(Indice_index!$Z$1=1,"Receita","Revenue")</f>
        <v>Receita</v>
      </c>
      <c r="D57" s="113" t="s">
        <v>19</v>
      </c>
      <c r="E57" s="214">
        <v>4.7155544699999998</v>
      </c>
      <c r="F57" s="214">
        <v>0.30755294999999999</v>
      </c>
      <c r="G57" s="215">
        <v>0.92734448000000003</v>
      </c>
      <c r="H57" s="215">
        <v>2.9547913600000002</v>
      </c>
      <c r="I57" s="215">
        <v>0.59695096999999997</v>
      </c>
      <c r="J57" s="215"/>
      <c r="K57" s="215">
        <v>4.3002577899999999</v>
      </c>
      <c r="L57" s="215">
        <v>0.26655842000000002</v>
      </c>
      <c r="M57" s="215">
        <v>1.12644E-3</v>
      </c>
      <c r="N57" s="215">
        <v>4.2367310600000003</v>
      </c>
      <c r="O57" s="215">
        <v>2.81008E-3</v>
      </c>
      <c r="P57" s="215">
        <v>8.6438570000000006E-2</v>
      </c>
      <c r="Q57" s="215">
        <f t="shared" si="40"/>
        <v>14.070136880000002</v>
      </c>
      <c r="R57" s="215">
        <f t="shared" si="39"/>
        <v>18.396116590000002</v>
      </c>
      <c r="S57" s="214">
        <v>4.6606744000000004</v>
      </c>
      <c r="T57" s="214">
        <v>4.0420379999999999E-2</v>
      </c>
      <c r="U57" s="215">
        <v>-1.0407599999999999E-3</v>
      </c>
      <c r="V57" s="215">
        <v>4.0900768100000002</v>
      </c>
      <c r="W57" s="215">
        <v>0.56733213999999998</v>
      </c>
      <c r="X57" s="215"/>
      <c r="Y57" s="215">
        <v>5.1925220799999998</v>
      </c>
      <c r="Z57" s="215">
        <v>2.4941660000000001E-2</v>
      </c>
      <c r="AA57" s="215"/>
      <c r="AB57" s="215"/>
      <c r="AC57" s="215"/>
      <c r="AD57" s="215"/>
      <c r="AE57" s="215">
        <f t="shared" si="41"/>
        <v>14.574926709999998</v>
      </c>
    </row>
    <row r="58" spans="2:31" ht="14.1" customHeight="1">
      <c r="B58" s="171"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8" s="172" t="str">
        <f>IF(Indice_index!$Z$1=1,"Receita","Revenue")</f>
        <v>Receita</v>
      </c>
      <c r="D58" s="113" t="s">
        <v>19</v>
      </c>
      <c r="E58" s="214">
        <v>4.5044478100000003</v>
      </c>
      <c r="F58" s="214">
        <v>0.40203482000000001</v>
      </c>
      <c r="G58" s="215"/>
      <c r="H58" s="215">
        <v>4.8164474000000004</v>
      </c>
      <c r="I58" s="215">
        <v>0.24372732</v>
      </c>
      <c r="J58" s="215">
        <v>7.3152880000000003E-2</v>
      </c>
      <c r="K58" s="215">
        <v>3.69332299</v>
      </c>
      <c r="L58" s="215">
        <v>0.43337407</v>
      </c>
      <c r="M58" s="215"/>
      <c r="N58" s="215">
        <v>3.5778308299999999</v>
      </c>
      <c r="O58" s="215">
        <v>0.11598211</v>
      </c>
      <c r="P58" s="215">
        <v>5.7728460000000002E-2</v>
      </c>
      <c r="Q58" s="215">
        <f t="shared" si="40"/>
        <v>14.16650729</v>
      </c>
      <c r="R58" s="215">
        <f t="shared" si="39"/>
        <v>17.918048690000003</v>
      </c>
      <c r="S58" s="214">
        <v>5.2071340700000004</v>
      </c>
      <c r="T58" s="214">
        <v>1.45375E-2</v>
      </c>
      <c r="U58" s="215">
        <v>6.6401409999999994E-2</v>
      </c>
      <c r="V58" s="215">
        <v>3.6542232499999998</v>
      </c>
      <c r="W58" s="215">
        <v>0.21671481000000001</v>
      </c>
      <c r="X58" s="215">
        <v>1.157509E-2</v>
      </c>
      <c r="Y58" s="215">
        <v>4.54902096</v>
      </c>
      <c r="Z58" s="215">
        <v>1.3577580000000001E-2</v>
      </c>
      <c r="AA58" s="215">
        <v>6.8336750000000002E-2</v>
      </c>
      <c r="AB58" s="215"/>
      <c r="AC58" s="215"/>
      <c r="AD58" s="215"/>
      <c r="AE58" s="215">
        <f t="shared" si="41"/>
        <v>13.801521419999998</v>
      </c>
    </row>
    <row r="59" spans="2:31" ht="14.1" customHeight="1">
      <c r="B59" s="171"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59" s="172" t="str">
        <f>IF(Indice_index!$Z$1=1,"Receita","Revenue")</f>
        <v>Receita</v>
      </c>
      <c r="D59" s="113" t="s">
        <v>19</v>
      </c>
      <c r="E59" s="214">
        <v>16.58690112</v>
      </c>
      <c r="F59" s="214">
        <v>16.798638199999999</v>
      </c>
      <c r="G59" s="215">
        <v>12.872800679999999</v>
      </c>
      <c r="H59" s="215">
        <v>17.863843429999999</v>
      </c>
      <c r="I59" s="215">
        <v>13.76249855</v>
      </c>
      <c r="J59" s="215">
        <v>17.02243236</v>
      </c>
      <c r="K59" s="215">
        <v>15.17109073</v>
      </c>
      <c r="L59" s="215">
        <v>16.159094979999999</v>
      </c>
      <c r="M59" s="215">
        <v>15.632407860000001</v>
      </c>
      <c r="N59" s="215">
        <v>16.6824826</v>
      </c>
      <c r="O59" s="215">
        <v>16.477370570000001</v>
      </c>
      <c r="P59" s="215">
        <v>16.187342600000001</v>
      </c>
      <c r="Q59" s="215">
        <f t="shared" si="40"/>
        <v>141.86970790999999</v>
      </c>
      <c r="R59" s="215">
        <f t="shared" si="39"/>
        <v>191.21690368</v>
      </c>
      <c r="S59" s="214">
        <v>16.254040280000002</v>
      </c>
      <c r="T59" s="214">
        <v>17.694911529999999</v>
      </c>
      <c r="U59" s="215">
        <v>15.039747609999999</v>
      </c>
      <c r="V59" s="215">
        <v>15.98656619</v>
      </c>
      <c r="W59" s="215">
        <v>16.02466025</v>
      </c>
      <c r="X59" s="215">
        <v>16.300641559999999</v>
      </c>
      <c r="Y59" s="215">
        <v>15.557139299999999</v>
      </c>
      <c r="Z59" s="215">
        <v>17.205587869999999</v>
      </c>
      <c r="AA59" s="215">
        <v>16.0119303</v>
      </c>
      <c r="AB59" s="215"/>
      <c r="AC59" s="215"/>
      <c r="AD59" s="215"/>
      <c r="AE59" s="215">
        <f t="shared" si="41"/>
        <v>146.07522488999999</v>
      </c>
    </row>
    <row r="60" spans="2:31" ht="14.1" customHeight="1">
      <c r="B60" s="171"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0" s="172" t="str">
        <f>IF(Indice_index!$Z$1=1,"Receita","Revenue")</f>
        <v>Receita</v>
      </c>
      <c r="D60" s="113" t="s">
        <v>24</v>
      </c>
      <c r="E60" s="214">
        <v>0.70899588999999996</v>
      </c>
      <c r="F60" s="214">
        <v>0.71206806</v>
      </c>
      <c r="G60" s="215">
        <v>0.53886047999999998</v>
      </c>
      <c r="H60" s="215">
        <v>0.59508214000000004</v>
      </c>
      <c r="I60" s="215">
        <v>0.68449755999999995</v>
      </c>
      <c r="J60" s="215">
        <v>0.75971277000000004</v>
      </c>
      <c r="K60" s="215">
        <v>0.55763852000000003</v>
      </c>
      <c r="L60" s="215">
        <v>0.60525821999999996</v>
      </c>
      <c r="M60" s="215">
        <v>0.66295230000000005</v>
      </c>
      <c r="N60" s="215">
        <v>0.58180737999999999</v>
      </c>
      <c r="O60" s="215">
        <v>0.59909100000000004</v>
      </c>
      <c r="P60" s="215">
        <v>0.57679497999999996</v>
      </c>
      <c r="Q60" s="215">
        <f t="shared" si="40"/>
        <v>5.82506594</v>
      </c>
      <c r="R60" s="215">
        <f t="shared" si="39"/>
        <v>7.5827593000000002</v>
      </c>
      <c r="S60" s="214">
        <v>0.66236846000000005</v>
      </c>
      <c r="T60" s="214">
        <v>0.65308186999999995</v>
      </c>
      <c r="U60" s="215">
        <v>0.49166952000000003</v>
      </c>
      <c r="V60" s="215">
        <v>0.54860308000000002</v>
      </c>
      <c r="W60" s="215">
        <v>0.58996035999999996</v>
      </c>
      <c r="X60" s="215">
        <v>0.64517541</v>
      </c>
      <c r="Y60" s="215">
        <v>0.60757033000000005</v>
      </c>
      <c r="Z60" s="215">
        <v>6.7539899999999996E-3</v>
      </c>
      <c r="AA60" s="215">
        <v>0.61111040999999999</v>
      </c>
      <c r="AB60" s="215"/>
      <c r="AC60" s="215"/>
      <c r="AD60" s="215"/>
      <c r="AE60" s="215">
        <f t="shared" si="41"/>
        <v>4.81629343</v>
      </c>
    </row>
    <row r="61" spans="2:31" ht="14.1" customHeight="1">
      <c r="B61" s="171" t="str">
        <f>IF(Indice_index!$Z$1=1,"Leilão no âmbito da 5.ª Geração de comunicações móveis (5G)"," Sale of the 5th generation mobile frequency use rights (5G)")</f>
        <v>Leilão no âmbito da 5.ª Geração de comunicações móveis (5G)</v>
      </c>
      <c r="C61" s="172" t="str">
        <f>IF(Indice_index!$Z$1=1,"Receita","Revenue")</f>
        <v>Receita</v>
      </c>
      <c r="D61" s="113" t="s">
        <v>24</v>
      </c>
      <c r="E61" s="214"/>
      <c r="F61" s="214"/>
      <c r="G61" s="215"/>
      <c r="H61" s="215"/>
      <c r="I61" s="215"/>
      <c r="J61" s="215"/>
      <c r="K61" s="215"/>
      <c r="L61" s="215"/>
      <c r="M61" s="215"/>
      <c r="N61" s="215"/>
      <c r="O61" s="215">
        <v>18.17664285</v>
      </c>
      <c r="P61" s="215"/>
      <c r="Q61" s="215">
        <f t="shared" si="40"/>
        <v>0</v>
      </c>
      <c r="R61" s="215">
        <f t="shared" si="39"/>
        <v>18.17664285</v>
      </c>
      <c r="S61" s="214"/>
      <c r="T61" s="214"/>
      <c r="U61" s="215"/>
      <c r="V61" s="215"/>
      <c r="W61" s="215"/>
      <c r="X61" s="215"/>
      <c r="Y61" s="215"/>
      <c r="Z61" s="215"/>
      <c r="AA61" s="215"/>
      <c r="AB61" s="215"/>
      <c r="AC61" s="215"/>
      <c r="AD61" s="215"/>
      <c r="AE61" s="215">
        <f t="shared" si="41"/>
        <v>0</v>
      </c>
    </row>
    <row r="62" spans="2:31" ht="14.1" customHeight="1">
      <c r="B62" s="216" t="str">
        <f>IF(Indice_index!$Z$1=1,"Dividendos do Banco de Portugal","Dividends from the Bank of Portugal")</f>
        <v>Dividendos do Banco de Portugal</v>
      </c>
      <c r="C62" s="172" t="str">
        <f>IF(Indice_index!$Z$1=1,"Receita","Revenue")</f>
        <v>Receita</v>
      </c>
      <c r="D62" s="113" t="s">
        <v>24</v>
      </c>
      <c r="E62" s="214"/>
      <c r="F62" s="214"/>
      <c r="G62" s="215"/>
      <c r="H62" s="215"/>
      <c r="I62" s="215">
        <v>187.88644212</v>
      </c>
      <c r="J62" s="215"/>
      <c r="K62" s="215"/>
      <c r="L62" s="215"/>
      <c r="M62" s="215"/>
      <c r="N62" s="215"/>
      <c r="O62" s="215"/>
      <c r="P62" s="215"/>
      <c r="Q62" s="215">
        <f t="shared" si="40"/>
        <v>187.88644212</v>
      </c>
      <c r="R62" s="215">
        <f t="shared" si="39"/>
        <v>187.88644212</v>
      </c>
      <c r="S62" s="214"/>
      <c r="T62" s="214"/>
      <c r="U62" s="215"/>
      <c r="V62" s="215"/>
      <c r="W62" s="215"/>
      <c r="X62" s="215"/>
      <c r="Y62" s="215"/>
      <c r="Z62" s="215"/>
      <c r="AA62" s="215"/>
      <c r="AB62" s="215"/>
      <c r="AC62" s="215"/>
      <c r="AD62" s="215"/>
      <c r="AE62" s="215">
        <f t="shared" si="41"/>
        <v>0</v>
      </c>
    </row>
    <row r="63" spans="2:31" ht="14.1" customHeight="1">
      <c r="B63" s="216" t="str">
        <f>IF(Indice_index!$Z$1=1,"Dividendos da Caixa Geral de Depósitos","Dividends from the public bank Caixa Geral de Depósitos")</f>
        <v>Dividendos da Caixa Geral de Depósitos</v>
      </c>
      <c r="C63" s="172" t="str">
        <f>IF(Indice_index!$Z$1=1,"Receita","Revenue")</f>
        <v>Receita</v>
      </c>
      <c r="D63" s="113" t="s">
        <v>24</v>
      </c>
      <c r="E63" s="214"/>
      <c r="F63" s="214"/>
      <c r="G63" s="215"/>
      <c r="H63" s="215"/>
      <c r="I63" s="215"/>
      <c r="J63" s="215"/>
      <c r="K63" s="215"/>
      <c r="L63" s="215"/>
      <c r="M63" s="215">
        <v>201.99347491</v>
      </c>
      <c r="N63" s="215"/>
      <c r="O63" s="215"/>
      <c r="P63" s="215"/>
      <c r="Q63" s="215">
        <f t="shared" si="40"/>
        <v>201.99347491</v>
      </c>
      <c r="R63" s="215">
        <f t="shared" si="39"/>
        <v>201.99347491</v>
      </c>
      <c r="S63" s="214"/>
      <c r="T63" s="214"/>
      <c r="V63" s="215"/>
      <c r="W63" s="215"/>
      <c r="X63" s="215">
        <v>414.53429524000001</v>
      </c>
      <c r="Y63" s="215"/>
      <c r="Z63" s="215">
        <v>237</v>
      </c>
      <c r="AA63" s="215"/>
      <c r="AB63" s="215"/>
      <c r="AC63" s="215"/>
      <c r="AD63" s="215"/>
      <c r="AE63" s="215">
        <f t="shared" si="41"/>
        <v>651.53429524000001</v>
      </c>
    </row>
    <row r="64" spans="2:31" ht="24.6" customHeight="1">
      <c r="B64" s="171"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4" s="172" t="str">
        <f>IF(Indice_index!$Z$1=1,"Receita","Revenue")</f>
        <v>Receita</v>
      </c>
      <c r="D64" s="113" t="s">
        <v>24</v>
      </c>
      <c r="E64" s="214">
        <v>54.898975999999998</v>
      </c>
      <c r="F64" s="214"/>
      <c r="G64" s="215">
        <v>54.555999659999998</v>
      </c>
      <c r="H64" s="215"/>
      <c r="I64" s="215"/>
      <c r="J64" s="215"/>
      <c r="K64" s="215"/>
      <c r="L64" s="215"/>
      <c r="M64" s="215"/>
      <c r="N64" s="215"/>
      <c r="O64" s="215"/>
      <c r="P64" s="215"/>
      <c r="Q64" s="215">
        <f t="shared" si="40"/>
        <v>109.45497566</v>
      </c>
      <c r="R64" s="215">
        <f t="shared" si="39"/>
        <v>109.45497566</v>
      </c>
      <c r="S64" s="214">
        <v>49.004178000000003</v>
      </c>
      <c r="T64" s="214"/>
      <c r="U64" s="215">
        <v>84.298078329999996</v>
      </c>
      <c r="V64" s="215"/>
      <c r="W64" s="215"/>
      <c r="X64" s="215">
        <v>15.679863320000001</v>
      </c>
      <c r="Y64" s="215"/>
      <c r="Z64" s="215"/>
      <c r="AA64" s="215"/>
      <c r="AB64" s="215"/>
      <c r="AC64" s="215"/>
      <c r="AD64" s="215"/>
      <c r="AE64" s="215">
        <f t="shared" si="41"/>
        <v>148.98211965000002</v>
      </c>
    </row>
    <row r="65" spans="2:31" ht="14.1" customHeight="1">
      <c r="B65" s="171"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5" s="172" t="str">
        <f>IF(Indice_index!$Z$1=1,"Receita","Revenue")</f>
        <v>Receita</v>
      </c>
      <c r="D65" s="113" t="s">
        <v>24</v>
      </c>
      <c r="E65" s="214"/>
      <c r="F65" s="214"/>
      <c r="G65" s="215"/>
      <c r="H65" s="215"/>
      <c r="I65" s="215"/>
      <c r="J65" s="215"/>
      <c r="K65" s="215"/>
      <c r="L65" s="215"/>
      <c r="M65" s="215"/>
      <c r="N65" s="215"/>
      <c r="O65" s="215">
        <v>712.49581250000006</v>
      </c>
      <c r="P65" s="215"/>
      <c r="Q65" s="215">
        <f t="shared" si="40"/>
        <v>0</v>
      </c>
      <c r="R65" s="215">
        <f t="shared" ref="R65" si="42">SUM(E65:P65)</f>
        <v>712.49581250000006</v>
      </c>
      <c r="S65" s="214"/>
      <c r="T65" s="214"/>
      <c r="U65" s="215"/>
      <c r="V65" s="215"/>
      <c r="W65" s="215"/>
      <c r="X65" s="215"/>
      <c r="Y65" s="215">
        <v>200</v>
      </c>
      <c r="Z65" s="215">
        <v>8.3006661299999998</v>
      </c>
      <c r="AA65" s="215"/>
      <c r="AB65" s="215"/>
      <c r="AC65" s="215"/>
      <c r="AD65" s="215"/>
      <c r="AE65" s="215">
        <f t="shared" ref="AE65" si="43">SUM(S65:AD65)</f>
        <v>208.30066613</v>
      </c>
    </row>
    <row r="66" spans="2:31" ht="14.1" customHeight="1">
      <c r="B66" s="171" t="str">
        <f>IF(Indice_index!$Z$1=1,"Devolução ao Estado pela CGA do saldo da gerência de 2021 de receitas de impostos","Return to the State by CGA of the 2021 management balance of tax revenues")</f>
        <v>Devolução ao Estado pela CGA do saldo da gerência de 2021 de receitas de impostos</v>
      </c>
      <c r="C66" s="172" t="str">
        <f>IF(Indice_index!$Z$1=1,"Receita","Revenue")</f>
        <v>Receita</v>
      </c>
      <c r="D66" s="113" t="s">
        <v>24</v>
      </c>
      <c r="E66" s="214"/>
      <c r="F66" s="214"/>
      <c r="G66" s="215"/>
      <c r="H66" s="215"/>
      <c r="I66" s="215"/>
      <c r="J66" s="215"/>
      <c r="K66" s="215"/>
      <c r="L66" s="215"/>
      <c r="M66" s="215"/>
      <c r="N66" s="215"/>
      <c r="O66" s="215">
        <v>107.70333479</v>
      </c>
      <c r="P66" s="215"/>
      <c r="Q66" s="215">
        <f t="shared" si="40"/>
        <v>0</v>
      </c>
      <c r="R66" s="215">
        <f t="shared" si="39"/>
        <v>107.70333479</v>
      </c>
      <c r="S66" s="214"/>
      <c r="T66" s="214"/>
      <c r="U66" s="215"/>
      <c r="V66" s="215"/>
      <c r="W66" s="215"/>
      <c r="X66" s="215">
        <v>32.982836149999997</v>
      </c>
      <c r="Y66" s="215"/>
      <c r="Z66" s="215"/>
      <c r="AA66" s="215"/>
      <c r="AB66" s="215"/>
      <c r="AC66" s="215"/>
      <c r="AD66" s="215"/>
      <c r="AE66" s="215">
        <f t="shared" si="41"/>
        <v>32.982836149999997</v>
      </c>
    </row>
    <row r="67" spans="2:31" ht="24.6" customHeight="1">
      <c r="B67" s="171"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C67" s="172" t="str">
        <f>IF(Indice_index!$Z$1=1,"Receita","Revenue")</f>
        <v>Receita</v>
      </c>
      <c r="D67" s="113" t="s">
        <v>24</v>
      </c>
      <c r="E67" s="214"/>
      <c r="F67" s="214"/>
      <c r="G67" s="215">
        <v>9.7176109499999992</v>
      </c>
      <c r="H67" s="215"/>
      <c r="I67" s="215"/>
      <c r="J67" s="215">
        <v>0.87017562999999998</v>
      </c>
      <c r="K67" s="215"/>
      <c r="L67" s="215"/>
      <c r="M67" s="215"/>
      <c r="N67" s="215"/>
      <c r="O67" s="215"/>
      <c r="P67" s="215"/>
      <c r="Q67" s="215">
        <f t="shared" si="40"/>
        <v>10.58778658</v>
      </c>
      <c r="R67" s="215">
        <f t="shared" si="39"/>
        <v>10.58778658</v>
      </c>
      <c r="S67" s="214"/>
      <c r="T67" s="214"/>
      <c r="U67" s="215"/>
      <c r="V67" s="215"/>
      <c r="W67" s="215"/>
      <c r="X67" s="215"/>
      <c r="Y67" s="215"/>
      <c r="Z67" s="215"/>
      <c r="AA67" s="215"/>
      <c r="AB67" s="215"/>
      <c r="AC67" s="215"/>
      <c r="AD67" s="215"/>
      <c r="AE67" s="215">
        <f t="shared" si="41"/>
        <v>0</v>
      </c>
    </row>
    <row r="68" spans="2:31" ht="14.1" customHeight="1">
      <c r="B68" s="171" t="str">
        <f>IF(Indice_index!$Z$1=1,"Alienação de aeronaves à República da Roménia","Aircraft sales to the Republic of Romenia")</f>
        <v>Alienação de aeronaves à República da Roménia</v>
      </c>
      <c r="C68" s="172" t="str">
        <f>IF(Indice_index!$Z$1=1,"Receita","Revenue")</f>
        <v>Receita</v>
      </c>
      <c r="D68" s="113" t="s">
        <v>25</v>
      </c>
      <c r="E68" s="214"/>
      <c r="F68" s="214"/>
      <c r="G68" s="215">
        <v>2.0750000000000002</v>
      </c>
      <c r="H68" s="215"/>
      <c r="I68" s="215"/>
      <c r="J68" s="215"/>
      <c r="K68" s="215"/>
      <c r="L68" s="215"/>
      <c r="M68" s="215"/>
      <c r="N68" s="215"/>
      <c r="O68" s="215"/>
      <c r="P68" s="215"/>
      <c r="Q68" s="215">
        <f t="shared" si="40"/>
        <v>2.0750000000000002</v>
      </c>
      <c r="R68" s="215">
        <f>SUM(E68:P68)</f>
        <v>2.0750000000000002</v>
      </c>
      <c r="S68" s="214"/>
      <c r="T68" s="214"/>
      <c r="U68" s="215"/>
      <c r="V68" s="215">
        <v>2.9249999999999998</v>
      </c>
      <c r="W68" s="215"/>
      <c r="X68" s="215"/>
      <c r="Y68" s="215"/>
      <c r="Z68" s="215"/>
      <c r="AA68" s="215"/>
      <c r="AB68" s="215"/>
      <c r="AC68" s="215"/>
      <c r="AD68" s="215"/>
      <c r="AE68" s="215">
        <f>SUM(S68:AD68)</f>
        <v>2.9249999999999998</v>
      </c>
    </row>
    <row r="69" spans="2:31" ht="14.1" customHeight="1">
      <c r="B69" s="217"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69" s="218" t="str">
        <f>IF(Indice_index!$Z$1=1,"Receita","Revenue")</f>
        <v>Receita</v>
      </c>
      <c r="D69" s="218" t="s">
        <v>28</v>
      </c>
      <c r="E69" s="219"/>
      <c r="F69" s="219"/>
      <c r="G69" s="220">
        <v>3018.3403669999998</v>
      </c>
      <c r="H69" s="220"/>
      <c r="I69" s="220"/>
      <c r="J69" s="220"/>
      <c r="K69" s="220"/>
      <c r="L69" s="220"/>
      <c r="M69" s="220"/>
      <c r="N69" s="220"/>
      <c r="O69" s="220"/>
      <c r="P69" s="220"/>
      <c r="Q69" s="220">
        <f t="shared" si="40"/>
        <v>3018.3403669999998</v>
      </c>
      <c r="R69" s="220">
        <f t="shared" si="39"/>
        <v>3018.3403669999998</v>
      </c>
      <c r="S69" s="219"/>
      <c r="T69" s="219"/>
      <c r="U69" s="219"/>
      <c r="V69" s="220"/>
      <c r="W69" s="220"/>
      <c r="X69" s="220"/>
      <c r="Y69" s="220"/>
      <c r="Z69" s="220"/>
      <c r="AA69" s="220"/>
      <c r="AB69" s="220"/>
      <c r="AC69" s="220"/>
      <c r="AD69" s="220"/>
      <c r="AE69" s="220">
        <f t="shared" si="41"/>
        <v>0</v>
      </c>
    </row>
    <row r="70" spans="2:31" ht="24.6" customHeight="1">
      <c r="B70" s="171"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0" s="172" t="str">
        <f>IF(Indice_index!$Z$1=1,"Despesa","Expenditure")</f>
        <v>Despesa</v>
      </c>
      <c r="D70" s="113" t="s">
        <v>30</v>
      </c>
      <c r="E70" s="214"/>
      <c r="F70" s="214"/>
      <c r="G70" s="215"/>
      <c r="H70" s="215"/>
      <c r="I70" s="215"/>
      <c r="J70" s="215"/>
      <c r="K70" s="215"/>
      <c r="L70" s="215"/>
      <c r="M70" s="215"/>
      <c r="N70" s="215"/>
      <c r="O70" s="215"/>
      <c r="P70" s="215"/>
      <c r="Q70" s="215">
        <f>SUM(E70:M70)</f>
        <v>0</v>
      </c>
      <c r="R70" s="215">
        <f t="shared" ref="R70" si="44">SUM(E70:P70)</f>
        <v>0</v>
      </c>
      <c r="S70" s="214">
        <v>17.26070107</v>
      </c>
      <c r="T70" s="214"/>
      <c r="U70" s="215"/>
      <c r="V70" s="215"/>
      <c r="W70" s="215"/>
      <c r="X70" s="215"/>
      <c r="Y70" s="215"/>
      <c r="Z70" s="215"/>
      <c r="AA70" s="215"/>
      <c r="AB70" s="215"/>
      <c r="AC70" s="215"/>
      <c r="AD70" s="215"/>
      <c r="AE70" s="215">
        <f>SUM(S70:AD70)</f>
        <v>17.26070107</v>
      </c>
    </row>
    <row r="71" spans="2:31" ht="24.6" customHeight="1">
      <c r="B71" s="171"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1" s="172" t="str">
        <f>IF(Indice_index!$Z$1=1,"Despesa","Expenditure")</f>
        <v>Despesa</v>
      </c>
      <c r="D71" s="113" t="s">
        <v>31</v>
      </c>
      <c r="E71" s="214"/>
      <c r="F71" s="214"/>
      <c r="G71" s="215"/>
      <c r="H71" s="215"/>
      <c r="I71" s="215"/>
      <c r="J71" s="215"/>
      <c r="K71" s="215"/>
      <c r="L71" s="215"/>
      <c r="M71" s="215"/>
      <c r="N71" s="215"/>
      <c r="O71" s="215"/>
      <c r="P71" s="215">
        <v>1045.95859236</v>
      </c>
      <c r="Q71" s="215">
        <f t="shared" ref="Q71:Q81" si="45">SUM(E71:M71)</f>
        <v>0</v>
      </c>
      <c r="R71" s="215">
        <f t="shared" si="39"/>
        <v>1045.95859236</v>
      </c>
      <c r="S71" s="214"/>
      <c r="T71" s="214"/>
      <c r="U71" s="215"/>
      <c r="V71" s="215"/>
      <c r="W71" s="215"/>
      <c r="X71" s="215"/>
      <c r="Y71" s="215"/>
      <c r="Z71" s="215"/>
      <c r="AA71" s="215"/>
      <c r="AB71" s="215"/>
      <c r="AC71" s="215"/>
      <c r="AD71" s="215"/>
      <c r="AE71" s="215">
        <f t="shared" si="41"/>
        <v>0</v>
      </c>
    </row>
    <row r="72" spans="2:31" ht="33.75" customHeight="1">
      <c r="B72" s="171" t="str">
        <f>IF(Indice_index!$Z$1=1,B132,B133)</f>
        <v>Transferências correntes – excedente para compensar as freguesias dos montantes mínimos das transferências financeiras realizadas ao abrigo da Lei de Finanças Locais - artigo 38.º da Lei n.º 73/2013, de 3 de setembro, na redação atual</v>
      </c>
      <c r="C72" s="172" t="str">
        <f>IF(Indice_index!$Z$1=1,"Despesa","Expenditure")</f>
        <v>Despesa</v>
      </c>
      <c r="D72" s="33" t="s">
        <v>34</v>
      </c>
      <c r="E72" s="214">
        <v>16.357583999999999</v>
      </c>
      <c r="F72" s="214"/>
      <c r="G72" s="214"/>
      <c r="H72" s="214">
        <v>16.357583999999999</v>
      </c>
      <c r="I72" s="214"/>
      <c r="J72" s="214"/>
      <c r="K72" s="214">
        <v>16.357584000000003</v>
      </c>
      <c r="L72" s="214"/>
      <c r="M72" s="214"/>
      <c r="N72" s="214">
        <v>16.363766000000005</v>
      </c>
      <c r="O72" s="214"/>
      <c r="P72" s="214"/>
      <c r="Q72" s="215">
        <f t="shared" si="45"/>
        <v>49.072752000000001</v>
      </c>
      <c r="R72" s="215">
        <f t="shared" si="39"/>
        <v>65.436518000000007</v>
      </c>
      <c r="S72" s="214">
        <v>9.3333879999999994</v>
      </c>
      <c r="T72" s="214">
        <v>9.3333879999999994</v>
      </c>
      <c r="U72" s="215">
        <v>9.3333879999999994</v>
      </c>
      <c r="V72" s="215">
        <v>9.3333879999999994</v>
      </c>
      <c r="W72" s="215">
        <v>9.3333879999999994</v>
      </c>
      <c r="X72" s="215">
        <v>9.3333879999999994</v>
      </c>
      <c r="Y72" s="215">
        <v>9.3333879999999994</v>
      </c>
      <c r="Z72" s="215">
        <f>9333388/10^6</f>
        <v>9.3333879999999994</v>
      </c>
      <c r="AA72" s="215">
        <f>9333388/10^6</f>
        <v>9.3333879999999994</v>
      </c>
      <c r="AB72" s="215"/>
      <c r="AC72" s="215"/>
      <c r="AD72" s="215"/>
      <c r="AE72" s="215">
        <f t="shared" si="41"/>
        <v>84.000491999999994</v>
      </c>
    </row>
    <row r="73" spans="2:31" ht="34.35" customHeight="1">
      <c r="B73" s="171"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C73" s="172" t="str">
        <f>IF(Indice_index!$Z$1=1,"Despesa","Expenditure")</f>
        <v>Despesa</v>
      </c>
      <c r="D73" s="33" t="s">
        <v>35</v>
      </c>
      <c r="E73" s="214"/>
      <c r="F73" s="214">
        <v>4.16</v>
      </c>
      <c r="G73" s="214"/>
      <c r="H73" s="214"/>
      <c r="I73" s="214"/>
      <c r="J73" s="214"/>
      <c r="K73" s="214"/>
      <c r="L73" s="214"/>
      <c r="M73" s="214"/>
      <c r="N73" s="214"/>
      <c r="O73" s="214"/>
      <c r="P73" s="214"/>
      <c r="Q73" s="215">
        <f t="shared" si="45"/>
        <v>4.16</v>
      </c>
      <c r="R73" s="215">
        <f t="shared" si="39"/>
        <v>4.16</v>
      </c>
      <c r="S73" s="214"/>
      <c r="T73" s="214"/>
      <c r="U73" s="215"/>
      <c r="V73" s="215"/>
      <c r="W73" s="215"/>
      <c r="X73" s="215"/>
      <c r="Y73" s="215"/>
      <c r="Z73" s="215"/>
      <c r="AA73" s="215"/>
      <c r="AB73" s="215"/>
      <c r="AC73" s="215"/>
      <c r="AD73" s="215"/>
      <c r="AE73" s="215">
        <f t="shared" si="41"/>
        <v>0</v>
      </c>
    </row>
    <row r="74" spans="2:31" ht="24" customHeight="1">
      <c r="B74" s="171"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4" s="172" t="str">
        <f>IF(Indice_index!$Z$1=1,"Despesa","Expenditure")</f>
        <v>Despesa</v>
      </c>
      <c r="D74" s="33" t="s">
        <v>35</v>
      </c>
      <c r="E74" s="214"/>
      <c r="F74" s="214"/>
      <c r="G74" s="214"/>
      <c r="H74" s="214"/>
      <c r="I74" s="214"/>
      <c r="J74" s="214">
        <v>150.13425899999999</v>
      </c>
      <c r="K74" s="214"/>
      <c r="L74" s="214"/>
      <c r="M74" s="214"/>
      <c r="N74" s="214"/>
      <c r="O74" s="214"/>
      <c r="P74" s="214">
        <v>285.87614400000001</v>
      </c>
      <c r="Q74" s="215">
        <f t="shared" si="45"/>
        <v>150.13425899999999</v>
      </c>
      <c r="R74" s="215">
        <f>SUM(E74:P74)</f>
        <v>436.010403</v>
      </c>
      <c r="S74" s="214"/>
      <c r="T74" s="214"/>
      <c r="U74" s="215"/>
      <c r="V74" s="215"/>
      <c r="W74" s="215"/>
      <c r="X74" s="215"/>
      <c r="Y74" s="215"/>
      <c r="Z74" s="215"/>
      <c r="AA74" s="215"/>
      <c r="AB74" s="215"/>
      <c r="AC74" s="215"/>
      <c r="AD74" s="215"/>
      <c r="AE74" s="215">
        <f t="shared" ref="AE74:AE79" si="46">SUM(S74:AD74)</f>
        <v>0</v>
      </c>
    </row>
    <row r="75" spans="2:31" ht="24" customHeight="1">
      <c r="B75" s="171"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5" s="172" t="str">
        <f>IF(Indice_index!$Z$1=1,"Despesa","Expenditure")</f>
        <v>Despesa</v>
      </c>
      <c r="D75" s="33" t="s">
        <v>35</v>
      </c>
      <c r="E75" s="214"/>
      <c r="F75" s="214"/>
      <c r="G75" s="214"/>
      <c r="H75" s="214"/>
      <c r="I75" s="214"/>
      <c r="J75" s="214"/>
      <c r="K75" s="214"/>
      <c r="L75" s="214"/>
      <c r="M75" s="214"/>
      <c r="N75" s="214"/>
      <c r="O75" s="214"/>
      <c r="P75" s="214"/>
      <c r="Q75" s="215">
        <f t="shared" si="45"/>
        <v>0</v>
      </c>
      <c r="R75" s="215">
        <f>SUM(E75:P75)</f>
        <v>0</v>
      </c>
      <c r="S75" s="214">
        <v>165.2</v>
      </c>
      <c r="T75" s="214"/>
      <c r="U75" s="215"/>
      <c r="V75" s="215"/>
      <c r="W75" s="215"/>
      <c r="X75" s="215"/>
      <c r="Y75" s="215"/>
      <c r="Z75" s="215"/>
      <c r="AA75" s="215"/>
      <c r="AB75" s="215"/>
      <c r="AC75" s="215"/>
      <c r="AD75" s="215"/>
      <c r="AE75" s="215">
        <f t="shared" si="46"/>
        <v>165.2</v>
      </c>
    </row>
    <row r="76" spans="2:31" ht="24" customHeight="1">
      <c r="B76" s="171"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76" s="172" t="str">
        <f>IF(Indice_index!$Z$1=1,"Despesa","Expenditure")</f>
        <v>Despesa</v>
      </c>
      <c r="D76" s="33" t="s">
        <v>35</v>
      </c>
      <c r="E76" s="214"/>
      <c r="F76" s="214"/>
      <c r="G76" s="214"/>
      <c r="H76" s="214"/>
      <c r="I76" s="214"/>
      <c r="J76" s="214"/>
      <c r="K76" s="214"/>
      <c r="L76" s="214"/>
      <c r="M76" s="214"/>
      <c r="N76" s="214"/>
      <c r="O76" s="214"/>
      <c r="P76" s="214"/>
      <c r="Q76" s="215">
        <f t="shared" si="45"/>
        <v>0</v>
      </c>
      <c r="R76" s="215">
        <f>SUM(E76:P76)</f>
        <v>0</v>
      </c>
      <c r="S76" s="214"/>
      <c r="T76" s="214"/>
      <c r="U76" s="215">
        <v>227.63172900000001</v>
      </c>
      <c r="V76" s="215"/>
      <c r="W76" s="215"/>
      <c r="X76" s="215"/>
      <c r="Y76" s="215"/>
      <c r="Z76" s="215"/>
      <c r="AA76" s="215"/>
      <c r="AB76" s="215"/>
      <c r="AC76" s="215"/>
      <c r="AD76" s="215"/>
      <c r="AE76" s="215">
        <f t="shared" si="46"/>
        <v>227.63172900000001</v>
      </c>
    </row>
    <row r="77" spans="2:31" ht="33.75" customHeight="1">
      <c r="B77" s="171" t="s">
        <v>612</v>
      </c>
      <c r="C77" s="172" t="str">
        <f>IF(Indice_index!$Z$1=1,"Despesa","Expenditure")</f>
        <v>Despesa</v>
      </c>
      <c r="D77" s="33" t="s">
        <v>36</v>
      </c>
      <c r="E77" s="214"/>
      <c r="F77" s="214"/>
      <c r="G77" s="214"/>
      <c r="H77" s="214"/>
      <c r="I77" s="214"/>
      <c r="J77" s="214"/>
      <c r="K77" s="214"/>
      <c r="L77" s="214"/>
      <c r="M77" s="214"/>
      <c r="N77" s="214"/>
      <c r="O77" s="214"/>
      <c r="P77" s="214"/>
      <c r="Q77" s="215">
        <f t="shared" si="45"/>
        <v>0</v>
      </c>
      <c r="R77" s="215">
        <f>SUM(E77:P77)</f>
        <v>0</v>
      </c>
      <c r="S77" s="214"/>
      <c r="T77" s="214"/>
      <c r="U77" s="215">
        <v>44.875</v>
      </c>
      <c r="V77" s="215"/>
      <c r="W77" s="215"/>
      <c r="X77" s="215"/>
      <c r="Y77" s="215">
        <f>-44.875</f>
        <v>-44.875</v>
      </c>
      <c r="Z77" s="215"/>
      <c r="AA77" s="215"/>
      <c r="AB77" s="215"/>
      <c r="AC77" s="215"/>
      <c r="AD77" s="215"/>
      <c r="AE77" s="215">
        <f t="shared" si="46"/>
        <v>0</v>
      </c>
    </row>
    <row r="78" spans="2:31" ht="14.1" customHeight="1">
      <c r="B78" s="171" t="str">
        <f>IF(Indice_index!$Z$1=1,"Pagamento de decisão judicial à concessionária RAL","Payment of court decision to the RAL concessionaire")</f>
        <v>Pagamento de decisão judicial à concessionária RAL</v>
      </c>
      <c r="C78" s="172" t="str">
        <f>IF(Indice_index!$Z$1=1,"Despesa","Expenditure")</f>
        <v>Despesa</v>
      </c>
      <c r="D78" s="33" t="s">
        <v>38</v>
      </c>
      <c r="E78" s="214"/>
      <c r="F78" s="214">
        <v>1.55325132</v>
      </c>
      <c r="G78" s="214">
        <v>3.10650264</v>
      </c>
      <c r="H78" s="214">
        <v>1.55325132</v>
      </c>
      <c r="I78" s="214">
        <v>3.10650264</v>
      </c>
      <c r="J78" s="214"/>
      <c r="K78" s="214">
        <v>1.55</v>
      </c>
      <c r="L78" s="214">
        <v>1.55</v>
      </c>
      <c r="M78" s="214"/>
      <c r="N78" s="214">
        <v>3.1065026400000004</v>
      </c>
      <c r="O78" s="214">
        <v>1.5931080699999984</v>
      </c>
      <c r="P78" s="214">
        <v>1.5532513200000002</v>
      </c>
      <c r="Q78" s="215">
        <f t="shared" si="45"/>
        <v>12.419507920000001</v>
      </c>
      <c r="R78" s="215">
        <f t="shared" si="39"/>
        <v>18.67236995</v>
      </c>
      <c r="S78" s="214"/>
      <c r="T78" s="214">
        <v>3.10650264</v>
      </c>
      <c r="U78" s="214">
        <v>1.55325132</v>
      </c>
      <c r="V78" s="214">
        <v>1.55325132</v>
      </c>
      <c r="W78" s="215">
        <v>3.1065026399999995</v>
      </c>
      <c r="X78" s="215"/>
      <c r="Y78" s="214">
        <v>1.55325132</v>
      </c>
      <c r="Z78" s="215">
        <v>1.5532513200000002</v>
      </c>
      <c r="AA78" s="215">
        <v>1.5532513200000002</v>
      </c>
      <c r="AB78" s="215"/>
      <c r="AC78" s="215"/>
      <c r="AD78" s="215"/>
      <c r="AE78" s="215">
        <f t="shared" si="46"/>
        <v>13.979261879999999</v>
      </c>
    </row>
    <row r="79" spans="2:31" ht="34.35" customHeight="1">
      <c r="B79" s="171" t="str">
        <f>IF(Indice_index!$Z$1=1,B142,B143)</f>
        <v>Transferências de capital - excedente para compensar os municípios dos montantes mínimos das transferências financeiras realizadas ao abrigo da Lei de Finanças Locais - artigo 35.º da Lei n.º 73/2013, de 3 de setembro, na redação atual</v>
      </c>
      <c r="C79" s="172" t="str">
        <f>IF(Indice_index!$Z$1=1,"Despesa","Expenditure")</f>
        <v>Despesa</v>
      </c>
      <c r="D79" s="33" t="s">
        <v>40</v>
      </c>
      <c r="E79" s="214">
        <v>15.699769</v>
      </c>
      <c r="F79" s="214">
        <v>15.680638999999999</v>
      </c>
      <c r="G79" s="214">
        <v>15.699769</v>
      </c>
      <c r="H79" s="214">
        <v>15.699769000000003</v>
      </c>
      <c r="I79" s="214">
        <v>15.699768999999996</v>
      </c>
      <c r="J79" s="214">
        <v>15.699769000000003</v>
      </c>
      <c r="K79" s="214">
        <v>15.699769000000003</v>
      </c>
      <c r="L79" s="214">
        <v>15.699769000000003</v>
      </c>
      <c r="M79" s="214">
        <v>15.699769000000018</v>
      </c>
      <c r="N79" s="214">
        <v>15.699768999999975</v>
      </c>
      <c r="O79" s="214">
        <v>15.699769000000003</v>
      </c>
      <c r="P79" s="214">
        <v>15.68392252000001</v>
      </c>
      <c r="Q79" s="215">
        <f t="shared" si="45"/>
        <v>141.27879100000001</v>
      </c>
      <c r="R79" s="215">
        <f t="shared" si="39"/>
        <v>188.36225152</v>
      </c>
      <c r="S79" s="214">
        <v>26.839382000000001</v>
      </c>
      <c r="T79" s="214">
        <v>26.839382000000001</v>
      </c>
      <c r="U79" s="215">
        <v>26.794381999999999</v>
      </c>
      <c r="V79" s="215">
        <v>26.825882</v>
      </c>
      <c r="W79" s="215">
        <v>26.839382000000001</v>
      </c>
      <c r="X79" s="215">
        <v>26.839382000000001</v>
      </c>
      <c r="Y79" s="215">
        <v>26.839382000000001</v>
      </c>
      <c r="Z79" s="215">
        <f>26839382/10^6</f>
        <v>26.839382000000001</v>
      </c>
      <c r="AA79" s="215">
        <f>26839382/10^6</f>
        <v>26.839382000000001</v>
      </c>
      <c r="AB79" s="215"/>
      <c r="AC79" s="215"/>
      <c r="AD79" s="215"/>
      <c r="AE79" s="215">
        <f t="shared" si="46"/>
        <v>241.495938</v>
      </c>
    </row>
    <row r="80" spans="2:31" ht="14.1" customHeight="1">
      <c r="B80" s="171"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0" s="172" t="str">
        <f>IF(Indice_index!$Z$1=1,"Despesa","Expenditure")</f>
        <v>Despesa</v>
      </c>
      <c r="D80" s="33" t="s">
        <v>35</v>
      </c>
      <c r="E80" s="214"/>
      <c r="F80" s="214"/>
      <c r="G80" s="214"/>
      <c r="H80" s="214"/>
      <c r="I80" s="214"/>
      <c r="J80" s="214"/>
      <c r="K80" s="214"/>
      <c r="L80" s="214"/>
      <c r="M80" s="214"/>
      <c r="N80" s="214"/>
      <c r="O80" s="214"/>
      <c r="P80" s="214">
        <v>66.337739240000005</v>
      </c>
      <c r="Q80" s="215">
        <f t="shared" si="45"/>
        <v>0</v>
      </c>
      <c r="R80" s="215">
        <f t="shared" si="39"/>
        <v>66.337739240000005</v>
      </c>
      <c r="S80" s="214"/>
      <c r="T80" s="214"/>
      <c r="U80" s="214"/>
      <c r="V80" s="215"/>
      <c r="W80" s="215"/>
      <c r="X80" s="215"/>
      <c r="Y80" s="215"/>
      <c r="Z80" s="215"/>
      <c r="AA80" s="215"/>
      <c r="AB80" s="215"/>
      <c r="AC80" s="215"/>
      <c r="AD80" s="215"/>
      <c r="AE80" s="215">
        <f t="shared" si="41"/>
        <v>0</v>
      </c>
    </row>
    <row r="81" spans="2:31" ht="14.1" customHeight="1">
      <c r="B81" s="217"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1" s="225" t="str">
        <f>IF(Indice_index!$Z$1=1,"Despesa","Expenditure")</f>
        <v>Despesa</v>
      </c>
      <c r="D81" s="226" t="s">
        <v>41</v>
      </c>
      <c r="E81" s="219"/>
      <c r="F81" s="219"/>
      <c r="G81" s="219"/>
      <c r="H81" s="219"/>
      <c r="I81" s="219"/>
      <c r="J81" s="219">
        <v>118.47624568000001</v>
      </c>
      <c r="K81" s="219">
        <v>7.332662999999684E-2</v>
      </c>
      <c r="L81" s="219"/>
      <c r="M81" s="219"/>
      <c r="N81" s="219"/>
      <c r="O81" s="219"/>
      <c r="P81" s="219"/>
      <c r="Q81" s="220">
        <f t="shared" si="45"/>
        <v>118.54957231</v>
      </c>
      <c r="R81" s="220">
        <f>SUM(E81:P81)</f>
        <v>118.54957231</v>
      </c>
      <c r="S81" s="219"/>
      <c r="T81" s="219"/>
      <c r="U81" s="219"/>
      <c r="V81" s="220"/>
      <c r="W81" s="220"/>
      <c r="X81" s="220">
        <v>0.29130911999999998</v>
      </c>
      <c r="Y81" s="220"/>
      <c r="Z81" s="220"/>
      <c r="AA81" s="220"/>
      <c r="AB81" s="220"/>
      <c r="AC81" s="220"/>
      <c r="AD81" s="220"/>
      <c r="AE81" s="220">
        <f>SUM(S81:AD81)</f>
        <v>0.29130911999999998</v>
      </c>
    </row>
    <row r="82" spans="2:31" ht="6.6" customHeight="1">
      <c r="B82" s="171"/>
      <c r="C82" s="172"/>
      <c r="D82" s="33"/>
      <c r="E82" s="33"/>
      <c r="F82" s="33"/>
      <c r="G82" s="33"/>
      <c r="H82" s="33"/>
      <c r="I82" s="33"/>
      <c r="J82" s="33"/>
      <c r="K82" s="33"/>
      <c r="L82" s="33"/>
      <c r="M82" s="33"/>
      <c r="N82" s="33"/>
      <c r="O82" s="33"/>
      <c r="P82" s="33"/>
      <c r="S82" s="33"/>
      <c r="T82" s="33"/>
    </row>
    <row r="83" spans="2:31" ht="24" customHeight="1">
      <c r="B83" s="443" t="str">
        <f>IF(Indice_index!$Z$1=1,B148,B149)</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43"/>
      <c r="AC83" s="443"/>
      <c r="AD83" s="443"/>
      <c r="AE83" s="443"/>
    </row>
    <row r="84" spans="2:31" ht="15">
      <c r="B84" s="173" t="str">
        <f>IF(Indice_index!$Z$1=1,"Notas:","Notes:")</f>
        <v>Notas:</v>
      </c>
      <c r="C84" s="173"/>
      <c r="D84" s="174"/>
      <c r="E84" s="173"/>
      <c r="F84" s="173"/>
      <c r="G84" s="121"/>
      <c r="H84" s="121"/>
      <c r="I84" s="121"/>
      <c r="J84" s="121"/>
      <c r="K84" s="121"/>
      <c r="L84" s="121"/>
      <c r="M84" s="121"/>
      <c r="N84" s="121"/>
      <c r="O84" s="121"/>
      <c r="P84" s="121"/>
      <c r="Q84" s="121"/>
      <c r="R84" s="121"/>
      <c r="S84" s="173"/>
      <c r="T84" s="173"/>
      <c r="U84" s="121"/>
      <c r="V84" s="121"/>
      <c r="W84" s="121"/>
      <c r="X84" s="121"/>
      <c r="Y84" s="121"/>
      <c r="Z84" s="121"/>
      <c r="AA84" s="121"/>
      <c r="AB84" s="121"/>
      <c r="AC84" s="121"/>
      <c r="AD84" s="121"/>
      <c r="AE84" s="121"/>
    </row>
    <row r="85" spans="2:31" ht="15">
      <c r="B85" s="173"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5" s="121"/>
      <c r="D85" s="175"/>
      <c r="E85" s="121"/>
      <c r="F85" s="121"/>
      <c r="G85" s="121"/>
      <c r="I85" s="121"/>
      <c r="J85" s="121"/>
      <c r="K85" s="121"/>
      <c r="L85" s="121"/>
      <c r="M85" s="121"/>
      <c r="N85" s="121"/>
      <c r="O85" s="121"/>
      <c r="P85" s="121"/>
      <c r="R85" s="121"/>
      <c r="S85" s="121"/>
      <c r="T85" s="121"/>
      <c r="U85" s="121"/>
      <c r="W85" s="121"/>
      <c r="X85" s="121"/>
      <c r="Y85" s="121"/>
      <c r="Z85" s="121"/>
      <c r="AA85" s="121"/>
      <c r="AB85" s="121"/>
      <c r="AC85" s="121"/>
      <c r="AD85" s="121"/>
      <c r="AE85" s="121"/>
    </row>
    <row r="86" spans="2:31" ht="15">
      <c r="B86" s="176"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86" s="121"/>
      <c r="D86" s="175"/>
      <c r="E86" s="121"/>
      <c r="F86" s="121"/>
      <c r="G86" s="121"/>
      <c r="H86" s="121"/>
      <c r="I86" s="121"/>
      <c r="J86" s="121"/>
      <c r="K86" s="121"/>
      <c r="L86" s="121"/>
      <c r="M86" s="121"/>
      <c r="O86" s="121"/>
      <c r="P86" s="121"/>
      <c r="R86" s="177"/>
      <c r="S86" s="121"/>
      <c r="T86" s="121"/>
      <c r="U86" s="121"/>
      <c r="V86" s="121"/>
      <c r="W86" s="121"/>
      <c r="X86" s="121"/>
      <c r="Y86" s="205"/>
      <c r="Z86" s="205"/>
      <c r="AA86" s="205"/>
      <c r="AB86" s="205"/>
      <c r="AC86" s="205"/>
      <c r="AD86" s="205"/>
      <c r="AE86" s="205"/>
    </row>
    <row r="87" spans="2:31" ht="15">
      <c r="B87" s="176"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87" s="121"/>
      <c r="D87" s="175"/>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E87" s="121"/>
    </row>
    <row r="88" spans="2:31" ht="15">
      <c r="B88" s="162" t="str">
        <f>IF(Indice_index!$Z$1=1,"Fonte: Direção-Geral do Orçamento.","Source: Budget General Directorate.")</f>
        <v>Fonte: Direção-Geral do Orçamento.</v>
      </c>
      <c r="C88" s="121"/>
      <c r="D88" s="175"/>
      <c r="E88" s="121"/>
      <c r="F88" s="121"/>
      <c r="G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row>
    <row r="89" spans="2:31" ht="15">
      <c r="B89" s="162"/>
      <c r="C89" s="163"/>
      <c r="D89" s="164"/>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row>
    <row r="90" spans="2:31" ht="15" hidden="1">
      <c r="B90" s="123"/>
      <c r="C90" s="124"/>
      <c r="D90" s="125"/>
      <c r="E90" s="126">
        <f t="shared" ref="E90:AE90" si="47">+E43-E53</f>
        <v>0</v>
      </c>
      <c r="F90" s="126">
        <f t="shared" si="47"/>
        <v>0</v>
      </c>
      <c r="G90" s="126">
        <f t="shared" si="47"/>
        <v>0</v>
      </c>
      <c r="H90" s="126">
        <f t="shared" si="47"/>
        <v>0</v>
      </c>
      <c r="I90" s="126">
        <f t="shared" si="47"/>
        <v>0</v>
      </c>
      <c r="J90" s="126">
        <f t="shared" si="47"/>
        <v>0</v>
      </c>
      <c r="K90" s="126">
        <f t="shared" si="47"/>
        <v>0</v>
      </c>
      <c r="L90" s="126">
        <f t="shared" si="47"/>
        <v>0</v>
      </c>
      <c r="M90" s="126">
        <f t="shared" si="47"/>
        <v>0</v>
      </c>
      <c r="N90" s="126">
        <f t="shared" si="47"/>
        <v>0</v>
      </c>
      <c r="O90" s="126">
        <f t="shared" si="47"/>
        <v>0</v>
      </c>
      <c r="P90" s="126">
        <f t="shared" si="47"/>
        <v>0</v>
      </c>
      <c r="Q90" s="126">
        <f t="shared" si="47"/>
        <v>0</v>
      </c>
      <c r="R90" s="126">
        <f t="shared" si="47"/>
        <v>0</v>
      </c>
      <c r="S90" s="126">
        <f t="shared" si="47"/>
        <v>0</v>
      </c>
      <c r="T90" s="126">
        <f t="shared" si="47"/>
        <v>0</v>
      </c>
      <c r="U90" s="126">
        <f t="shared" si="47"/>
        <v>0</v>
      </c>
      <c r="V90" s="126">
        <f t="shared" si="47"/>
        <v>0</v>
      </c>
      <c r="W90" s="126">
        <f t="shared" si="47"/>
        <v>0</v>
      </c>
      <c r="X90" s="126">
        <f t="shared" si="47"/>
        <v>0</v>
      </c>
      <c r="Y90" s="126">
        <f t="shared" si="47"/>
        <v>0</v>
      </c>
      <c r="Z90" s="126">
        <f t="shared" si="47"/>
        <v>0</v>
      </c>
      <c r="AA90" s="126">
        <f t="shared" si="47"/>
        <v>0</v>
      </c>
      <c r="AB90" s="126">
        <f t="shared" si="47"/>
        <v>0</v>
      </c>
      <c r="AC90" s="126">
        <f t="shared" si="47"/>
        <v>0</v>
      </c>
      <c r="AD90" s="126">
        <f t="shared" si="47"/>
        <v>0</v>
      </c>
      <c r="AE90" s="126">
        <f t="shared" si="47"/>
        <v>0</v>
      </c>
    </row>
    <row r="91" spans="2:31" ht="15" hidden="1">
      <c r="B91" s="123"/>
      <c r="C91" s="123"/>
      <c r="D91" s="127"/>
      <c r="E91" s="123">
        <f t="shared" ref="E91:AE91" si="48">SUM(E54:E69)-SUM(E71:E80)-E43</f>
        <v>0</v>
      </c>
      <c r="F91" s="123">
        <f t="shared" si="48"/>
        <v>0</v>
      </c>
      <c r="G91" s="123">
        <f t="shared" si="48"/>
        <v>0</v>
      </c>
      <c r="H91" s="123">
        <f t="shared" si="48"/>
        <v>0</v>
      </c>
      <c r="I91" s="123">
        <f t="shared" si="48"/>
        <v>0</v>
      </c>
      <c r="J91" s="123">
        <f t="shared" si="48"/>
        <v>0</v>
      </c>
      <c r="K91" s="123">
        <f t="shared" si="48"/>
        <v>0</v>
      </c>
      <c r="L91" s="123">
        <f t="shared" si="48"/>
        <v>0</v>
      </c>
      <c r="M91" s="123">
        <f t="shared" si="48"/>
        <v>0</v>
      </c>
      <c r="N91" s="123">
        <f t="shared" si="48"/>
        <v>0</v>
      </c>
      <c r="O91" s="123">
        <f t="shared" si="48"/>
        <v>0</v>
      </c>
      <c r="P91" s="123">
        <f t="shared" si="48"/>
        <v>0</v>
      </c>
      <c r="Q91" s="123">
        <f t="shared" si="48"/>
        <v>0</v>
      </c>
      <c r="R91" s="123">
        <f t="shared" si="48"/>
        <v>0</v>
      </c>
      <c r="S91" s="123">
        <f t="shared" si="48"/>
        <v>17.260701069999982</v>
      </c>
      <c r="T91" s="123">
        <f t="shared" si="48"/>
        <v>0</v>
      </c>
      <c r="U91" s="123">
        <f t="shared" si="48"/>
        <v>0</v>
      </c>
      <c r="V91" s="123">
        <f t="shared" si="48"/>
        <v>0</v>
      </c>
      <c r="W91" s="123">
        <f t="shared" si="48"/>
        <v>0</v>
      </c>
      <c r="X91" s="123">
        <f t="shared" si="48"/>
        <v>0</v>
      </c>
      <c r="Y91" s="123">
        <f t="shared" si="48"/>
        <v>0</v>
      </c>
      <c r="Z91" s="123">
        <f t="shared" si="48"/>
        <v>0</v>
      </c>
      <c r="AA91" s="123">
        <f t="shared" si="48"/>
        <v>0</v>
      </c>
      <c r="AB91" s="123">
        <f t="shared" si="48"/>
        <v>0</v>
      </c>
      <c r="AC91" s="123">
        <f t="shared" si="48"/>
        <v>0</v>
      </c>
      <c r="AD91" s="123">
        <f t="shared" si="48"/>
        <v>0</v>
      </c>
      <c r="AE91" s="123">
        <f t="shared" si="48"/>
        <v>17.260701070000209</v>
      </c>
    </row>
    <row r="92" spans="2:31" ht="15" hidden="1">
      <c r="B92" s="128"/>
      <c r="C92" s="128"/>
      <c r="D92" s="129"/>
      <c r="E92" s="123">
        <f t="shared" ref="E92:AE92" si="49">SUM(E54:E69)-E26</f>
        <v>0</v>
      </c>
      <c r="F92" s="123">
        <f t="shared" si="49"/>
        <v>0</v>
      </c>
      <c r="G92" s="123">
        <f t="shared" si="49"/>
        <v>0</v>
      </c>
      <c r="H92" s="123">
        <f t="shared" si="49"/>
        <v>0</v>
      </c>
      <c r="I92" s="123">
        <f t="shared" si="49"/>
        <v>0</v>
      </c>
      <c r="J92" s="123">
        <f t="shared" si="49"/>
        <v>0</v>
      </c>
      <c r="K92" s="123">
        <f t="shared" si="49"/>
        <v>0</v>
      </c>
      <c r="L92" s="123">
        <f t="shared" si="49"/>
        <v>0</v>
      </c>
      <c r="M92" s="123">
        <f t="shared" si="49"/>
        <v>0</v>
      </c>
      <c r="N92" s="123">
        <f t="shared" si="49"/>
        <v>0</v>
      </c>
      <c r="O92" s="123">
        <f t="shared" si="49"/>
        <v>0</v>
      </c>
      <c r="P92" s="123">
        <f t="shared" si="49"/>
        <v>0</v>
      </c>
      <c r="Q92" s="123">
        <f t="shared" si="49"/>
        <v>0</v>
      </c>
      <c r="R92" s="123">
        <f t="shared" si="49"/>
        <v>0</v>
      </c>
      <c r="S92" s="123">
        <f t="shared" si="49"/>
        <v>0</v>
      </c>
      <c r="T92" s="123">
        <f t="shared" si="49"/>
        <v>0</v>
      </c>
      <c r="U92" s="123">
        <f t="shared" si="49"/>
        <v>0</v>
      </c>
      <c r="V92" s="123">
        <f t="shared" si="49"/>
        <v>0</v>
      </c>
      <c r="W92" s="123">
        <f t="shared" si="49"/>
        <v>0</v>
      </c>
      <c r="X92" s="123">
        <f t="shared" si="49"/>
        <v>0</v>
      </c>
      <c r="Y92" s="123">
        <f t="shared" si="49"/>
        <v>0</v>
      </c>
      <c r="Z92" s="123">
        <f t="shared" si="49"/>
        <v>0</v>
      </c>
      <c r="AA92" s="123">
        <f t="shared" si="49"/>
        <v>0</v>
      </c>
      <c r="AB92" s="123">
        <f t="shared" si="49"/>
        <v>0</v>
      </c>
      <c r="AC92" s="123">
        <f t="shared" si="49"/>
        <v>0</v>
      </c>
      <c r="AD92" s="123">
        <f t="shared" si="49"/>
        <v>0</v>
      </c>
      <c r="AE92" s="123">
        <f t="shared" si="49"/>
        <v>0</v>
      </c>
    </row>
    <row r="93" spans="2:31" ht="15" hidden="1">
      <c r="B93" s="128"/>
      <c r="C93" s="128"/>
      <c r="D93" s="129"/>
      <c r="E93" s="123">
        <f t="shared" ref="E93:AE93" si="50">SUM(E71:E80)-E42</f>
        <v>0</v>
      </c>
      <c r="F93" s="123">
        <f t="shared" si="50"/>
        <v>0</v>
      </c>
      <c r="G93" s="123">
        <f t="shared" si="50"/>
        <v>0</v>
      </c>
      <c r="H93" s="123">
        <f t="shared" si="50"/>
        <v>0</v>
      </c>
      <c r="I93" s="123">
        <f t="shared" si="50"/>
        <v>0</v>
      </c>
      <c r="J93" s="123">
        <f t="shared" si="50"/>
        <v>0</v>
      </c>
      <c r="K93" s="123">
        <f t="shared" si="50"/>
        <v>0</v>
      </c>
      <c r="L93" s="123">
        <f t="shared" si="50"/>
        <v>0</v>
      </c>
      <c r="M93" s="123">
        <f t="shared" si="50"/>
        <v>0</v>
      </c>
      <c r="N93" s="123">
        <f t="shared" si="50"/>
        <v>0</v>
      </c>
      <c r="O93" s="123">
        <f t="shared" si="50"/>
        <v>0</v>
      </c>
      <c r="P93" s="123">
        <f t="shared" si="50"/>
        <v>0</v>
      </c>
      <c r="Q93" s="123">
        <f t="shared" si="50"/>
        <v>0</v>
      </c>
      <c r="R93" s="123">
        <f t="shared" si="50"/>
        <v>0</v>
      </c>
      <c r="S93" s="123">
        <f t="shared" si="50"/>
        <v>-17.26070107000001</v>
      </c>
      <c r="T93" s="123">
        <f t="shared" si="50"/>
        <v>0</v>
      </c>
      <c r="U93" s="123">
        <f t="shared" si="50"/>
        <v>0</v>
      </c>
      <c r="V93" s="123">
        <f t="shared" si="50"/>
        <v>0</v>
      </c>
      <c r="W93" s="123">
        <f t="shared" si="50"/>
        <v>0</v>
      </c>
      <c r="X93" s="123">
        <f t="shared" si="50"/>
        <v>0</v>
      </c>
      <c r="Y93" s="123">
        <f t="shared" si="50"/>
        <v>0</v>
      </c>
      <c r="Z93" s="123">
        <f t="shared" si="50"/>
        <v>0</v>
      </c>
      <c r="AA93" s="123">
        <f t="shared" si="50"/>
        <v>0</v>
      </c>
      <c r="AB93" s="123">
        <f t="shared" si="50"/>
        <v>0</v>
      </c>
      <c r="AC93" s="123">
        <f t="shared" si="50"/>
        <v>0</v>
      </c>
      <c r="AD93" s="123">
        <f t="shared" si="50"/>
        <v>0</v>
      </c>
      <c r="AE93" s="123">
        <f t="shared" si="50"/>
        <v>-17.260701070000209</v>
      </c>
    </row>
    <row r="94" spans="2:31" ht="15" hidden="1">
      <c r="B94" s="130"/>
      <c r="C94" s="131"/>
      <c r="D94" s="129"/>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row>
    <row r="95" spans="2:31" ht="15" hidden="1">
      <c r="B95" s="133"/>
      <c r="C95" s="131"/>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row>
    <row r="96" spans="2:31" ht="15" hidden="1">
      <c r="B96" s="130" t="s">
        <v>18</v>
      </c>
      <c r="C96" s="131"/>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row>
    <row r="97" spans="2:2" ht="15" hidden="1">
      <c r="B97" s="130" t="s">
        <v>19</v>
      </c>
    </row>
    <row r="98" spans="2:2" ht="15" hidden="1">
      <c r="B98" s="130" t="s">
        <v>20</v>
      </c>
    </row>
    <row r="99" spans="2:2" ht="15" hidden="1">
      <c r="B99" s="130" t="s">
        <v>21</v>
      </c>
    </row>
    <row r="100" spans="2:2" ht="15" hidden="1">
      <c r="B100" s="130" t="s">
        <v>22</v>
      </c>
    </row>
    <row r="101" spans="2:2" ht="15" hidden="1">
      <c r="B101" s="130" t="s">
        <v>23</v>
      </c>
    </row>
    <row r="102" spans="2:2" ht="15" hidden="1">
      <c r="B102" s="130" t="s">
        <v>24</v>
      </c>
    </row>
    <row r="103" spans="2:2" ht="15" hidden="1">
      <c r="B103" s="130" t="s">
        <v>25</v>
      </c>
    </row>
    <row r="104" spans="2:2" ht="15" hidden="1">
      <c r="B104" s="130" t="s">
        <v>26</v>
      </c>
    </row>
    <row r="105" spans="2:2" ht="15" hidden="1">
      <c r="B105" s="130" t="s">
        <v>27</v>
      </c>
    </row>
    <row r="106" spans="2:2" ht="15" hidden="1">
      <c r="B106" s="130" t="s">
        <v>28</v>
      </c>
    </row>
    <row r="107" spans="2:2" ht="15" hidden="1">
      <c r="B107" s="130" t="s">
        <v>29</v>
      </c>
    </row>
    <row r="108" spans="2:2" ht="15" hidden="1">
      <c r="B108" s="130" t="s">
        <v>30</v>
      </c>
    </row>
    <row r="109" spans="2:2" ht="15" hidden="1">
      <c r="B109" s="130" t="s">
        <v>31</v>
      </c>
    </row>
    <row r="110" spans="2:2" ht="15" hidden="1">
      <c r="B110" s="130" t="s">
        <v>32</v>
      </c>
    </row>
    <row r="111" spans="2:2" ht="15" hidden="1">
      <c r="B111" s="130" t="s">
        <v>33</v>
      </c>
    </row>
    <row r="112" spans="2:2" ht="15" hidden="1">
      <c r="B112" s="130" t="s">
        <v>34</v>
      </c>
    </row>
    <row r="113" spans="2:2" ht="15" hidden="1">
      <c r="B113" s="130" t="s">
        <v>35</v>
      </c>
    </row>
    <row r="114" spans="2:2" ht="15" hidden="1">
      <c r="B114" s="130" t="s">
        <v>36</v>
      </c>
    </row>
    <row r="115" spans="2:2" ht="15" hidden="1">
      <c r="B115" s="130" t="s">
        <v>37</v>
      </c>
    </row>
    <row r="116" spans="2:2" ht="15" hidden="1">
      <c r="B116" s="130" t="s">
        <v>38</v>
      </c>
    </row>
    <row r="117" spans="2:2" ht="15" hidden="1">
      <c r="B117" s="130" t="s">
        <v>39</v>
      </c>
    </row>
    <row r="118" spans="2:2" ht="15" hidden="1">
      <c r="B118" s="130" t="s">
        <v>40</v>
      </c>
    </row>
    <row r="119" spans="2:2" ht="15" hidden="1">
      <c r="B119" s="130" t="s">
        <v>41</v>
      </c>
    </row>
    <row r="120" spans="2:2" ht="15" hidden="1">
      <c r="B120" s="130" t="s">
        <v>42</v>
      </c>
    </row>
    <row r="121" spans="2:2" ht="15" hidden="1">
      <c r="B121" s="134"/>
    </row>
    <row r="122" spans="2:2" ht="15" hidden="1">
      <c r="B122" s="134"/>
    </row>
    <row r="123" spans="2:2" ht="15" hidden="1">
      <c r="B123" s="130" t="s">
        <v>44</v>
      </c>
    </row>
    <row r="124" spans="2:2" ht="15" hidden="1">
      <c r="B124" s="130" t="s">
        <v>45</v>
      </c>
    </row>
    <row r="125" spans="2:2" ht="15" hidden="1">
      <c r="B125" s="133"/>
    </row>
    <row r="126" spans="2:2" ht="15" hidden="1">
      <c r="B126" s="130" t="s">
        <v>46</v>
      </c>
    </row>
    <row r="127" spans="2:2" ht="15" hidden="1">
      <c r="B127" s="130" t="s">
        <v>47</v>
      </c>
    </row>
    <row r="129" spans="2:2" ht="15" hidden="1">
      <c r="B129" s="133" t="s">
        <v>48</v>
      </c>
    </row>
    <row r="130" spans="2:2" ht="15" hidden="1">
      <c r="B130" s="130" t="s">
        <v>49</v>
      </c>
    </row>
    <row r="131" spans="2:2" ht="15" hidden="1">
      <c r="B131" s="133"/>
    </row>
    <row r="132" spans="2:2" ht="15" hidden="1">
      <c r="B132" s="130" t="s">
        <v>528</v>
      </c>
    </row>
    <row r="133" spans="2:2" ht="15" hidden="1">
      <c r="B133" s="130" t="s">
        <v>529</v>
      </c>
    </row>
    <row r="134" spans="2:2" ht="15" hidden="1">
      <c r="B134" s="134"/>
    </row>
    <row r="135" spans="2:2" ht="15" hidden="1">
      <c r="B135" s="130" t="s">
        <v>530</v>
      </c>
    </row>
    <row r="136" spans="2:2" ht="15" hidden="1">
      <c r="B136" s="130" t="s">
        <v>531</v>
      </c>
    </row>
    <row r="137" spans="2:2" ht="15" hidden="1">
      <c r="B137" s="134"/>
    </row>
    <row r="138" spans="2:2" ht="15" hidden="1">
      <c r="B138" s="133"/>
    </row>
    <row r="139" spans="2:2" ht="15" hidden="1">
      <c r="B139" s="130" t="s">
        <v>532</v>
      </c>
    </row>
    <row r="140" spans="2:2" ht="15" hidden="1">
      <c r="B140" s="130" t="s">
        <v>533</v>
      </c>
    </row>
    <row r="141" spans="2:2" ht="15" hidden="1">
      <c r="B141" s="133"/>
    </row>
    <row r="142" spans="2:2" ht="15" hidden="1">
      <c r="B142" s="133" t="s">
        <v>536</v>
      </c>
    </row>
    <row r="143" spans="2:2" ht="15" hidden="1">
      <c r="B143" s="130" t="s">
        <v>537</v>
      </c>
    </row>
    <row r="145" spans="2:2" ht="15" hidden="1">
      <c r="B145" s="133" t="s">
        <v>534</v>
      </c>
    </row>
    <row r="146" spans="2:2" ht="15" hidden="1">
      <c r="B146" s="130" t="s">
        <v>535</v>
      </c>
    </row>
    <row r="147" spans="2:2" ht="15" hidden="1">
      <c r="B147" s="133"/>
    </row>
    <row r="148" spans="2:2" ht="15" hidden="1">
      <c r="B148" s="135" t="s">
        <v>50</v>
      </c>
    </row>
    <row r="149" spans="2:2" ht="15" hidden="1">
      <c r="B149" s="135" t="s">
        <v>51</v>
      </c>
    </row>
    <row r="150" spans="2:2" ht="15" hidden="1">
      <c r="B150" s="136"/>
    </row>
    <row r="151" spans="2:2" ht="15" hidden="1">
      <c r="B151" s="135" t="s">
        <v>52</v>
      </c>
    </row>
    <row r="152" spans="2:2" ht="15" hidden="1">
      <c r="B152" s="135" t="s">
        <v>53</v>
      </c>
    </row>
    <row r="153" spans="2:2" ht="14.85" customHeight="1"/>
  </sheetData>
  <mergeCells count="46">
    <mergeCell ref="B53:C53"/>
    <mergeCell ref="B44:C44"/>
    <mergeCell ref="B83:AE83"/>
    <mergeCell ref="B45:C45"/>
    <mergeCell ref="B46:C46"/>
    <mergeCell ref="B47:C47"/>
    <mergeCell ref="B48:C48"/>
    <mergeCell ref="B50:AE50"/>
    <mergeCell ref="B51:C52"/>
    <mergeCell ref="E51:R51"/>
    <mergeCell ref="S51:AE51"/>
    <mergeCell ref="B43:C43"/>
    <mergeCell ref="B31:C31"/>
    <mergeCell ref="B33:C33"/>
    <mergeCell ref="B34:C34"/>
    <mergeCell ref="B35:C35"/>
    <mergeCell ref="B36:C36"/>
    <mergeCell ref="B37:C37"/>
    <mergeCell ref="B38:C38"/>
    <mergeCell ref="B39:C39"/>
    <mergeCell ref="B40:C40"/>
    <mergeCell ref="B41:C41"/>
    <mergeCell ref="B42:C42"/>
    <mergeCell ref="B14:C14"/>
    <mergeCell ref="B27:C27"/>
    <mergeCell ref="B28:C28"/>
    <mergeCell ref="B20:C20"/>
    <mergeCell ref="B21:C21"/>
    <mergeCell ref="B22:C22"/>
    <mergeCell ref="B23:C23"/>
    <mergeCell ref="B24:C24"/>
    <mergeCell ref="B29:C29"/>
    <mergeCell ref="B30:C30"/>
    <mergeCell ref="B19:C19"/>
    <mergeCell ref="B15:C15"/>
    <mergeCell ref="B16:C16"/>
    <mergeCell ref="B17:C17"/>
    <mergeCell ref="B18:C18"/>
    <mergeCell ref="B25:C25"/>
    <mergeCell ref="B26:C26"/>
    <mergeCell ref="D10:D11"/>
    <mergeCell ref="E10:R10"/>
    <mergeCell ref="S10:AE10"/>
    <mergeCell ref="B12:C12"/>
    <mergeCell ref="B13:C13"/>
    <mergeCell ref="B10:C11"/>
  </mergeCells>
  <conditionalFormatting sqref="D20">
    <cfRule type="cellIs" dxfId="13" priority="516" operator="equal">
      <formula>0</formula>
    </cfRule>
  </conditionalFormatting>
  <conditionalFormatting sqref="D27">
    <cfRule type="cellIs" dxfId="12" priority="517" operator="equal">
      <formula>0</formula>
    </cfRule>
  </conditionalFormatting>
  <conditionalFormatting sqref="D36">
    <cfRule type="cellIs" dxfId="11" priority="518" operator="equal">
      <formula>0</formula>
    </cfRule>
  </conditionalFormatting>
  <conditionalFormatting sqref="D46:D47">
    <cfRule type="cellIs" dxfId="10" priority="515" operator="equal">
      <formula>0</formula>
    </cfRule>
  </conditionalFormatting>
  <conditionalFormatting sqref="E12:AE25">
    <cfRule type="cellIs" dxfId="9" priority="13" operator="equal">
      <formula>0</formula>
    </cfRule>
  </conditionalFormatting>
  <conditionalFormatting sqref="E27:AE41">
    <cfRule type="cellIs" dxfId="8" priority="3" operator="equal">
      <formula>0</formula>
    </cfRule>
  </conditionalFormatting>
  <conditionalFormatting sqref="E44:AE48">
    <cfRule type="cellIs" dxfId="7" priority="1" operator="equal">
      <formula>0</formula>
    </cfRule>
  </conditionalFormatting>
  <dataValidations count="1">
    <dataValidation type="list" allowBlank="1" showInputMessage="1" showErrorMessage="1" sqref="B96:B120 D13:D19 D21:D25 D28:D35 D37:D41 D54:D82" xr:uid="{00000000-0002-0000-1700-000000000000}">
      <formula1>$B$96:$B$120</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R12 E16:AE48 R65 AE65 R70" formula="1"/>
    <ignoredError sqref="X91:X93 Q54:Q60 Q72 Q78:Q79"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N87"/>
  <sheetViews>
    <sheetView showGridLines="0" zoomScaleNormal="100" workbookViewId="0"/>
  </sheetViews>
  <sheetFormatPr defaultColWidth="9.42578125" defaultRowHeight="14.85" customHeight="1" zeroHeight="1"/>
  <cols>
    <col min="1" max="1" width="8.5703125" style="101" customWidth="1"/>
    <col min="2" max="2" width="42.42578125" style="137" customWidth="1"/>
    <col min="3" max="12" width="15.5703125" style="137" customWidth="1"/>
    <col min="13" max="13" width="1.5703125" style="137" customWidth="1"/>
    <col min="14" max="14" width="15.5703125" style="137" customWidth="1"/>
    <col min="15" max="21" width="9.42578125" customWidth="1"/>
  </cols>
  <sheetData>
    <row r="1" spans="2:14" ht="14.85" customHeight="1"/>
    <row r="2" spans="2:14" ht="15"/>
    <row r="3" spans="2:14" ht="15"/>
    <row r="4" spans="2:14" ht="15"/>
    <row r="5" spans="2:14" ht="15"/>
    <row r="6" spans="2:14" ht="15"/>
    <row r="7" spans="2:14" ht="50.1" customHeight="1">
      <c r="B7" s="13"/>
      <c r="C7" s="14"/>
      <c r="D7" s="12"/>
      <c r="E7" s="12"/>
      <c r="F7" s="12"/>
      <c r="G7" s="12"/>
      <c r="H7" s="12"/>
      <c r="I7" s="12"/>
      <c r="J7" s="12"/>
      <c r="K7" s="12"/>
      <c r="L7" s="12"/>
    </row>
    <row r="8" spans="2:14" ht="15.75">
      <c r="B8" s="1" t="str">
        <f>IF(Indice_index!$Z$1=1,"Quadro 22 - Estimativas de execução consideradas na conta da Administração Central","22 - Estimated amounts in Central Government Account")</f>
        <v>Quadro 22 - Estimativas de execução consideradas na conta da Administração Central</v>
      </c>
      <c r="C8" s="2"/>
      <c r="D8" s="2"/>
      <c r="E8" s="2"/>
      <c r="F8" s="2"/>
      <c r="G8" s="2"/>
      <c r="H8" s="2"/>
      <c r="I8" s="142"/>
      <c r="J8" s="142"/>
      <c r="K8" s="142"/>
      <c r="L8" s="2"/>
    </row>
    <row r="9" spans="2:14" ht="15">
      <c r="B9" s="3" t="str">
        <f>+'3 - Conta AC + SS'!B9</f>
        <v>Período: janeiro a setembro</v>
      </c>
      <c r="C9" s="3"/>
      <c r="D9" s="3"/>
      <c r="E9" s="3"/>
      <c r="F9" s="3" t="str">
        <f>IF(Indice_index!$Z$1=1,"€ Milhões","€ Millions")</f>
        <v>€ Milhões</v>
      </c>
      <c r="I9" s="143"/>
      <c r="J9" s="235"/>
    </row>
    <row r="10" spans="2:14" ht="75.599999999999994" customHeight="1">
      <c r="B10" s="24"/>
      <c r="C10" s="24" t="s">
        <v>171</v>
      </c>
      <c r="D10" s="24" t="s">
        <v>524</v>
      </c>
      <c r="E10" s="24" t="s">
        <v>610</v>
      </c>
      <c r="F10" s="24" t="s">
        <v>599</v>
      </c>
      <c r="G10" s="236"/>
      <c r="H10" s="236"/>
      <c r="I10" s="236"/>
      <c r="J10" s="236"/>
      <c r="N10"/>
    </row>
    <row r="11" spans="2:14" ht="14.1" customHeight="1">
      <c r="B11" s="213" t="str">
        <f>IF(Indice_index!$Z$1=1,"Receita corrente","Current revenue")</f>
        <v>Receita corrente</v>
      </c>
      <c r="C11" s="314">
        <f t="shared" ref="C11:E11" si="0">+C12+C13+C14+C16</f>
        <v>0</v>
      </c>
      <c r="D11" s="161">
        <f t="shared" si="0"/>
        <v>1.2394897199999999</v>
      </c>
      <c r="E11" s="161">
        <f t="shared" si="0"/>
        <v>0</v>
      </c>
      <c r="F11" s="161">
        <f t="shared" ref="F11" si="1">+F12+F13+F14+F16</f>
        <v>2.1333359999999999E-2</v>
      </c>
      <c r="G11" s="234"/>
      <c r="H11" s="234"/>
      <c r="I11" s="234"/>
      <c r="J11" s="234"/>
      <c r="N11"/>
    </row>
    <row r="12" spans="2:14" ht="14.1" customHeight="1">
      <c r="B12" s="150" t="str">
        <f>IF(Indice_index!$Z$1=1,"Receita fiscal","Tax")</f>
        <v>Receita fiscal</v>
      </c>
      <c r="C12" s="315">
        <v>0</v>
      </c>
      <c r="D12" s="5">
        <v>0</v>
      </c>
      <c r="E12" s="5">
        <v>0</v>
      </c>
      <c r="F12" s="5">
        <v>0</v>
      </c>
      <c r="G12" s="237"/>
      <c r="H12" s="237"/>
      <c r="I12" s="237"/>
      <c r="J12" s="237"/>
      <c r="N12"/>
    </row>
    <row r="13" spans="2:14" ht="14.1" customHeight="1">
      <c r="B13" s="150" t="str">
        <f>IF(Indice_index!$Z$1=1,"Contribuições para Segurança Social, CGA e ADSE","Social security, CGA and ADSE contributions")</f>
        <v>Contribuições para Segurança Social, CGA e ADSE</v>
      </c>
      <c r="C13" s="315">
        <v>0</v>
      </c>
      <c r="D13" s="5">
        <v>0</v>
      </c>
      <c r="E13" s="5">
        <v>0</v>
      </c>
      <c r="F13" s="5">
        <v>0</v>
      </c>
      <c r="G13" s="237"/>
      <c r="H13" s="237"/>
      <c r="I13" s="237"/>
      <c r="J13" s="237"/>
      <c r="N13"/>
    </row>
    <row r="14" spans="2:14" ht="14.1" customHeight="1">
      <c r="B14" s="150" t="str">
        <f>IF(Indice_index!$Z$1=1,"Transferências correntes","Current transfers")</f>
        <v>Transferências correntes</v>
      </c>
      <c r="C14" s="315">
        <v>0</v>
      </c>
      <c r="D14" s="5">
        <f>1198398.69/10^6</f>
        <v>1.1983986899999999</v>
      </c>
      <c r="E14" s="5">
        <v>0</v>
      </c>
      <c r="F14" s="5">
        <f>20000/10^6</f>
        <v>0.02</v>
      </c>
      <c r="G14" s="237"/>
      <c r="H14" s="237"/>
      <c r="I14" s="237"/>
      <c r="J14" s="237"/>
      <c r="N14"/>
    </row>
    <row r="15" spans="2:14" ht="14.1" customHeight="1">
      <c r="B15" s="293" t="str">
        <f>IF(Indice_index!$Z$1=1,"das quais: Administração Central","of which: Central Administration")</f>
        <v>das quais: Administração Central</v>
      </c>
      <c r="C15" s="315">
        <v>0</v>
      </c>
      <c r="D15" s="5">
        <v>0</v>
      </c>
      <c r="E15" s="5">
        <v>0</v>
      </c>
      <c r="F15" s="5">
        <v>0</v>
      </c>
      <c r="G15" s="237"/>
      <c r="H15" s="237"/>
      <c r="I15" s="237"/>
      <c r="J15" s="237"/>
      <c r="N15"/>
    </row>
    <row r="16" spans="2:14" ht="14.1" customHeight="1">
      <c r="B16" s="150" t="str">
        <f>IF(Indice_index!$Z$1=1,"Outras receitas correntes","Other current revenue")</f>
        <v>Outras receitas correntes</v>
      </c>
      <c r="C16" s="315">
        <v>0</v>
      </c>
      <c r="D16" s="5">
        <f>41091.03/10^6</f>
        <v>4.1091030000000001E-2</v>
      </c>
      <c r="E16" s="5">
        <v>0</v>
      </c>
      <c r="F16" s="5">
        <f>1333.36/10^6</f>
        <v>1.3333599999999998E-3</v>
      </c>
      <c r="G16" s="237"/>
      <c r="H16" s="237"/>
      <c r="I16" s="237"/>
      <c r="J16" s="237"/>
      <c r="N16"/>
    </row>
    <row r="17" spans="2:14" ht="14.1" customHeight="1">
      <c r="B17" s="293" t="str">
        <f>IF(Indice_index!$Z$1=1,"das quais: Administração Central","of which: Central Administration")</f>
        <v>das quais: Administração Central</v>
      </c>
      <c r="C17" s="315">
        <v>0</v>
      </c>
      <c r="D17" s="5">
        <v>0</v>
      </c>
      <c r="E17" s="5">
        <v>0</v>
      </c>
      <c r="F17" s="5">
        <v>0</v>
      </c>
      <c r="G17" s="237"/>
      <c r="H17" s="237"/>
      <c r="I17" s="237"/>
      <c r="J17" s="237"/>
      <c r="N17"/>
    </row>
    <row r="18" spans="2:14" ht="14.1" customHeight="1">
      <c r="B18" s="293" t="str">
        <f>IF(Indice_index!$Z$1=1,"das quais: das quais: Vendas de bens e serviços / Saúde","of which: Sales of goods and services / Health sector")</f>
        <v>das quais: das quais: Vendas de bens e serviços / Saúde</v>
      </c>
      <c r="C18" s="315">
        <v>0</v>
      </c>
      <c r="D18" s="5">
        <v>0</v>
      </c>
      <c r="E18" s="5">
        <v>0</v>
      </c>
      <c r="F18" s="5">
        <v>0</v>
      </c>
      <c r="G18" s="237"/>
      <c r="H18" s="237"/>
      <c r="I18" s="237"/>
      <c r="J18" s="237"/>
      <c r="N18"/>
    </row>
    <row r="19" spans="2:14" ht="14.1" customHeight="1">
      <c r="B19" s="213" t="str">
        <f>IF(Indice_index!$Z$1=1,"Receita de capital","Capital revenue")</f>
        <v>Receita de capital</v>
      </c>
      <c r="C19" s="314">
        <f t="shared" ref="C19:E19" si="2">+C20+C21+C23</f>
        <v>0</v>
      </c>
      <c r="D19" s="161">
        <f t="shared" si="2"/>
        <v>0</v>
      </c>
      <c r="E19" s="161">
        <f t="shared" si="2"/>
        <v>0</v>
      </c>
      <c r="F19" s="161">
        <f t="shared" ref="F19" si="3">+F20+F21+F23</f>
        <v>0</v>
      </c>
      <c r="G19" s="234"/>
      <c r="H19" s="234"/>
      <c r="I19" s="234"/>
      <c r="J19" s="234"/>
      <c r="N19"/>
    </row>
    <row r="20" spans="2:14" ht="14.1" customHeight="1">
      <c r="B20" s="150" t="str">
        <f>IF(Indice_index!$Z$1=1,"Venda de bens de investimento","Sale of investment goods")</f>
        <v>Venda de bens de investimento</v>
      </c>
      <c r="C20" s="315">
        <v>0</v>
      </c>
      <c r="D20" s="5">
        <v>0</v>
      </c>
      <c r="E20" s="5">
        <v>0</v>
      </c>
      <c r="F20" s="5">
        <v>0</v>
      </c>
      <c r="G20" s="237"/>
      <c r="H20" s="237"/>
      <c r="I20" s="237"/>
      <c r="J20" s="237"/>
      <c r="N20"/>
    </row>
    <row r="21" spans="2:14" ht="14.1" customHeight="1">
      <c r="B21" s="150" t="str">
        <f>IF(Indice_index!$Z$1=1,"Transferências de capital","Capital transfers")</f>
        <v>Transferências de capital</v>
      </c>
      <c r="C21" s="315">
        <v>0</v>
      </c>
      <c r="D21" s="5">
        <v>0</v>
      </c>
      <c r="E21" s="5">
        <v>0</v>
      </c>
      <c r="F21" s="5">
        <v>0</v>
      </c>
      <c r="G21" s="237"/>
      <c r="H21" s="237"/>
      <c r="I21" s="237"/>
      <c r="J21" s="237"/>
      <c r="N21"/>
    </row>
    <row r="22" spans="2:14" ht="14.1" customHeight="1">
      <c r="B22" s="293" t="str">
        <f>IF(Indice_index!$Z$1=1,"das quais: Administração Central","of which: Central Administration")</f>
        <v>das quais: Administração Central</v>
      </c>
      <c r="C22" s="315">
        <v>0</v>
      </c>
      <c r="D22" s="5">
        <v>0</v>
      </c>
      <c r="E22" s="5">
        <v>0</v>
      </c>
      <c r="F22" s="5">
        <v>0</v>
      </c>
      <c r="G22" s="237"/>
      <c r="H22" s="237"/>
      <c r="I22" s="237"/>
      <c r="J22" s="237"/>
      <c r="N22"/>
    </row>
    <row r="23" spans="2:14" ht="14.1" customHeight="1">
      <c r="B23" s="150" t="str">
        <f>IF(Indice_index!$Z$1=1,"Outras receitas de capital","Other capital revenue")</f>
        <v>Outras receitas de capital</v>
      </c>
      <c r="C23" s="315">
        <v>0</v>
      </c>
      <c r="D23" s="5">
        <v>0</v>
      </c>
      <c r="E23" s="5">
        <v>0</v>
      </c>
      <c r="F23" s="5">
        <v>0</v>
      </c>
      <c r="G23" s="237"/>
      <c r="H23" s="237"/>
      <c r="I23" s="237"/>
      <c r="J23" s="237"/>
      <c r="N23"/>
    </row>
    <row r="24" spans="2:14" ht="14.1" customHeight="1">
      <c r="B24" s="18" t="str">
        <f>IF(Indice_index!$Z$1=1,"Receita efetiva","Effective revenue")</f>
        <v>Receita efetiva</v>
      </c>
      <c r="C24" s="19">
        <f t="shared" ref="C24:D24" si="4">+C11+C19</f>
        <v>0</v>
      </c>
      <c r="D24" s="19">
        <f t="shared" si="4"/>
        <v>1.2394897199999999</v>
      </c>
      <c r="E24" s="19">
        <f t="shared" ref="E24:F24" si="5">+E11+E19</f>
        <v>0</v>
      </c>
      <c r="F24" s="19">
        <f t="shared" si="5"/>
        <v>2.1333359999999999E-2</v>
      </c>
      <c r="G24" s="238"/>
      <c r="H24" s="238"/>
      <c r="I24" s="238"/>
      <c r="J24" s="238"/>
      <c r="N24"/>
    </row>
    <row r="25" spans="2:14" ht="14.1" customHeight="1">
      <c r="B25" s="213" t="str">
        <f>IF(Indice_index!$Z$1=1,"Despesa corrente","Current expenditure")</f>
        <v>Despesa corrente</v>
      </c>
      <c r="C25" s="161">
        <f t="shared" ref="C25:E25" si="6">+C26+C27+C29+C31+C33+C35</f>
        <v>8.2701670000000005E-2</v>
      </c>
      <c r="D25" s="161">
        <f t="shared" si="6"/>
        <v>1.2394896299999998</v>
      </c>
      <c r="E25" s="161">
        <f t="shared" si="6"/>
        <v>8.3333329999999997E-2</v>
      </c>
      <c r="F25" s="161">
        <f t="shared" ref="F25" si="7">+F26+F27+F29+F31+F33+F35</f>
        <v>2.1333319999999999E-2</v>
      </c>
      <c r="G25" s="234"/>
      <c r="H25" s="234"/>
      <c r="I25" s="234"/>
      <c r="J25" s="234"/>
      <c r="N25"/>
    </row>
    <row r="26" spans="2:14" ht="14.1" customHeight="1">
      <c r="B26" s="150" t="str">
        <f>IF(Indice_index!$Z$1=1,"Despesas com o pessoal","Employees")</f>
        <v>Despesas com o pessoal</v>
      </c>
      <c r="C26" s="5">
        <f>4982.34/10^6</f>
        <v>4.98234E-3</v>
      </c>
      <c r="D26" s="5">
        <f>914870.25/10^6</f>
        <v>0.91487025</v>
      </c>
      <c r="E26" s="5">
        <v>0</v>
      </c>
      <c r="F26" s="5">
        <v>0</v>
      </c>
      <c r="G26" s="237"/>
      <c r="H26" s="237"/>
      <c r="I26" s="237"/>
      <c r="J26" s="237"/>
      <c r="N26"/>
    </row>
    <row r="27" spans="2:14" ht="14.1" customHeight="1">
      <c r="B27" s="150" t="str">
        <f>IF(Indice_index!$Z$1=1,"Aquisição de bens e serviços","Purchase of goods and services")</f>
        <v>Aquisição de bens e serviços</v>
      </c>
      <c r="C27" s="5">
        <f>77719.33/10^6</f>
        <v>7.7719330000000003E-2</v>
      </c>
      <c r="D27" s="5">
        <f>307259.19/10^6</f>
        <v>0.30725919000000002</v>
      </c>
      <c r="E27" s="5">
        <v>0</v>
      </c>
      <c r="F27" s="5">
        <f>7583.32/10^6</f>
        <v>7.5833199999999993E-3</v>
      </c>
      <c r="G27" s="237"/>
      <c r="H27" s="237"/>
      <c r="I27" s="237"/>
      <c r="J27" s="237"/>
      <c r="N27"/>
    </row>
    <row r="28" spans="2:14" ht="14.1" customHeight="1">
      <c r="B28" s="293" t="str">
        <f>IF(Indice_index!$Z$1=1,"das quais: das quais: Aquisição de bens e serviços / Saúde","of which: Purchase of goods and services / Health sector")</f>
        <v>das quais: das quais: Aquisição de bens e serviços / Saúde</v>
      </c>
      <c r="C28" s="5">
        <v>0</v>
      </c>
      <c r="D28" s="5">
        <v>0</v>
      </c>
      <c r="E28" s="5">
        <v>0</v>
      </c>
      <c r="F28" s="5">
        <v>0</v>
      </c>
      <c r="G28" s="237"/>
      <c r="H28" s="237"/>
      <c r="I28" s="237"/>
      <c r="J28" s="237"/>
      <c r="N28"/>
    </row>
    <row r="29" spans="2:14" ht="14.1" customHeight="1">
      <c r="B29" s="150" t="str">
        <f>IF(Indice_index!$Z$1=1,"Juros e outros encargos","Interests and other charges")</f>
        <v>Juros e outros encargos</v>
      </c>
      <c r="C29" s="5">
        <v>0</v>
      </c>
      <c r="D29" s="5">
        <f>3591/10^6</f>
        <v>3.591E-3</v>
      </c>
      <c r="E29" s="5">
        <v>0</v>
      </c>
      <c r="F29" s="5">
        <v>0</v>
      </c>
      <c r="G29" s="237"/>
      <c r="H29" s="237"/>
      <c r="I29" s="237"/>
      <c r="J29" s="237"/>
      <c r="N29"/>
    </row>
    <row r="30" spans="2:14" ht="14.1" customHeight="1">
      <c r="B30" s="293" t="str">
        <f>IF(Indice_index!$Z$1=1,"dos quais: Administração Central","of which: Central Administration")</f>
        <v>dos quais: Administração Central</v>
      </c>
      <c r="C30" s="5">
        <v>0</v>
      </c>
      <c r="D30" s="5">
        <v>0</v>
      </c>
      <c r="E30" s="5">
        <v>0</v>
      </c>
      <c r="F30" s="5">
        <v>0</v>
      </c>
      <c r="G30" s="237"/>
      <c r="H30" s="237"/>
      <c r="I30" s="237"/>
      <c r="J30" s="237"/>
      <c r="N30"/>
    </row>
    <row r="31" spans="2:14" ht="14.1" customHeight="1">
      <c r="B31" s="150" t="str">
        <f>IF(Indice_index!$Z$1=1,"Transferências correntes","Current transfers")</f>
        <v>Transferências correntes</v>
      </c>
      <c r="C31" s="5">
        <v>0</v>
      </c>
      <c r="D31" s="5">
        <f>6028.47/10^6</f>
        <v>6.0284700000000002E-3</v>
      </c>
      <c r="E31" s="5">
        <f>83333.33/10^6</f>
        <v>8.3333329999999997E-2</v>
      </c>
      <c r="F31" s="5">
        <f>13666.68/10^6</f>
        <v>1.366668E-2</v>
      </c>
      <c r="G31" s="237"/>
      <c r="H31" s="237"/>
      <c r="I31" s="237"/>
      <c r="J31" s="237"/>
      <c r="N31"/>
    </row>
    <row r="32" spans="2:14" ht="14.1" customHeight="1">
      <c r="B32" s="293" t="str">
        <f>IF(Indice_index!$Z$1=1,"das quais: Administração Central","of which: Central Administration")</f>
        <v>das quais: Administração Central</v>
      </c>
      <c r="C32" s="5">
        <v>0</v>
      </c>
      <c r="D32" s="5">
        <v>0</v>
      </c>
      <c r="E32" s="5">
        <v>0</v>
      </c>
      <c r="F32" s="5">
        <v>0</v>
      </c>
      <c r="G32" s="237"/>
      <c r="H32" s="237"/>
      <c r="I32" s="237"/>
      <c r="J32" s="237"/>
      <c r="N32"/>
    </row>
    <row r="33" spans="2:14" ht="14.1" customHeight="1">
      <c r="B33" s="150" t="str">
        <f>IF(Indice_index!$Z$1=1,"Subsídios","Subsidies")</f>
        <v>Subsídios</v>
      </c>
      <c r="C33" s="5">
        <v>0</v>
      </c>
      <c r="D33" s="5">
        <v>0</v>
      </c>
      <c r="E33" s="5">
        <v>0</v>
      </c>
      <c r="F33" s="5">
        <v>0</v>
      </c>
      <c r="G33" s="237"/>
      <c r="H33" s="237"/>
      <c r="I33" s="237"/>
      <c r="J33" s="237"/>
      <c r="N33"/>
    </row>
    <row r="34" spans="2:14" ht="14.1" customHeight="1">
      <c r="B34" s="210" t="str">
        <f>IF(Indice_index!$Z$1=1,"dos quais: Administração Central","of which: Central Administration")</f>
        <v>dos quais: Administração Central</v>
      </c>
      <c r="C34" s="5">
        <v>0</v>
      </c>
      <c r="D34" s="5">
        <v>0</v>
      </c>
      <c r="E34" s="5">
        <v>0</v>
      </c>
      <c r="F34" s="5">
        <v>0</v>
      </c>
      <c r="G34" s="237"/>
      <c r="H34" s="237"/>
      <c r="I34" s="237"/>
      <c r="J34" s="237"/>
      <c r="N34"/>
    </row>
    <row r="35" spans="2:14" ht="14.1" customHeight="1">
      <c r="B35" s="150" t="str">
        <f>IF(Indice_index!$Z$1=1,"Outras despesas correntes","Other current expenditure")</f>
        <v>Outras despesas correntes</v>
      </c>
      <c r="C35" s="5">
        <v>0</v>
      </c>
      <c r="D35" s="5">
        <f>7740.72/10^6</f>
        <v>7.7407200000000004E-3</v>
      </c>
      <c r="E35" s="5">
        <v>0</v>
      </c>
      <c r="F35" s="5">
        <f>83.32/10^6</f>
        <v>8.3319999999999995E-5</v>
      </c>
      <c r="G35" s="237"/>
      <c r="H35" s="237"/>
      <c r="I35" s="237"/>
      <c r="J35" s="237"/>
      <c r="N35"/>
    </row>
    <row r="36" spans="2:14" ht="14.1" customHeight="1">
      <c r="B36" s="213" t="str">
        <f>IF(Indice_index!$Z$1=1,"Despesa de capital","Capital expenditure")</f>
        <v>Despesa de capital</v>
      </c>
      <c r="C36" s="161">
        <f t="shared" ref="C36:E36" si="8">+C37+C38+C40</f>
        <v>0</v>
      </c>
      <c r="D36" s="161">
        <f t="shared" si="8"/>
        <v>0</v>
      </c>
      <c r="E36" s="161">
        <f t="shared" si="8"/>
        <v>0</v>
      </c>
      <c r="F36" s="161">
        <f t="shared" ref="F36" si="9">+F37+F38+F40</f>
        <v>0</v>
      </c>
      <c r="G36" s="234"/>
      <c r="H36" s="234"/>
      <c r="I36" s="234"/>
      <c r="J36" s="234"/>
      <c r="N36"/>
    </row>
    <row r="37" spans="2:14" ht="14.1" customHeight="1">
      <c r="B37" s="150" t="str">
        <f>IF(Indice_index!$Z$1=1,"Investimento","Investment")</f>
        <v>Investimento</v>
      </c>
      <c r="C37" s="5">
        <v>0</v>
      </c>
      <c r="D37" s="5">
        <v>0</v>
      </c>
      <c r="E37" s="5">
        <v>0</v>
      </c>
      <c r="F37" s="5">
        <v>0</v>
      </c>
      <c r="G37" s="237"/>
      <c r="H37" s="237"/>
      <c r="I37" s="237"/>
      <c r="J37" s="237"/>
      <c r="N37"/>
    </row>
    <row r="38" spans="2:14" ht="14.1" customHeight="1">
      <c r="B38" s="150" t="str">
        <f>IF(Indice_index!$Z$1=1,"Transferências de capital","Capital transfers")</f>
        <v>Transferências de capital</v>
      </c>
      <c r="C38" s="5">
        <v>0</v>
      </c>
      <c r="D38" s="5">
        <v>0</v>
      </c>
      <c r="E38" s="5">
        <v>0</v>
      </c>
      <c r="F38" s="5">
        <v>0</v>
      </c>
      <c r="G38" s="237"/>
      <c r="H38" s="237"/>
      <c r="I38" s="237"/>
      <c r="J38" s="237"/>
      <c r="N38"/>
    </row>
    <row r="39" spans="2:14" ht="14.1" customHeight="1">
      <c r="B39" s="293" t="str">
        <f>IF(Indice_index!$Z$1=1,"das quais: Administração Central","of which: Central Administration")</f>
        <v>das quais: Administração Central</v>
      </c>
      <c r="C39" s="5">
        <v>0</v>
      </c>
      <c r="D39" s="5">
        <v>0</v>
      </c>
      <c r="E39" s="5">
        <v>0</v>
      </c>
      <c r="F39" s="5">
        <v>0</v>
      </c>
      <c r="G39" s="237"/>
      <c r="H39" s="237"/>
      <c r="I39" s="237"/>
      <c r="J39" s="237"/>
      <c r="N39"/>
    </row>
    <row r="40" spans="2:14" ht="14.1" customHeight="1">
      <c r="B40" s="150" t="str">
        <f>IF(Indice_index!$Z$1=1,"Outras despesas de capital","Other capital expenditure")</f>
        <v>Outras despesas de capital</v>
      </c>
      <c r="C40" s="5">
        <v>0</v>
      </c>
      <c r="D40" s="5">
        <v>0</v>
      </c>
      <c r="E40" s="5">
        <v>0</v>
      </c>
      <c r="F40" s="5">
        <v>0</v>
      </c>
      <c r="G40" s="237"/>
      <c r="H40" s="237"/>
      <c r="I40" s="237"/>
      <c r="J40" s="237"/>
      <c r="N40"/>
    </row>
    <row r="41" spans="2:14" ht="14.1" customHeight="1">
      <c r="B41" s="18" t="str">
        <f>IF(Indice_index!$Z$1=1,"Despesa efetiva","Effective expenditure")</f>
        <v>Despesa efetiva</v>
      </c>
      <c r="C41" s="19">
        <f t="shared" ref="C41:D41" si="10">+C25+C36</f>
        <v>8.2701670000000005E-2</v>
      </c>
      <c r="D41" s="19">
        <f t="shared" si="10"/>
        <v>1.2394896299999998</v>
      </c>
      <c r="E41" s="19">
        <f t="shared" ref="E41:F41" si="11">+E25+E36</f>
        <v>8.3333329999999997E-2</v>
      </c>
      <c r="F41" s="19">
        <f t="shared" si="11"/>
        <v>2.1333319999999999E-2</v>
      </c>
      <c r="G41" s="238"/>
      <c r="H41" s="238"/>
      <c r="I41" s="238"/>
      <c r="J41" s="238"/>
      <c r="N41"/>
    </row>
    <row r="42" spans="2:14" ht="14.1" customHeight="1">
      <c r="B42" s="18" t="str">
        <f>IF(Indice_index!$Z$1=1,"Saldo global","Overall balance")</f>
        <v>Saldo global</v>
      </c>
      <c r="C42" s="19">
        <f t="shared" ref="C42:D42" si="12">+C24-C41</f>
        <v>-8.2701670000000005E-2</v>
      </c>
      <c r="D42" s="19">
        <f t="shared" si="12"/>
        <v>9.0000000119161427E-8</v>
      </c>
      <c r="E42" s="19">
        <f t="shared" ref="E42:F42" si="13">+E24-E41</f>
        <v>-8.3333329999999997E-2</v>
      </c>
      <c r="F42" s="19">
        <f t="shared" si="13"/>
        <v>3.9999999999762448E-8</v>
      </c>
      <c r="G42" s="238"/>
      <c r="H42" s="238"/>
      <c r="I42" s="238"/>
      <c r="J42" s="238"/>
      <c r="N42"/>
    </row>
    <row r="43" spans="2:14" ht="45.75" customHeight="1">
      <c r="B43" s="28" t="str">
        <f>IF(Indice_index!$Z$1=1,"Períodos com ausência de reporte","Months without report")</f>
        <v>Períodos com ausência de reporte</v>
      </c>
      <c r="C43" s="159" t="str">
        <f>IF(Indice_index!$Z$1=1,"setembro","September")</f>
        <v>setembro</v>
      </c>
      <c r="D43" s="159" t="str">
        <f>IF(Indice_index!$Z$1=1,"janeiro; fevereiro; março; abril; maio; junho; julho; agosto; setembro","January;February; March; April; May; June; July; August; September")</f>
        <v>janeiro; fevereiro; março; abril; maio; junho; julho; agosto; setembro</v>
      </c>
      <c r="E43" s="159" t="str">
        <f>IF(Indice_index!$Z$1=1,"setembro","September")</f>
        <v>setembro</v>
      </c>
      <c r="F43" s="159" t="str">
        <f>IF(Indice_index!$Z$1=1,"janeiro; fevereiro; março; abril; maio; junho; julho; agosto; setembro","January;February; March; April; May; June; July; August; September")</f>
        <v>janeiro; fevereiro; março; abril; maio; junho; julho; agosto; setembro</v>
      </c>
      <c r="G43" s="239"/>
      <c r="H43" s="239"/>
      <c r="I43" s="239"/>
      <c r="J43" s="239"/>
      <c r="N43"/>
    </row>
    <row r="44" spans="2:14" ht="15">
      <c r="B44" s="140"/>
      <c r="C44" s="140"/>
      <c r="D44" s="140"/>
      <c r="E44" s="140"/>
      <c r="F44" s="140"/>
      <c r="G44" s="140"/>
      <c r="H44" s="140"/>
      <c r="I44" s="140"/>
      <c r="J44" s="140"/>
      <c r="K44" s="140"/>
      <c r="L44" s="140"/>
    </row>
    <row r="45" spans="2:14" ht="15">
      <c r="B45" s="3"/>
      <c r="C45" s="138"/>
      <c r="D45" s="3"/>
      <c r="E45" s="138" t="str">
        <f>IF(Indice_index!$Z$1=1,"€ Milhões","€ Millions")</f>
        <v>€ Milhões</v>
      </c>
      <c r="F45" s="3"/>
      <c r="I45" s="143"/>
      <c r="J45" s="235"/>
    </row>
    <row r="46" spans="2:14" ht="75.599999999999994" customHeight="1">
      <c r="B46" s="24"/>
      <c r="C46" s="24" t="s">
        <v>611</v>
      </c>
      <c r="D46" s="24" t="s">
        <v>591</v>
      </c>
      <c r="E46" s="24" t="s">
        <v>606</v>
      </c>
      <c r="F46" s="236"/>
      <c r="G46" s="236"/>
      <c r="I46" s="236"/>
      <c r="J46" s="236"/>
      <c r="K46" s="236"/>
    </row>
    <row r="47" spans="2:14" ht="14.1" customHeight="1">
      <c r="B47" s="213" t="str">
        <f>IF(Indice_index!$Z$1=1,"Receita corrente","Current revenue")</f>
        <v>Receita corrente</v>
      </c>
      <c r="C47" s="161">
        <f t="shared" ref="C47" si="14">+C48+C49+C50+C52</f>
        <v>4.4000000000000003E-3</v>
      </c>
      <c r="D47" s="161">
        <f>+D48+D49+D50+D52</f>
        <v>306.99722510999999</v>
      </c>
      <c r="E47" s="161">
        <f>+E48+E49+E50+E52</f>
        <v>0</v>
      </c>
      <c r="F47" s="234"/>
      <c r="G47" s="234"/>
      <c r="I47" s="234"/>
      <c r="J47" s="234"/>
      <c r="K47" s="234"/>
    </row>
    <row r="48" spans="2:14" ht="14.1" customHeight="1">
      <c r="B48" s="150" t="str">
        <f>IF(Indice_index!$Z$1=1,"Receita fiscal","Tax")</f>
        <v>Receita fiscal</v>
      </c>
      <c r="C48" s="5">
        <v>0</v>
      </c>
      <c r="D48" s="5">
        <v>0</v>
      </c>
      <c r="E48" s="5"/>
      <c r="F48" s="237"/>
      <c r="G48" s="237"/>
      <c r="I48" s="237"/>
      <c r="J48" s="237"/>
      <c r="K48" s="237"/>
    </row>
    <row r="49" spans="2:11" ht="14.1" customHeight="1">
      <c r="B49" s="150" t="str">
        <f>IF(Indice_index!$Z$1=1,"Contribuições para Segurança Social, CGA e ADSE","Social security, CGA and ADSE contributions")</f>
        <v>Contribuições para Segurança Social, CGA e ADSE</v>
      </c>
      <c r="C49" s="5">
        <v>0</v>
      </c>
      <c r="D49" s="5">
        <v>0</v>
      </c>
      <c r="E49" s="5"/>
      <c r="F49" s="237"/>
      <c r="G49" s="237"/>
      <c r="I49" s="237"/>
      <c r="J49" s="237"/>
      <c r="K49" s="237"/>
    </row>
    <row r="50" spans="2:11" ht="14.1" customHeight="1">
      <c r="B50" s="150" t="str">
        <f>IF(Indice_index!$Z$1=1,"Transferências correntes","Current transfers")</f>
        <v>Transferências correntes</v>
      </c>
      <c r="C50" s="5">
        <v>0</v>
      </c>
      <c r="D50" s="5">
        <f>113040.62/10^6</f>
        <v>0.11304061999999999</v>
      </c>
      <c r="E50" s="5"/>
      <c r="F50" s="237"/>
      <c r="G50" s="237"/>
      <c r="I50" s="237"/>
      <c r="J50" s="237"/>
      <c r="K50" s="237"/>
    </row>
    <row r="51" spans="2:11" ht="14.1" customHeight="1">
      <c r="B51" s="293" t="str">
        <f>IF(Indice_index!$Z$1=1,"das quais: Administração Central","of which: Central Administration")</f>
        <v>das quais: Administração Central</v>
      </c>
      <c r="C51" s="5">
        <v>0</v>
      </c>
      <c r="D51" s="5">
        <f>20400/10^6</f>
        <v>2.0400000000000001E-2</v>
      </c>
      <c r="E51" s="5"/>
      <c r="F51" s="237"/>
      <c r="G51" s="237"/>
      <c r="I51" s="237"/>
      <c r="J51" s="237"/>
      <c r="K51" s="237"/>
    </row>
    <row r="52" spans="2:11" ht="14.1" customHeight="1">
      <c r="B52" s="150" t="str">
        <f>IF(Indice_index!$Z$1=1,"Outras receitas correntes","Other current revenue")</f>
        <v>Outras receitas correntes</v>
      </c>
      <c r="C52" s="5">
        <f>4400/10^6</f>
        <v>4.4000000000000003E-3</v>
      </c>
      <c r="D52" s="5">
        <f>306884184.49/10^6</f>
        <v>306.88418449</v>
      </c>
      <c r="E52" s="5"/>
      <c r="F52" s="237"/>
      <c r="G52" s="237"/>
      <c r="I52" s="237"/>
      <c r="J52" s="237"/>
      <c r="K52" s="237"/>
    </row>
    <row r="53" spans="2:11" ht="14.1" customHeight="1">
      <c r="B53" s="293" t="str">
        <f>IF(Indice_index!$Z$1=1,"das quais: Administração Central","of which: Central Administration")</f>
        <v>das quais: Administração Central</v>
      </c>
      <c r="C53" s="5">
        <v>0</v>
      </c>
      <c r="D53" s="5">
        <v>0</v>
      </c>
      <c r="E53" s="5"/>
      <c r="F53" s="237"/>
      <c r="G53" s="237"/>
      <c r="I53" s="237"/>
      <c r="J53" s="237"/>
      <c r="K53" s="237"/>
    </row>
    <row r="54" spans="2:11" ht="14.1" customHeight="1">
      <c r="B54" s="293" t="str">
        <f>IF(Indice_index!$Z$1=1,"das quais: das quais: Vendas de bens e serviços / Saúde","of which: Sales of goods and services / Health sector")</f>
        <v>das quais: das quais: Vendas de bens e serviços / Saúde</v>
      </c>
      <c r="C54" s="5">
        <v>0</v>
      </c>
      <c r="D54" s="5">
        <f>303772566.08/10^6</f>
        <v>303.77256607999999</v>
      </c>
      <c r="E54" s="5"/>
      <c r="F54" s="237"/>
      <c r="G54" s="237"/>
      <c r="I54" s="237"/>
      <c r="J54" s="237"/>
      <c r="K54" s="237"/>
    </row>
    <row r="55" spans="2:11" ht="14.1" customHeight="1">
      <c r="B55" s="213" t="str">
        <f>IF(Indice_index!$Z$1=1,"Receita de capital","Capital revenue")</f>
        <v>Receita de capital</v>
      </c>
      <c r="C55" s="161">
        <f t="shared" ref="C55" si="15">+C56+C57+C59</f>
        <v>0</v>
      </c>
      <c r="D55" s="161">
        <f>+D56+D57+D59</f>
        <v>2.9613524999999998</v>
      </c>
      <c r="E55" s="161">
        <f>+E56+E57+E59</f>
        <v>0</v>
      </c>
      <c r="F55" s="234"/>
      <c r="G55" s="234"/>
      <c r="I55" s="234"/>
      <c r="J55" s="234"/>
      <c r="K55" s="234"/>
    </row>
    <row r="56" spans="2:11" ht="14.1" customHeight="1">
      <c r="B56" s="150" t="str">
        <f>IF(Indice_index!$Z$1=1,"Venda de bens de investimento","Sale of investment goods")</f>
        <v>Venda de bens de investimento</v>
      </c>
      <c r="C56" s="5">
        <v>0</v>
      </c>
      <c r="D56" s="5">
        <v>0</v>
      </c>
      <c r="E56" s="5"/>
      <c r="F56" s="237"/>
      <c r="G56" s="237"/>
      <c r="I56" s="237"/>
      <c r="J56" s="237"/>
      <c r="K56" s="237"/>
    </row>
    <row r="57" spans="2:11" ht="14.1" customHeight="1">
      <c r="B57" s="150" t="str">
        <f>IF(Indice_index!$Z$1=1,"Transferências de capital","Capital transfers")</f>
        <v>Transferências de capital</v>
      </c>
      <c r="C57" s="5">
        <v>0</v>
      </c>
      <c r="D57" s="5">
        <f>2961352.5/10^6</f>
        <v>2.9613524999999998</v>
      </c>
      <c r="E57" s="5"/>
      <c r="F57" s="237"/>
      <c r="G57" s="237"/>
      <c r="I57" s="237"/>
      <c r="J57" s="237"/>
      <c r="K57" s="237"/>
    </row>
    <row r="58" spans="2:11" ht="14.1" customHeight="1">
      <c r="B58" s="293" t="str">
        <f>IF(Indice_index!$Z$1=1,"das quais: Administração Central","of which: Central Administration")</f>
        <v>das quais: Administração Central</v>
      </c>
      <c r="C58" s="5">
        <v>0</v>
      </c>
      <c r="D58" s="5">
        <v>0</v>
      </c>
      <c r="E58" s="5"/>
      <c r="F58" s="237"/>
      <c r="G58" s="237"/>
      <c r="I58" s="237"/>
      <c r="J58" s="237"/>
      <c r="K58" s="237"/>
    </row>
    <row r="59" spans="2:11" ht="14.1" customHeight="1">
      <c r="B59" s="150" t="str">
        <f>IF(Indice_index!$Z$1=1,"Outras receitas de capital","Other capital revenue")</f>
        <v>Outras receitas de capital</v>
      </c>
      <c r="C59" s="5">
        <v>0</v>
      </c>
      <c r="D59" s="5">
        <v>0</v>
      </c>
      <c r="E59" s="5"/>
      <c r="F59" s="237"/>
      <c r="G59" s="237"/>
      <c r="I59" s="237"/>
      <c r="J59" s="237"/>
      <c r="K59" s="237"/>
    </row>
    <row r="60" spans="2:11" ht="14.1" customHeight="1">
      <c r="B60" s="18" t="str">
        <f>IF(Indice_index!$Z$1=1,"Receita efetiva","Effective revenue")</f>
        <v>Receita efetiva</v>
      </c>
      <c r="C60" s="19">
        <f t="shared" ref="C60" si="16">+C47+C55</f>
        <v>4.4000000000000003E-3</v>
      </c>
      <c r="D60" s="316">
        <f>+D47+D55</f>
        <v>309.95857760999996</v>
      </c>
      <c r="E60" s="19">
        <f>+E47+E55</f>
        <v>0</v>
      </c>
      <c r="F60" s="238"/>
      <c r="G60" s="238"/>
      <c r="I60" s="238"/>
      <c r="J60" s="238"/>
      <c r="K60" s="238"/>
    </row>
    <row r="61" spans="2:11" ht="14.1" customHeight="1">
      <c r="B61" s="213" t="str">
        <f>IF(Indice_index!$Z$1=1,"Despesa corrente","Current expenditure")</f>
        <v>Despesa corrente</v>
      </c>
      <c r="C61" s="161">
        <f t="shared" ref="C61" si="17">+C62+C63+C65+C67+C69+C71</f>
        <v>3.1250000000000002E-3</v>
      </c>
      <c r="D61" s="161">
        <f>+D62+D63+D65+D67+D69+D71</f>
        <v>304.20102245999999</v>
      </c>
      <c r="E61" s="161">
        <f>+E62+E63+E65+E67+E69+E71</f>
        <v>7.8882058499999994</v>
      </c>
      <c r="F61" s="234"/>
      <c r="G61" s="234"/>
      <c r="I61" s="234"/>
      <c r="J61" s="234"/>
      <c r="K61" s="234"/>
    </row>
    <row r="62" spans="2:11" ht="14.1" customHeight="1">
      <c r="B62" s="150" t="str">
        <f>IF(Indice_index!$Z$1=1,"Despesas com o pessoal","Employees")</f>
        <v>Despesas com o pessoal</v>
      </c>
      <c r="C62" s="5">
        <v>0</v>
      </c>
      <c r="D62" s="5">
        <f>136629027.08/10^6</f>
        <v>136.62902708000001</v>
      </c>
      <c r="E62" s="5">
        <f>7269167.84/10^6</f>
        <v>7.2691678399999997</v>
      </c>
      <c r="F62" s="237"/>
      <c r="G62" s="237"/>
      <c r="I62" s="237"/>
      <c r="J62" s="237"/>
      <c r="K62" s="237"/>
    </row>
    <row r="63" spans="2:11" ht="14.1" customHeight="1">
      <c r="B63" s="150" t="str">
        <f>IF(Indice_index!$Z$1=1,"Aquisição de bens e serviços","Purchase of goods and services")</f>
        <v>Aquisição de bens e serviços</v>
      </c>
      <c r="C63" s="5">
        <v>0</v>
      </c>
      <c r="D63" s="5">
        <f>166323679.01/10^6</f>
        <v>166.32367900999998</v>
      </c>
      <c r="E63" s="5">
        <f>604673.5/10^6</f>
        <v>0.60467349999999997</v>
      </c>
      <c r="F63" s="237"/>
      <c r="G63" s="237"/>
      <c r="I63" s="237"/>
      <c r="J63" s="237"/>
      <c r="K63" s="237"/>
    </row>
    <row r="64" spans="2:11" ht="14.1" customHeight="1">
      <c r="B64" s="293" t="str">
        <f>IF(Indice_index!$Z$1=1,"das quais: das quais: Aquisição de bens e serviços / Saúde","of which: Purchase of goods and services / Health sector")</f>
        <v>das quais: das quais: Aquisição de bens e serviços / Saúde</v>
      </c>
      <c r="C64" s="5">
        <v>0</v>
      </c>
      <c r="D64" s="5">
        <f>1882369.4/10^6</f>
        <v>1.8823694</v>
      </c>
      <c r="E64" s="5">
        <v>0</v>
      </c>
      <c r="F64" s="237"/>
      <c r="G64" s="237"/>
      <c r="I64" s="237"/>
      <c r="J64" s="237"/>
      <c r="K64" s="237"/>
    </row>
    <row r="65" spans="2:12" ht="14.1" customHeight="1">
      <c r="B65" s="150" t="str">
        <f>IF(Indice_index!$Z$1=1,"Juros e outros encargos","Interests and other charges")</f>
        <v>Juros e outros encargos</v>
      </c>
      <c r="C65" s="5">
        <v>0</v>
      </c>
      <c r="D65" s="5">
        <f>570020.49/10^6</f>
        <v>0.57002048999999999</v>
      </c>
      <c r="E65" s="5"/>
      <c r="F65" s="237"/>
      <c r="G65" s="237"/>
      <c r="I65" s="237"/>
      <c r="J65" s="237"/>
      <c r="K65" s="237"/>
    </row>
    <row r="66" spans="2:12" ht="14.1" customHeight="1">
      <c r="B66" s="293" t="str">
        <f>IF(Indice_index!$Z$1=1,"dos quais: Administração Central","of which: Central Administration")</f>
        <v>dos quais: Administração Central</v>
      </c>
      <c r="C66" s="5">
        <v>0</v>
      </c>
      <c r="D66" s="5">
        <v>0</v>
      </c>
      <c r="E66" s="5">
        <v>0</v>
      </c>
      <c r="F66" s="237"/>
      <c r="G66" s="237"/>
      <c r="I66" s="237"/>
      <c r="J66" s="237"/>
      <c r="K66" s="237"/>
    </row>
    <row r="67" spans="2:12" ht="14.1" customHeight="1">
      <c r="B67" s="150" t="str">
        <f>IF(Indice_index!$Z$1=1,"Transferências correntes","Current transfers")</f>
        <v>Transferências correntes</v>
      </c>
      <c r="C67" s="5"/>
      <c r="D67" s="5">
        <v>0</v>
      </c>
      <c r="E67" s="5">
        <f>11416.1/10^6</f>
        <v>1.14161E-2</v>
      </c>
      <c r="F67" s="237"/>
      <c r="G67" s="237"/>
      <c r="I67" s="237"/>
      <c r="J67" s="237"/>
      <c r="K67" s="237"/>
    </row>
    <row r="68" spans="2:12" ht="14.1" customHeight="1">
      <c r="B68" s="293" t="str">
        <f>IF(Indice_index!$Z$1=1,"das quais: Administração Central","of which: Central Administration")</f>
        <v>das quais: Administração Central</v>
      </c>
      <c r="C68" s="5">
        <v>0</v>
      </c>
      <c r="D68" s="5">
        <v>0</v>
      </c>
      <c r="E68" s="5">
        <v>0</v>
      </c>
      <c r="F68" s="237"/>
      <c r="G68" s="237"/>
      <c r="I68" s="237"/>
      <c r="J68" s="237"/>
      <c r="K68" s="237"/>
    </row>
    <row r="69" spans="2:12" ht="14.1" customHeight="1">
      <c r="B69" s="150" t="str">
        <f>IF(Indice_index!$Z$1=1,"Subsídios","Subsidies")</f>
        <v>Subsídios</v>
      </c>
      <c r="C69" s="5">
        <v>0</v>
      </c>
      <c r="D69" s="5">
        <v>0</v>
      </c>
      <c r="E69" s="5">
        <v>0</v>
      </c>
      <c r="F69" s="237"/>
      <c r="G69" s="237"/>
      <c r="I69" s="237"/>
      <c r="J69" s="237"/>
      <c r="K69" s="237"/>
    </row>
    <row r="70" spans="2:12" ht="14.1" customHeight="1">
      <c r="B70" s="210" t="str">
        <f>IF(Indice_index!$Z$1=1,"dos quais: Administração Central","of which: Central Administration")</f>
        <v>dos quais: Administração Central</v>
      </c>
      <c r="C70" s="5">
        <v>0</v>
      </c>
      <c r="D70" s="5">
        <v>0</v>
      </c>
      <c r="E70" s="5">
        <v>0</v>
      </c>
      <c r="F70" s="237"/>
      <c r="G70" s="237"/>
      <c r="I70" s="237"/>
      <c r="J70" s="237"/>
      <c r="K70" s="237"/>
    </row>
    <row r="71" spans="2:12" ht="14.1" customHeight="1">
      <c r="B71" s="150" t="str">
        <f>IF(Indice_index!$Z$1=1,"Outras despesas correntes","Other current expenditure")</f>
        <v>Outras despesas correntes</v>
      </c>
      <c r="C71" s="5">
        <f>3125/10^6</f>
        <v>3.1250000000000002E-3</v>
      </c>
      <c r="D71" s="5">
        <f>678295.88/10^6</f>
        <v>0.67829587999999996</v>
      </c>
      <c r="E71" s="5">
        <f>2948.41/10^6</f>
        <v>2.9484099999999998E-3</v>
      </c>
      <c r="F71" s="237"/>
      <c r="G71" s="237"/>
      <c r="I71" s="237"/>
      <c r="J71" s="237"/>
      <c r="K71" s="237"/>
    </row>
    <row r="72" spans="2:12" ht="14.1" customHeight="1">
      <c r="B72" s="213" t="str">
        <f>IF(Indice_index!$Z$1=1,"Despesa de capital","Capital expenditure")</f>
        <v>Despesa de capital</v>
      </c>
      <c r="C72" s="161">
        <f t="shared" ref="C72" si="18">+C73+C74+C76</f>
        <v>0</v>
      </c>
      <c r="D72" s="161">
        <f>+D73+D74+D76</f>
        <v>12.48184002</v>
      </c>
      <c r="E72" s="161">
        <f>+E73+E74+E76</f>
        <v>2.6031119999999998E-2</v>
      </c>
      <c r="F72" s="234"/>
      <c r="G72" s="234"/>
      <c r="I72" s="234"/>
      <c r="J72" s="234"/>
      <c r="K72" s="234"/>
    </row>
    <row r="73" spans="2:12" ht="14.1" customHeight="1">
      <c r="B73" s="150" t="str">
        <f>IF(Indice_index!$Z$1=1,"Investimento","Investment")</f>
        <v>Investimento</v>
      </c>
      <c r="C73" s="5">
        <v>0</v>
      </c>
      <c r="D73" s="5">
        <f>12457090.03/10^6</f>
        <v>12.45709003</v>
      </c>
      <c r="E73" s="5">
        <f>26031.12/10^6</f>
        <v>2.6031119999999998E-2</v>
      </c>
      <c r="F73" s="237"/>
      <c r="G73" s="237"/>
      <c r="I73" s="237"/>
      <c r="J73" s="237"/>
      <c r="K73" s="237"/>
    </row>
    <row r="74" spans="2:12" ht="14.1" customHeight="1">
      <c r="B74" s="150" t="str">
        <f>IF(Indice_index!$Z$1=1,"Transferências de capital","Capital transfers")</f>
        <v>Transferências de capital</v>
      </c>
      <c r="C74" s="5">
        <v>0</v>
      </c>
      <c r="D74" s="5">
        <f>24749.99/10^6</f>
        <v>2.4749990000000003E-2</v>
      </c>
      <c r="E74" s="5">
        <v>0</v>
      </c>
      <c r="F74" s="237"/>
      <c r="G74" s="237"/>
      <c r="I74" s="237"/>
      <c r="J74" s="237"/>
      <c r="K74" s="237"/>
    </row>
    <row r="75" spans="2:12" ht="14.1" customHeight="1">
      <c r="B75" s="293" t="str">
        <f>IF(Indice_index!$Z$1=1,"das quais: Administração Central","of which: Central Administration")</f>
        <v>das quais: Administração Central</v>
      </c>
      <c r="C75" s="5">
        <v>0</v>
      </c>
      <c r="D75" s="5">
        <f>24749.99/10^6</f>
        <v>2.4749990000000003E-2</v>
      </c>
      <c r="E75" s="5">
        <v>0</v>
      </c>
      <c r="F75" s="237"/>
      <c r="G75" s="237"/>
      <c r="I75" s="237"/>
      <c r="J75" s="237"/>
      <c r="K75" s="237"/>
    </row>
    <row r="76" spans="2:12" ht="14.1" customHeight="1">
      <c r="B76" s="150" t="str">
        <f>IF(Indice_index!$Z$1=1,"Outras despesas de capital","Other capital expenditure")</f>
        <v>Outras despesas de capital</v>
      </c>
      <c r="C76" s="5">
        <v>0</v>
      </c>
      <c r="D76" s="5">
        <v>0</v>
      </c>
      <c r="E76" s="5">
        <v>0</v>
      </c>
      <c r="F76" s="237"/>
      <c r="G76" s="237"/>
      <c r="I76" s="237"/>
      <c r="J76" s="237"/>
      <c r="K76" s="237"/>
    </row>
    <row r="77" spans="2:12" ht="14.1" customHeight="1">
      <c r="B77" s="18" t="str">
        <f>IF(Indice_index!$Z$1=1,"Despesa efetiva","Effective expenditure")</f>
        <v>Despesa efetiva</v>
      </c>
      <c r="C77" s="19">
        <f t="shared" ref="C77" si="19">+C61+C72</f>
        <v>3.1250000000000002E-3</v>
      </c>
      <c r="D77" s="316">
        <f>+D61+D72</f>
        <v>316.68286247999998</v>
      </c>
      <c r="E77" s="19">
        <f>+E61+E72</f>
        <v>7.9142369699999993</v>
      </c>
      <c r="F77" s="238"/>
      <c r="G77" s="238"/>
      <c r="I77" s="238"/>
      <c r="J77" s="238"/>
      <c r="K77" s="238"/>
    </row>
    <row r="78" spans="2:12" ht="14.1" customHeight="1">
      <c r="B78" s="18" t="str">
        <f>IF(Indice_index!$Z$1=1,"Saldo global","Overall balance")</f>
        <v>Saldo global</v>
      </c>
      <c r="C78" s="19">
        <f t="shared" ref="C78" si="20">+C60-C77</f>
        <v>1.2750000000000001E-3</v>
      </c>
      <c r="D78" s="316">
        <f>+D60-D77</f>
        <v>-6.7242848700000195</v>
      </c>
      <c r="E78" s="19">
        <f>+E60-E77</f>
        <v>-7.9142369699999993</v>
      </c>
      <c r="F78" s="238"/>
      <c r="G78" s="238"/>
      <c r="I78" s="238"/>
      <c r="J78" s="238"/>
      <c r="K78" s="238"/>
    </row>
    <row r="79" spans="2:12" ht="45.75" customHeight="1">
      <c r="B79" s="28" t="str">
        <f>IF(Indice_index!$Z$1=1,"Períodos com ausência de reporte","Months without report")</f>
        <v>Períodos com ausência de reporte</v>
      </c>
      <c r="C79" s="159" t="str">
        <f>IF(Indice_index!$Z$1=1,"setembro","September")</f>
        <v>setembro</v>
      </c>
      <c r="D79" s="159" t="str">
        <f>IF(Indice_index!$Z$1=1,"fevereiro; março; abril; maio; junho; julho; agosto; setembro","February; March; April; May; June; July; August; September")</f>
        <v>fevereiro; março; abril; maio; junho; julho; agosto; setembro</v>
      </c>
      <c r="E79" s="159" t="str">
        <f>IF(Indice_index!$Z$1=1,"setembro","September")</f>
        <v>setembro</v>
      </c>
      <c r="F79" s="239"/>
      <c r="G79" s="239"/>
      <c r="I79" s="239"/>
      <c r="J79" s="239"/>
      <c r="K79" s="239"/>
    </row>
    <row r="80" spans="2:12" ht="15">
      <c r="B80" s="140"/>
      <c r="C80" s="140"/>
      <c r="D80" s="140"/>
      <c r="E80" s="140"/>
      <c r="F80" s="140"/>
      <c r="G80" s="140"/>
      <c r="H80" s="140"/>
      <c r="I80" s="140"/>
      <c r="J80" s="140"/>
      <c r="K80" s="140"/>
      <c r="L80" s="140"/>
    </row>
    <row r="81" spans="2:12" ht="15">
      <c r="B81" s="140" t="str">
        <f>IF(Indice_index!$Z$1=1,"Notas:","Notes:")</f>
        <v>Notas:</v>
      </c>
      <c r="C81" s="140"/>
      <c r="D81" s="140"/>
      <c r="E81" s="140"/>
      <c r="F81" s="140"/>
      <c r="G81" s="140"/>
      <c r="H81" s="140"/>
      <c r="I81" s="140"/>
      <c r="J81" s="140"/>
      <c r="K81" s="140"/>
      <c r="L81" s="140"/>
    </row>
    <row r="82" spans="2:12" ht="24" customHeight="1">
      <c r="B82" s="447" t="str">
        <f>+'8 - EPR'!B76</f>
        <v>Para as entidades identificadas considera-se na execução orçamental uma estimativa de execução para os meses em falta, a qual corresponde a um duodécimo do orçamento aprovado abatido dos cativos previstos na lei do OE2024 ( Lei n.º 82/2023 de 29 de dezembro).</v>
      </c>
      <c r="C82" s="447"/>
      <c r="D82" s="447"/>
      <c r="E82" s="447"/>
      <c r="F82" s="447"/>
      <c r="G82" s="447"/>
      <c r="H82" s="447"/>
      <c r="I82" s="245"/>
      <c r="J82" s="245"/>
      <c r="K82" s="245"/>
      <c r="L82" s="245"/>
    </row>
    <row r="83" spans="2:12" ht="15" customHeight="1">
      <c r="B83" s="447" t="str">
        <f>+'8 - EPR'!B77</f>
        <v>Esta estimativa apenas é utilizada para os meses em que haja falta de reporte. Nos restantes meses, é utilizada a informação efetivamente reportada pelas entidades.</v>
      </c>
      <c r="C83" s="447"/>
      <c r="D83" s="447"/>
      <c r="E83" s="447"/>
      <c r="F83" s="447"/>
      <c r="G83" s="447"/>
      <c r="H83" s="447"/>
      <c r="I83" s="447"/>
      <c r="J83" s="447"/>
      <c r="K83" s="447"/>
      <c r="L83" s="447"/>
    </row>
    <row r="84" spans="2:12" ht="38.25" customHeight="1">
      <c r="B84" s="447" t="str">
        <f>"a) "&amp;'7 - SFA'!B78</f>
        <v>a) O período de setembro de 2023 encontra-se ajustado dos dados de execução do Centro Hospitalar Universitário de Santo António, E.P.E., com base em informação enviada posteriormente pela entidade, uma vez que, na sequência da sua criação em fevereiro de 2023 (Decreto-Lei n.º 7-A/2023, de 30 de janeiro), por fusão do Centro Hospitalar Universitário do Porto, E.P.E. e do Hospital Magalhães Lemos - Porto, E.P.E., não se verificou viável o respetivo reporte nos sistemas centrais.</v>
      </c>
      <c r="C84" s="447"/>
      <c r="D84" s="447"/>
      <c r="E84" s="447"/>
      <c r="F84" s="447"/>
      <c r="G84" s="447"/>
      <c r="H84" s="447"/>
      <c r="I84" s="272"/>
      <c r="J84" s="272"/>
      <c r="K84" s="272"/>
      <c r="L84" s="272"/>
    </row>
    <row r="85" spans="2:12" ht="24" customHeight="1">
      <c r="B85" s="447" t="str">
        <f>"b) "&amp;+'5 - Estado'!B72</f>
        <v>b) O período de setembro de 2023 encontra-se ajustado de pagamentos efetuados pelo Estado-Maior-General das Forças Armadas (7,9 milhões de euros), os quais, por motivos técnicos, não chegaram a entrar nos sistemas orçamentais centrais ainda nesse período.</v>
      </c>
      <c r="C85" s="447"/>
      <c r="D85" s="447"/>
      <c r="E85" s="447"/>
      <c r="F85" s="447"/>
      <c r="G85" s="447"/>
      <c r="H85" s="447"/>
      <c r="I85" s="272"/>
      <c r="J85" s="272"/>
      <c r="K85" s="272"/>
      <c r="L85" s="272"/>
    </row>
    <row r="86" spans="2:12" ht="15">
      <c r="B86" s="201" t="str">
        <f>IF(Indice_index!$Z$1=1,"Fonte: Direção-Geral do Orçamento.","Source: Budget General Directorate.")</f>
        <v>Fonte: Direção-Geral do Orçamento.</v>
      </c>
      <c r="C86" s="139"/>
      <c r="D86" s="139"/>
      <c r="E86" s="139"/>
      <c r="F86" s="139"/>
      <c r="G86" s="139"/>
      <c r="H86" s="139"/>
      <c r="I86" s="139"/>
      <c r="J86" s="139"/>
      <c r="K86" s="139"/>
      <c r="L86" s="139"/>
    </row>
    <row r="87" spans="2:12" ht="14.85" customHeight="1"/>
  </sheetData>
  <mergeCells count="5">
    <mergeCell ref="B82:H82"/>
    <mergeCell ref="B83:H83"/>
    <mergeCell ref="I83:L83"/>
    <mergeCell ref="B84:H84"/>
    <mergeCell ref="B85:H85"/>
  </mergeCells>
  <conditionalFormatting sqref="C47:G59 C61:G76">
    <cfRule type="cellIs" dxfId="6" priority="1" operator="equal">
      <formula>0</formula>
    </cfRule>
  </conditionalFormatting>
  <conditionalFormatting sqref="C11:J23">
    <cfRule type="cellIs" dxfId="5" priority="11" operator="equal">
      <formula>0</formula>
    </cfRule>
  </conditionalFormatting>
  <conditionalFormatting sqref="C25:J40">
    <cfRule type="cellIs" dxfId="4" priority="10" operator="equal">
      <formula>0</formula>
    </cfRule>
  </conditionalFormatting>
  <conditionalFormatting sqref="I47:K59 I61:K76">
    <cfRule type="cellIs" dxfId="3" priority="17"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B52 D79"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G177"/>
  <sheetViews>
    <sheetView showGridLines="0" zoomScaleNormal="100" workbookViewId="0"/>
  </sheetViews>
  <sheetFormatPr defaultColWidth="0" defaultRowHeight="14.85" customHeight="1" zeroHeight="1"/>
  <cols>
    <col min="1" max="1" width="8.5703125" style="101" customWidth="1"/>
    <col min="2" max="2" width="9.5703125" style="137" customWidth="1"/>
    <col min="3" max="3" width="36" style="137" customWidth="1"/>
    <col min="4" max="4" width="68.42578125" style="137" customWidth="1"/>
    <col min="5" max="6" width="11.5703125" style="137" customWidth="1"/>
    <col min="7" max="7" width="13.42578125" bestFit="1" customWidth="1"/>
    <col min="8" max="33" width="0" hidden="1" customWidth="1"/>
    <col min="34" max="16384" width="9.42578125" hidden="1"/>
  </cols>
  <sheetData>
    <row r="1" spans="1:15" ht="14.85" customHeight="1"/>
    <row r="2" spans="1:15" ht="15"/>
    <row r="3" spans="1:15" ht="15"/>
    <row r="4" spans="1:15" ht="15"/>
    <row r="5" spans="1:15" ht="15"/>
    <row r="6" spans="1:15" ht="15"/>
    <row r="7" spans="1:15" ht="50.1" customHeight="1">
      <c r="A7" s="12"/>
      <c r="B7" s="13"/>
      <c r="C7" s="14"/>
      <c r="D7" s="12"/>
      <c r="E7" s="12"/>
      <c r="F7" s="12"/>
      <c r="G7" s="12"/>
      <c r="H7" s="12"/>
      <c r="I7" s="12"/>
      <c r="J7" s="12"/>
      <c r="K7" s="12"/>
      <c r="L7" s="11"/>
      <c r="M7" s="11"/>
      <c r="N7" s="11"/>
      <c r="O7" s="11"/>
    </row>
    <row r="8" spans="1:15" ht="15.75">
      <c r="A8" s="2"/>
      <c r="B8" s="141" t="str">
        <f>IF(Indice_index!$Z$1=1,"Quadro 23 - Utilização condicionada das dotações orçamentais do OE 2024","23 - Frozen allocations from the 2024 State Budget")</f>
        <v>Quadro 23 - Utilização condicionada das dotações orçamentais do OE 2024</v>
      </c>
      <c r="C8" s="142"/>
      <c r="D8" s="142"/>
      <c r="E8" s="2"/>
      <c r="F8" s="2"/>
      <c r="G8" s="2"/>
    </row>
    <row r="9" spans="1:15" ht="15">
      <c r="A9" s="3"/>
      <c r="B9" s="143" t="str">
        <f>IF(Indice_index!$Z$1=1,"Período: agosto","Period: August")</f>
        <v>Período: agosto</v>
      </c>
      <c r="C9" s="143"/>
      <c r="D9" s="143"/>
      <c r="E9" s="3"/>
      <c r="F9" s="3" t="str">
        <f>IF(Indice_index!$Z$1=1,"€ Milhões","€ Millions")</f>
        <v>€ Milhões</v>
      </c>
      <c r="G9" s="3"/>
    </row>
    <row r="10" spans="1:15" ht="16.350000000000001" customHeight="1">
      <c r="A10" s="86"/>
      <c r="B10" s="377" t="str">
        <f>IF(Indice_index!$Z$1=1,"Ministério","Ministry")</f>
        <v>Ministério</v>
      </c>
      <c r="C10" s="377" t="str">
        <f>IF(Indice_index!$Z$1=1,"Programa Orçamental","Budgetary program")</f>
        <v>Programa Orçamental</v>
      </c>
      <c r="D10" s="377" t="str">
        <f>IF(Indice_index!$Z$1=1,"Medida","Measure")</f>
        <v>Medida</v>
      </c>
      <c r="E10" s="378">
        <v>2024</v>
      </c>
      <c r="F10" s="375"/>
    </row>
    <row r="11" spans="1:15" ht="16.350000000000001" customHeight="1">
      <c r="A11" s="86"/>
      <c r="B11" s="376"/>
      <c r="C11" s="376"/>
      <c r="D11" s="376"/>
      <c r="E11" s="153" t="str">
        <f>IF(Indice_index!$Z$1=1,"Cativos iniciais","Initial frozen allocations")</f>
        <v>Cativos iniciais</v>
      </c>
      <c r="F11" s="144" t="str">
        <f>IF(Indice_index!$Z$1=1,"Cativos atuais","Current frozen allocations")</f>
        <v>Cativos atuais</v>
      </c>
    </row>
    <row r="12" spans="1:15" ht="16.350000000000001" customHeight="1">
      <c r="A12" s="62"/>
      <c r="B12" s="376"/>
      <c r="C12" s="376"/>
      <c r="D12" s="376"/>
      <c r="E12" s="151" t="s">
        <v>56</v>
      </c>
      <c r="F12" s="145" t="s">
        <v>57</v>
      </c>
    </row>
    <row r="13" spans="1:15" ht="14.1" customHeight="1">
      <c r="A13" s="89"/>
      <c r="B13" s="277" t="str">
        <f>IF(Indice_index!$Z$1=1,"EGE","GCS")</f>
        <v>EGE</v>
      </c>
      <c r="C13" s="213" t="str">
        <f>IF(Indice_index!$Z$1=1,"P001 - Órgãos de Soberania","P001 - Bodies of Sovereignty")</f>
        <v>P001 - Órgãos de Soberania</v>
      </c>
      <c r="D13" s="276" t="str">
        <f>IF(Indice_index!$Z$1=1,"001 - Serviços Gerais da Administração Pública - Administração geral","001 - General public services - General Administration")</f>
        <v>001 - Serviços Gerais da Administração Pública - Administração geral</v>
      </c>
      <c r="E13" s="5">
        <v>12.000049000000001</v>
      </c>
      <c r="F13" s="5">
        <v>0.272536</v>
      </c>
      <c r="G13" s="90"/>
    </row>
    <row r="14" spans="1:15" ht="14.1" customHeight="1">
      <c r="A14" s="89"/>
      <c r="B14" s="277"/>
      <c r="C14" s="213"/>
      <c r="D14" s="276" t="str">
        <f>IF(Indice_index!$Z$1=1,"012 - Segurança e ordem públicas - Sistema judiciário","012 - Public safety and order - Judicial system")</f>
        <v>012 - Segurança e ordem públicas - Sistema judiciário</v>
      </c>
      <c r="E14" s="5">
        <v>2.1015760000000001</v>
      </c>
      <c r="F14" s="5">
        <v>0.73765899999999995</v>
      </c>
      <c r="G14" s="90"/>
    </row>
    <row r="15" spans="1:15" ht="14.1" customHeight="1">
      <c r="A15" s="89"/>
      <c r="B15" s="277"/>
      <c r="C15" s="213"/>
      <c r="D15" s="276" t="str">
        <f>IF(Indice_index!$Z$1=1,"038 - Serviços culturais, recreativos e religiosos - Comunicação social","038 - Cultural, recreational and religious services - Media")</f>
        <v>038 - Serviços culturais, recreativos e religiosos - Comunicação social</v>
      </c>
      <c r="E15" s="5">
        <v>0.30734499999999998</v>
      </c>
      <c r="F15" s="5">
        <v>0</v>
      </c>
      <c r="G15" s="90"/>
    </row>
    <row r="16" spans="1:15" ht="14.1" customHeight="1">
      <c r="A16" s="89"/>
      <c r="B16" s="213"/>
      <c r="C16" s="213"/>
      <c r="D16" s="213" t="str">
        <f>C13</f>
        <v>P001 - Órgãos de Soberania</v>
      </c>
      <c r="E16" s="161">
        <f>SUM(E13:E15)</f>
        <v>14.40897</v>
      </c>
      <c r="F16" s="161">
        <f>SUM(F13:F15)</f>
        <v>1.010195</v>
      </c>
      <c r="G16" s="90"/>
    </row>
    <row r="17" spans="2:6" ht="14.1" customHeight="1">
      <c r="B17" s="277" t="str">
        <f>IF(Indice_index!$Z$1=1,"PCM","PRP")</f>
        <v>PCM</v>
      </c>
      <c r="C17" s="213" t="str">
        <f>IF(Indice_index!$Z$1=1,"P002 - Governação","P002 - Governance")</f>
        <v>P002 - Governação</v>
      </c>
      <c r="D17" s="276" t="str">
        <f>IF(Indice_index!$Z$1=1,"001 - Serviços Gerais da Administração Pública - Administração geral","001 - General public services - General Administration")</f>
        <v>001 - Serviços Gerais da Administração Pública - Administração geral</v>
      </c>
      <c r="E17" s="5">
        <v>18.528596</v>
      </c>
      <c r="F17" s="5">
        <v>3.8215430000000001</v>
      </c>
    </row>
    <row r="18" spans="2:6" ht="14.1" customHeight="1">
      <c r="B18" s="277"/>
      <c r="C18" s="213"/>
      <c r="D18" s="276" t="str">
        <f>IF(Indice_index!$Z$1=1,"002 - Serviços Gerais da A.P. - Negócios estrangeiros","002 - General public services - Foreign affairs")</f>
        <v>002 - Serviços Gerais da A.P. - Negócios estrangeiros</v>
      </c>
      <c r="E18" s="5">
        <v>6.2434000000000003E-2</v>
      </c>
      <c r="F18" s="5">
        <v>0</v>
      </c>
    </row>
    <row r="19" spans="2:6" ht="14.1" customHeight="1">
      <c r="B19" s="277"/>
      <c r="C19" s="213"/>
      <c r="D19" s="276" t="str">
        <f>IF(Indice_index!$Z$1=1,"011 - Segurança e ordem públicas - Forças de segurança","011 - Public safety and order - Security forces")</f>
        <v>011 - Segurança e ordem públicas - Forças de segurança</v>
      </c>
      <c r="E19" s="5">
        <v>1.2127250000000001</v>
      </c>
      <c r="F19" s="5">
        <v>0</v>
      </c>
    </row>
    <row r="20" spans="2:6" ht="14.1" customHeight="1">
      <c r="B20" s="277"/>
      <c r="C20" s="213"/>
      <c r="D20" s="276" t="str">
        <f>IF(Indice_index!$Z$1=1,"024 - Segurança e ação social - Administração e regulamentação","024 - Social Security and Action - Administration and regulations")</f>
        <v>024 - Segurança e ação social - Administração e regulamentação</v>
      </c>
      <c r="E20" s="5">
        <v>4.7974000000000003E-2</v>
      </c>
      <c r="F20" s="5">
        <v>4.7974000000000003E-2</v>
      </c>
    </row>
    <row r="21" spans="2:6" ht="14.1" customHeight="1">
      <c r="B21" s="277"/>
      <c r="C21" s="213"/>
      <c r="D21" s="276" t="str">
        <f>IF(Indice_index!$Z$1=1,"037 - Serviços culturais, recreativos e religiosos - Desporto, recreio e lazer","037 - Cultural, recreational and religious services - Sports, recreation and leisure")</f>
        <v>037 - Serviços culturais, recreativos e religiosos - Desporto, recreio e lazer</v>
      </c>
      <c r="E21" s="5">
        <v>0.75566800000000001</v>
      </c>
      <c r="F21" s="5">
        <v>0.75566800000000001</v>
      </c>
    </row>
    <row r="22" spans="2:6" ht="14.1" customHeight="1">
      <c r="B22" s="277"/>
      <c r="C22" s="213"/>
      <c r="D22" s="276" t="str">
        <f>IF(Indice_index!$Z$1=1,"063 - Outras funções económicas - Administração e regulamentação","063 - Outher economic functions - Administration e regulation")</f>
        <v>063 - Outras funções económicas - Administração e regulamentação</v>
      </c>
      <c r="E22" s="5">
        <v>5.7476310000000002</v>
      </c>
      <c r="F22" s="5">
        <v>0</v>
      </c>
    </row>
    <row r="23" spans="2:6" ht="14.1" customHeight="1">
      <c r="B23" s="277"/>
      <c r="C23" s="213"/>
      <c r="D23" s="276" t="str">
        <f>IF(Indice_index!$Z$1=1,"068 - Outras funções - Diversas não especificadas","068 - Other functions - Various unspecified")</f>
        <v>068 - Outras funções - Diversas não especificadas</v>
      </c>
      <c r="E23" s="5">
        <v>2.9399999999999999E-4</v>
      </c>
      <c r="F23" s="5">
        <v>2.9399999999999999E-4</v>
      </c>
    </row>
    <row r="24" spans="2:6" ht="14.1" customHeight="1">
      <c r="B24" s="213"/>
      <c r="C24" s="213"/>
      <c r="D24" s="278" t="str">
        <f>B17</f>
        <v>PCM</v>
      </c>
      <c r="E24" s="161">
        <f>SUM(E17:E23)</f>
        <v>26.355321999999997</v>
      </c>
      <c r="F24" s="161">
        <f>SUM(F17:F23)</f>
        <v>4.6254790000000003</v>
      </c>
    </row>
    <row r="25" spans="2:6" ht="14.1" customHeight="1">
      <c r="B25" s="277" t="str">
        <f>IF(Indice_index!$Z$1=1,"MCT","MTC")</f>
        <v>MCT</v>
      </c>
      <c r="C25" s="213" t="str">
        <f>IF(Indice_index!$Z$1=1,"P002 - Governação","P002 - Governance")</f>
        <v>P002 - Governação</v>
      </c>
      <c r="D25" s="276" t="str">
        <f>IF(Indice_index!$Z$1=1,"001 - Serviços Gerais da Administração Pública - Administração geral","001 - General public services - General Administration")</f>
        <v>001 - Serviços Gerais da Administração Pública - Administração geral</v>
      </c>
      <c r="E25" s="5">
        <v>0.41894199999999998</v>
      </c>
      <c r="F25" s="5">
        <v>5.9915000000000003E-2</v>
      </c>
    </row>
    <row r="26" spans="2:6" ht="14.1" customHeight="1">
      <c r="B26" s="277"/>
      <c r="C26" s="213"/>
      <c r="D26" s="276" t="str">
        <f>IF(Indice_index!$Z$1=1,"003 - Serv. Gerais da A.P. - Cooperação económica externa","003 - General public services - External economic cooperation")</f>
        <v>003 - Serv. Gerais da A.P. - Cooperação económica externa</v>
      </c>
      <c r="E26" s="5">
        <v>5.3561999999999999E-2</v>
      </c>
      <c r="F26" s="5">
        <v>0</v>
      </c>
    </row>
    <row r="27" spans="2:6" ht="14.1" customHeight="1">
      <c r="B27" s="277"/>
      <c r="C27" s="213"/>
      <c r="D27" s="276" t="str">
        <f>IF(Indice_index!$Z$1=1,"028 - Habitação e serviços coletivos - Administração e regulamentação","028 - Housing and Common services - Administration and regulations")</f>
        <v>028 - Habitação e serviços coletivos - Administração e regulamentação</v>
      </c>
      <c r="E27" s="5">
        <v>1.873262</v>
      </c>
      <c r="F27" s="5">
        <v>1.2773749999999999</v>
      </c>
    </row>
    <row r="28" spans="2:6" ht="14.1" customHeight="1">
      <c r="B28" s="277"/>
      <c r="C28" s="213"/>
      <c r="D28" s="276" t="str">
        <f>IF(Indice_index!$Z$1=1,"031 - Habitação e serviços coletivos - Ordenamento do território","031 - Housing and Common services - Land-use")</f>
        <v>031 - Habitação e serviços coletivos - Ordenamento do território</v>
      </c>
      <c r="E28" s="5">
        <v>0.79243799999999998</v>
      </c>
      <c r="F28" s="5">
        <v>0.53883300000000001</v>
      </c>
    </row>
    <row r="29" spans="2:6" ht="14.1" customHeight="1">
      <c r="B29" s="277"/>
      <c r="C29" s="213"/>
      <c r="D29" s="276"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29" s="5">
        <v>0.11873</v>
      </c>
      <c r="F29" s="5">
        <v>0.11873</v>
      </c>
    </row>
    <row r="30" spans="2:6" ht="14.1" customHeight="1">
      <c r="B30" s="277"/>
      <c r="C30" s="213"/>
      <c r="D30" s="276" t="str">
        <f>IF(Indice_index!$Z$1=1,"063 - Outras funções económicas - Administração e regulamentação","063 - Outher economic functions - Administration e regulation")</f>
        <v>063 - Outras funções económicas - Administração e regulamentação</v>
      </c>
      <c r="E30" s="5">
        <v>0.329536</v>
      </c>
      <c r="F30" s="5">
        <v>0.329536</v>
      </c>
    </row>
    <row r="31" spans="2:6" ht="14.1" customHeight="1">
      <c r="B31" s="277"/>
      <c r="C31" s="213"/>
      <c r="D31" s="276" t="str">
        <f>IF(Indice_index!$Z$1=1,"065 - Outras funções económicas - Diversas não especificadas","065 - Other economic functions - Various unspecified")</f>
        <v>065 - Outras funções económicas - Diversas não especificadas</v>
      </c>
      <c r="E31" s="5">
        <v>2.0479000000000001E-2</v>
      </c>
      <c r="F31" s="5">
        <v>1.25E-3</v>
      </c>
    </row>
    <row r="32" spans="2:6" ht="14.1" customHeight="1">
      <c r="B32" s="213"/>
      <c r="C32" s="213"/>
      <c r="D32" s="278" t="str">
        <f>B25</f>
        <v>MCT</v>
      </c>
      <c r="E32" s="161">
        <f>SUM(E25:E31)</f>
        <v>3.6069490000000002</v>
      </c>
      <c r="F32" s="161">
        <f>SUM(F25:F31)</f>
        <v>2.3256389999999998</v>
      </c>
    </row>
    <row r="33" spans="2:6" ht="14.1" customHeight="1">
      <c r="B33" s="213"/>
      <c r="C33" s="213"/>
      <c r="D33" s="213" t="str">
        <f>C25</f>
        <v>P002 - Governação</v>
      </c>
      <c r="E33" s="161">
        <f>SUM(E24,E32)</f>
        <v>29.962270999999998</v>
      </c>
      <c r="F33" s="161">
        <f>SUM(F24,F32)</f>
        <v>6.9511180000000001</v>
      </c>
    </row>
    <row r="34" spans="2:6" ht="14.1" customHeight="1">
      <c r="B34" s="277" t="str">
        <f>IF(Indice_index!$Z$1=1,"MNE","MFA")</f>
        <v>MNE</v>
      </c>
      <c r="C34" s="213" t="str">
        <f>IF(Indice_index!$Z$1=1,"P003 - Representação Externa","P003 - External Representation")</f>
        <v>P003 - Representação Externa</v>
      </c>
      <c r="D34" s="276" t="str">
        <f>IF(Indice_index!$Z$1=1,"002 - Serviços Gerais da A.P. - Negócios estrangeiros","002 - General public services - Foreign affairs")</f>
        <v>002 - Serviços Gerais da A.P. - Negócios estrangeiros</v>
      </c>
      <c r="E34" s="5">
        <v>8.5924820000000004</v>
      </c>
      <c r="F34" s="5">
        <v>3.9289900000000002</v>
      </c>
    </row>
    <row r="35" spans="2:6" ht="14.1" customHeight="1">
      <c r="B35" s="277"/>
      <c r="C35" s="213"/>
      <c r="D35" s="276" t="str">
        <f>IF(Indice_index!$Z$1=1,"003 - Serv. Gerais da A.P. - Cooperação económica externa","003 - General public services - External economic cooperation")</f>
        <v>003 - Serv. Gerais da A.P. - Cooperação económica externa</v>
      </c>
      <c r="E35" s="5">
        <v>0.116142</v>
      </c>
      <c r="F35" s="5">
        <v>0.116142</v>
      </c>
    </row>
    <row r="36" spans="2:6" ht="14.1" customHeight="1">
      <c r="B36" s="213"/>
      <c r="C36" s="213"/>
      <c r="D36" s="213" t="str">
        <f>C34</f>
        <v>P003 - Representação Externa</v>
      </c>
      <c r="E36" s="161">
        <f>SUM(E34:E35)</f>
        <v>8.7086240000000004</v>
      </c>
      <c r="F36" s="161">
        <f>SUM(F34:F35)</f>
        <v>4.0451320000000006</v>
      </c>
    </row>
    <row r="37" spans="2:6" ht="14.1" customHeight="1">
      <c r="B37" s="277" t="str">
        <f>IF(Indice_index!$Z$1=1,"MDN","MND")</f>
        <v>MDN</v>
      </c>
      <c r="C37" s="213" t="str">
        <f>IF(Indice_index!$Z$1=1,"P004 - Defesa","P004 - Defence")</f>
        <v>P004 - Defesa</v>
      </c>
      <c r="D37" s="276" t="str">
        <f>IF(Indice_index!$Z$1=1,"004 - Serv. Gerais da A.P. - Investigação científica de carácter geral","004 - General public services - General scientific research")</f>
        <v>004 - Serv. Gerais da A.P. - Investigação científica de carácter geral</v>
      </c>
      <c r="E37" s="5">
        <v>1.7857000000000001E-2</v>
      </c>
      <c r="F37" s="5">
        <v>1.7857000000000001E-2</v>
      </c>
    </row>
    <row r="38" spans="2:6" ht="14.1" customHeight="1">
      <c r="B38" s="277"/>
      <c r="C38" s="213"/>
      <c r="D38" s="276" t="str">
        <f>IF(Indice_index!$Z$1=1,"005 - Defesa Nacional - Administração e regulamentação","005 - National Defence - Administration and regulations")</f>
        <v>005 - Defesa Nacional - Administração e regulamentação</v>
      </c>
      <c r="E38" s="5">
        <v>2.633346</v>
      </c>
      <c r="F38" s="5">
        <v>1.6055360000000001</v>
      </c>
    </row>
    <row r="39" spans="2:6" ht="14.1" customHeight="1">
      <c r="B39" s="277"/>
      <c r="C39" s="213"/>
      <c r="D39" s="276" t="str">
        <f>IF(Indice_index!$Z$1=1,"006 - Defesa Nacional - Investigação","006 - National Defence - Research")</f>
        <v>006 - Defesa Nacional - Investigação</v>
      </c>
      <c r="E39" s="5">
        <v>9.2983999999999997E-2</v>
      </c>
      <c r="F39" s="5">
        <v>9.2983999999999997E-2</v>
      </c>
    </row>
    <row r="40" spans="2:6" ht="14.1" customHeight="1">
      <c r="B40" s="277"/>
      <c r="C40" s="213"/>
      <c r="D40" s="276" t="str">
        <f>IF(Indice_index!$Z$1=1,"007 - Defesa Nacional - Forças Armadas","007 - National Defence - Armed Forces")</f>
        <v>007 - Defesa Nacional - Forças Armadas</v>
      </c>
      <c r="E40" s="5">
        <v>64.305786999999995</v>
      </c>
      <c r="F40" s="5">
        <v>41.073411999999998</v>
      </c>
    </row>
    <row r="41" spans="2:6" ht="14.1" customHeight="1">
      <c r="B41" s="277"/>
      <c r="C41" s="213"/>
      <c r="D41" s="276" t="str">
        <f>IF(Indice_index!$Z$1=1,"008 - Defesa Nacional - Cooperação militar externa","008 - National Defence - Foreign military cooperation")</f>
        <v>008 - Defesa Nacional - Cooperação militar externa</v>
      </c>
      <c r="E41" s="5">
        <v>0.59541100000000002</v>
      </c>
      <c r="F41" s="5">
        <v>0.52499799999999996</v>
      </c>
    </row>
    <row r="42" spans="2:6" ht="14.1" customHeight="1">
      <c r="B42" s="277"/>
      <c r="C42" s="213"/>
      <c r="D42" s="276" t="str">
        <f>IF(Indice_index!$Z$1=1,"014 - Segurança e ordem públicas - Protecção civil e luta contra incêndios","014 - Public safety and order - Civil Protection and  fire fighting")</f>
        <v>014 - Segurança e ordem públicas - Protecção civil e luta contra incêndios</v>
      </c>
      <c r="E42" s="5">
        <v>31.040136</v>
      </c>
      <c r="F42" s="5">
        <v>0.107144</v>
      </c>
    </row>
    <row r="43" spans="2:6" ht="14.1" customHeight="1">
      <c r="B43" s="277"/>
      <c r="C43" s="213"/>
      <c r="D43" s="276" t="str">
        <f>IF(Indice_index!$Z$1=1,"017 - Educação - Estabelecimentos de ensino não superior","017 - Education - Non higher educations institutions")</f>
        <v>017 - Educação - Estabelecimentos de ensino não superior</v>
      </c>
      <c r="E43" s="5">
        <v>0.13494999999999999</v>
      </c>
      <c r="F43" s="5">
        <v>9.9500000000000005E-3</v>
      </c>
    </row>
    <row r="44" spans="2:6" ht="14.1" customHeight="1">
      <c r="B44" s="277"/>
      <c r="C44" s="213"/>
      <c r="D44" s="276" t="str">
        <f>IF(Indice_index!$Z$1=1,"018 - Educação - Estabelecimentos de ensino superior","018 - Education - Higher educations institutions")</f>
        <v>018 - Educação - Estabelecimentos de ensino superior</v>
      </c>
      <c r="E44" s="5">
        <v>1.8700000000000001E-2</v>
      </c>
      <c r="F44" s="5">
        <v>1.8700000000000001E-2</v>
      </c>
    </row>
    <row r="45" spans="2:6" ht="14.1" customHeight="1">
      <c r="B45" s="277"/>
      <c r="C45" s="213"/>
      <c r="D45" s="276" t="str">
        <f>IF(Indice_index!$Z$1=1,"022 - Saúde - Hospitais e clínicas","022 - Health - Hospitals and clinics")</f>
        <v>022 - Saúde - Hospitais e clínicas</v>
      </c>
      <c r="E45" s="5">
        <v>0.162689</v>
      </c>
      <c r="F45" s="5">
        <v>8.5842000000000002E-2</v>
      </c>
    </row>
    <row r="46" spans="2:6" ht="14.1" customHeight="1">
      <c r="B46" s="277"/>
      <c r="C46" s="213"/>
      <c r="D46" s="276" t="str">
        <f>IF(Indice_index!$Z$1=1,"027 - Segurança e acção social - Acção social","027 - Social Security and Action - Social Action")</f>
        <v>027 - Segurança e acção social - Acção social</v>
      </c>
      <c r="E46" s="5">
        <v>3.744964</v>
      </c>
      <c r="F46" s="5">
        <v>0.25342300000000001</v>
      </c>
    </row>
    <row r="47" spans="2:6" ht="14.1" customHeight="1">
      <c r="B47" s="277"/>
      <c r="C47" s="213"/>
      <c r="D47" s="276" t="str">
        <f>IF(Indice_index!$Z$1=1,"049 - Industria e energia - Indústrias transformadoras","049 - Industry and energy - Manufacturing industries")</f>
        <v>049 - Industria e energia - Indústrias transformadoras</v>
      </c>
      <c r="E47" s="5">
        <v>3.106017</v>
      </c>
      <c r="F47" s="5">
        <v>0.159167</v>
      </c>
    </row>
    <row r="48" spans="2:6" ht="14.1" customHeight="1">
      <c r="B48" s="277"/>
      <c r="C48" s="213"/>
      <c r="D48" s="276" t="str">
        <f>IF(Indice_index!$Z$1=1,"100 - Iniciativas de  Ação Climática","100 - Climate Action Iniciatives")</f>
        <v>100 - Iniciativas de  Ação Climática</v>
      </c>
      <c r="E48" s="5">
        <v>2.0063000000000001E-2</v>
      </c>
      <c r="F48" s="5">
        <v>0</v>
      </c>
    </row>
    <row r="49" spans="2:6" ht="14.1" customHeight="1">
      <c r="B49" s="213"/>
      <c r="C49" s="213"/>
      <c r="D49" s="213" t="str">
        <f>C37</f>
        <v>P004 - Defesa</v>
      </c>
      <c r="E49" s="161">
        <f>SUM(E37:E48)</f>
        <v>105.87290399999998</v>
      </c>
      <c r="F49" s="161">
        <f>SUM(F37:F48)</f>
        <v>43.949012999999994</v>
      </c>
    </row>
    <row r="50" spans="2:6" ht="14.1" customHeight="1">
      <c r="B50" s="277" t="str">
        <f>IF(Indice_index!$Z$1=1,"MAI","MIA")</f>
        <v>MAI</v>
      </c>
      <c r="C50" s="213" t="str">
        <f>IF(Indice_index!$Z$1=1,"P005 - Segurança Interna","P005 - Internal Security")</f>
        <v>P005 - Segurança Interna</v>
      </c>
      <c r="D50" s="276" t="str">
        <f>IF(Indice_index!$Z$1=1,"009 - Segurança e ordem públicas - Administração e regulamentação","009 - Public safety and order - Administration and regulations")</f>
        <v>009 - Segurança e ordem públicas - Administração e regulamentação</v>
      </c>
      <c r="E50" s="5">
        <v>20.738872000000001</v>
      </c>
      <c r="F50" s="5">
        <v>2.2649225700000004</v>
      </c>
    </row>
    <row r="51" spans="2:6" ht="14.1" customHeight="1">
      <c r="B51" s="277"/>
      <c r="C51" s="213"/>
      <c r="D51" s="276" t="str">
        <f>IF(Indice_index!$Z$1=1,"011 - Segurança e ordem públicas - Forças de segurança","011 - Public safety and order - Security forces")</f>
        <v>011 - Segurança e ordem públicas - Forças de segurança</v>
      </c>
      <c r="E51" s="5">
        <v>26.139092000000002</v>
      </c>
      <c r="F51" s="5">
        <v>12.590873999999999</v>
      </c>
    </row>
    <row r="52" spans="2:6" ht="14.1" customHeight="1">
      <c r="B52" s="277"/>
      <c r="C52" s="213"/>
      <c r="D52" s="276" t="str">
        <f>IF(Indice_index!$Z$1=1,"014 - Segurança e ordem públicas - Protecção civil e luta contra incêndios","014 - Public safety and order - Civil Protection and  fire fighting")</f>
        <v>014 - Segurança e ordem públicas - Protecção civil e luta contra incêndios</v>
      </c>
      <c r="E52" s="5">
        <v>4.2844090000000001</v>
      </c>
      <c r="F52" s="5">
        <v>1.35212</v>
      </c>
    </row>
    <row r="53" spans="2:6" ht="14.1" customHeight="1">
      <c r="B53" s="277"/>
      <c r="C53" s="213"/>
      <c r="D53" s="276" t="str">
        <f>IF(Indice_index!$Z$1=1,"017 - Educação - Estabelecimentos de ensino não superior","017 - Education - Non higher educations institutions")</f>
        <v>017 - Educação - Estabelecimentos de ensino não superior</v>
      </c>
      <c r="E53" s="5">
        <v>1.1887970000000001</v>
      </c>
      <c r="F53" s="5">
        <v>1.1887970000000001</v>
      </c>
    </row>
    <row r="54" spans="2:6" ht="14.1" customHeight="1">
      <c r="B54" s="277"/>
      <c r="C54" s="213"/>
      <c r="D54" s="276" t="str">
        <f>IF(Indice_index!$Z$1=1,"018 - Educação - Estabelecimentos de ensino superior","018 - Education - Higher educations institutions")</f>
        <v>018 - Educação - Estabelecimentos de ensino superior</v>
      </c>
      <c r="E54" s="5">
        <v>0.84772800000000004</v>
      </c>
      <c r="F54" s="5">
        <v>0.84772800000000004</v>
      </c>
    </row>
    <row r="55" spans="2:6" ht="14.1" customHeight="1">
      <c r="B55" s="277"/>
      <c r="C55" s="213"/>
      <c r="D55" s="276" t="str">
        <f>IF(Indice_index!$Z$1=1,"027 - Segurança e acção social - Acção social","027 - Social Security and Action - Social Action")</f>
        <v>027 - Segurança e acção social - Acção social</v>
      </c>
      <c r="E55" s="5">
        <v>1.532675</v>
      </c>
      <c r="F55" s="5">
        <v>1.532675</v>
      </c>
    </row>
    <row r="56" spans="2:6" ht="14.1" customHeight="1">
      <c r="B56" s="277"/>
      <c r="C56" s="213"/>
      <c r="D56" s="276" t="str">
        <f>IF(Indice_index!$Z$1=1,"083 - Segurança e Ação Social - Integração da Pessoa com Deficiência","083 - Social Security and Action - Integration of the handicapped person")</f>
        <v>083 - Segurança e Ação Social - Integração da Pessoa com Deficiência</v>
      </c>
      <c r="E56" s="5">
        <v>7.6400000000000001E-3</v>
      </c>
      <c r="F56" s="5">
        <v>7.6400000000000001E-3</v>
      </c>
    </row>
    <row r="57" spans="2:6" ht="14.1" customHeight="1">
      <c r="B57" s="277"/>
      <c r="C57" s="213"/>
      <c r="D57" s="276" t="str">
        <f>IF(Indice_index!$Z$1=1,"100 - Iniciativas de  Ação Climática","100 - Climate Action Iniciatives")</f>
        <v>100 - Iniciativas de  Ação Climática</v>
      </c>
      <c r="E57" s="5">
        <v>3.0304999999999999E-2</v>
      </c>
      <c r="F57" s="5">
        <v>3.0304999999999999E-2</v>
      </c>
    </row>
    <row r="58" spans="2:6" ht="14.1" customHeight="1">
      <c r="B58" s="213"/>
      <c r="C58" s="213"/>
      <c r="D58" s="213" t="str">
        <f>C50</f>
        <v>P005 - Segurança Interna</v>
      </c>
      <c r="E58" s="161">
        <f>SUM(E50:E57)</f>
        <v>54.769517999999998</v>
      </c>
      <c r="F58" s="161">
        <f>SUM(F50:F57)</f>
        <v>19.815061569999997</v>
      </c>
    </row>
    <row r="59" spans="2:6" ht="14.1" customHeight="1">
      <c r="B59" s="277" t="str">
        <f>IF(Indice_index!$Z$1=1,"MJ","MJ")</f>
        <v>MJ</v>
      </c>
      <c r="C59" s="213" t="str">
        <f>IF(Indice_index!$Z$1=1,"P006 - Justiça","P006 - Justice")</f>
        <v>P006 - Justiça</v>
      </c>
      <c r="D59" s="276" t="str">
        <f>IF(Indice_index!$Z$1=1,"001 - Serviços Gerais da Administração Pública - Administração geral","001 - General public services - General Administration")</f>
        <v>001 - Serviços Gerais da Administração Pública - Administração geral</v>
      </c>
      <c r="E59" s="5">
        <v>0.33668399999999998</v>
      </c>
      <c r="F59" s="5">
        <v>0.33714</v>
      </c>
    </row>
    <row r="60" spans="2:6" ht="14.1" customHeight="1">
      <c r="B60" s="277"/>
      <c r="C60" s="213"/>
      <c r="D60" s="276" t="str">
        <f>IF(Indice_index!$Z$1=1,"009 - Segurança e ordem públicas - Administração e regulamentação","009 - Public safety and order - Administration and regulations")</f>
        <v>009 - Segurança e ordem públicas - Administração e regulamentação</v>
      </c>
      <c r="E60" s="5">
        <v>18.527729000000001</v>
      </c>
      <c r="F60" s="5">
        <v>17.618609850000002</v>
      </c>
    </row>
    <row r="61" spans="2:6" ht="14.1" customHeight="1">
      <c r="B61" s="277"/>
      <c r="C61" s="213"/>
      <c r="D61" s="276" t="str">
        <f>IF(Indice_index!$Z$1=1,"010 - Segurança e ordem públicas - Investigação","010 - Public safety and order - Research")</f>
        <v>010 - Segurança e ordem públicas - Investigação</v>
      </c>
      <c r="E61" s="5">
        <v>4.549906</v>
      </c>
      <c r="F61" s="5">
        <v>4.6382099999999999</v>
      </c>
    </row>
    <row r="62" spans="2:6" ht="14.1" customHeight="1">
      <c r="B62" s="277"/>
      <c r="C62" s="213"/>
      <c r="D62" s="276" t="str">
        <f>IF(Indice_index!$Z$1=1,"012 - Segurança e ordem públicas - Sistema judiciário","012 - Public safety and order - Judicial system")</f>
        <v>012 - Segurança e ordem públicas - Sistema judiciário</v>
      </c>
      <c r="E62" s="5">
        <v>13.349845</v>
      </c>
      <c r="F62" s="5">
        <v>7.7960880000000001</v>
      </c>
    </row>
    <row r="63" spans="2:6" ht="14.1" customHeight="1">
      <c r="B63" s="277"/>
      <c r="C63" s="213"/>
      <c r="D63" s="276"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63" s="5">
        <v>23.557828000000001</v>
      </c>
      <c r="F63" s="5">
        <v>23.626411999999998</v>
      </c>
    </row>
    <row r="64" spans="2:6" ht="14.1" customHeight="1">
      <c r="B64" s="277"/>
      <c r="C64" s="213"/>
      <c r="D64" s="276" t="str">
        <f>IF(Indice_index!$Z$1=1,"063 - Outras funções económicas - Administração e regulamentação","063 - Outher economic functions - Administration e regulation")</f>
        <v>063 - Outras funções económicas - Administração e regulamentação</v>
      </c>
      <c r="E64" s="5">
        <v>1.2063710000000001</v>
      </c>
      <c r="F64" s="5">
        <v>0.74873800000000001</v>
      </c>
    </row>
    <row r="65" spans="2:6" ht="14.1" customHeight="1">
      <c r="B65" s="277"/>
      <c r="C65" s="213"/>
      <c r="D65" s="276" t="str">
        <f>IF(Indice_index!$Z$1=1,"065 - Outras funções económicas - Diversas não especificadas","065 - Other economic functions - Various unspecified")</f>
        <v>065 - Outras funções económicas - Diversas não especificadas</v>
      </c>
      <c r="E65" s="5">
        <v>0.437863</v>
      </c>
      <c r="F65" s="5">
        <v>0.437863</v>
      </c>
    </row>
    <row r="66" spans="2:6" ht="14.1" customHeight="1">
      <c r="B66" s="213"/>
      <c r="C66" s="213"/>
      <c r="D66" s="213" t="str">
        <f>C59</f>
        <v>P006 - Justiça</v>
      </c>
      <c r="E66" s="161">
        <f>SUM(E59:E65)</f>
        <v>61.966225999999999</v>
      </c>
      <c r="F66" s="161">
        <f>SUM(F59:F65)</f>
        <v>55.203060850000007</v>
      </c>
    </row>
    <row r="67" spans="2:6" ht="14.1" customHeight="1">
      <c r="B67" s="277" t="str">
        <f>IF(Indice_index!$Z$1=1,"MF","MF")</f>
        <v>MF</v>
      </c>
      <c r="C67" s="213" t="str">
        <f>IF(Indice_index!$Z$1=1,"P007 - Finanças","P007 - Finance and Public Administration")</f>
        <v>P007 - Finanças</v>
      </c>
      <c r="D67" s="276" t="str">
        <f>IF(Indice_index!$Z$1=1,"001 - Serviços Gerais da Administração Pública - Administração geral","001 - General public services - General Administration")</f>
        <v>001 - Serviços Gerais da Administração Pública - Administração geral</v>
      </c>
      <c r="E67" s="5">
        <v>46.240437999999997</v>
      </c>
      <c r="F67" s="5">
        <v>44.407406000000002</v>
      </c>
    </row>
    <row r="68" spans="2:6" ht="14.1" customHeight="1">
      <c r="B68" s="277"/>
      <c r="C68" s="213"/>
      <c r="D68" s="276" t="str">
        <f>IF(Indice_index!$Z$1=1,"027 - Segurança e ação social - Ação social","027 - Social Security and Action - Social Action")</f>
        <v>027 - Segurança e ação social - Ação social</v>
      </c>
      <c r="E68" s="5">
        <v>3.442097</v>
      </c>
      <c r="F68" s="5">
        <v>0.95898799999999995</v>
      </c>
    </row>
    <row r="69" spans="2:6" ht="14.1" customHeight="1">
      <c r="B69" s="277"/>
      <c r="C69" s="213"/>
      <c r="D69" s="276" t="str">
        <f>IF(Indice_index!$Z$1=1,"065 - Outras funções económicas - Diversas não especificadas","065 - Other economic functions - Various unspecified")</f>
        <v>065 - Outras funções económicas - Diversas não especificadas</v>
      </c>
      <c r="E69" s="5">
        <v>31.108207</v>
      </c>
      <c r="F69" s="5">
        <v>29.356390999999999</v>
      </c>
    </row>
    <row r="70" spans="2:6" ht="14.1" customHeight="1">
      <c r="B70" s="213"/>
      <c r="C70" s="213"/>
      <c r="D70" s="213" t="str">
        <f>C67</f>
        <v>P007 - Finanças</v>
      </c>
      <c r="E70" s="161">
        <f>SUM(E67:E69)</f>
        <v>80.790741999999995</v>
      </c>
      <c r="F70" s="161">
        <f>SUM(F67:F69)</f>
        <v>74.722785000000002</v>
      </c>
    </row>
    <row r="71" spans="2:6" ht="14.1" customHeight="1">
      <c r="B71" s="279"/>
      <c r="C71" s="213" t="str">
        <f>IF(Indice_index!$Z$1=1,"P008 - Gestão da Dívida Pública","P008 - Public Debt Management")</f>
        <v>P008 - Gestão da Dívida Pública</v>
      </c>
      <c r="D71" s="276" t="str">
        <f>IF(Indice_index!$Z$1=1,"066 - Outras funções - Operações da dívida pública","066 - Other functions - Public debt operations")</f>
        <v>066 - Outras funções - Operações da dívida pública</v>
      </c>
      <c r="E71" s="5">
        <v>0.15</v>
      </c>
      <c r="F71" s="5">
        <v>0.1</v>
      </c>
    </row>
    <row r="72" spans="2:6" ht="14.1" customHeight="1">
      <c r="B72" s="277" t="str">
        <f>IF(Indice_index!$Z$1=1,"ME","ME")</f>
        <v>ME</v>
      </c>
      <c r="C72" s="213" t="str">
        <f>IF(Indice_index!$Z$1=1,"P009 - Economia","P009 - Economy")</f>
        <v>P009 - Economia</v>
      </c>
      <c r="D72" s="276" t="str">
        <f>IF(Indice_index!$Z$1=1,"040 - Agricultura, pecuária, silv, caça, pesca - Administração e regulamentação","040 - Crops, livestock, forestry, fisheries - Administration and regulations")</f>
        <v>040 - Agricultura, pecuária, silv, caça, pesca - Administração e regulamentação</v>
      </c>
      <c r="E72" s="5">
        <v>0.46343600000000001</v>
      </c>
      <c r="F72" s="5">
        <v>8.3192000000000002E-2</v>
      </c>
    </row>
    <row r="73" spans="2:6" ht="14.1" customHeight="1">
      <c r="B73" s="277"/>
      <c r="C73" s="213"/>
      <c r="D73" s="276" t="str">
        <f>IF(Indice_index!$Z$1=1,"061 - Comércio e turismo - Comércio","061 - Trade and tourism - Trade")</f>
        <v>061 - Comércio e turismo - Comércio</v>
      </c>
      <c r="E73" s="5">
        <v>6.613E-3</v>
      </c>
      <c r="F73" s="5">
        <v>6.613E-3</v>
      </c>
    </row>
    <row r="74" spans="2:6" ht="14.1" customHeight="1">
      <c r="B74" s="277"/>
      <c r="C74" s="213"/>
      <c r="D74" s="276" t="str">
        <f>IF(Indice_index!$Z$1=1,"062 - Comércio e turismo - Turismo","062 - Trade and tourism - Tourism")</f>
        <v>062 - Comércio e turismo - Turismo</v>
      </c>
      <c r="E74" s="5">
        <v>2.348417</v>
      </c>
      <c r="F74" s="5">
        <v>0.910551</v>
      </c>
    </row>
    <row r="75" spans="2:6" ht="14.1" customHeight="1">
      <c r="B75" s="277"/>
      <c r="C75" s="213"/>
      <c r="D75" s="276" t="str">
        <f>IF(Indice_index!$Z$1=1,"063 - Outras funções económicas - Administração e regulamentação","063 - Outher economic functions - Administration e regulation")</f>
        <v>063 - Outras funções económicas - Administração e regulamentação</v>
      </c>
      <c r="E75" s="5">
        <v>2.8394430000000002</v>
      </c>
      <c r="F75" s="5">
        <v>0.54514399999999996</v>
      </c>
    </row>
    <row r="76" spans="2:6" ht="14.1" customHeight="1">
      <c r="B76" s="277"/>
      <c r="C76" s="213"/>
      <c r="D76" s="276" t="str">
        <f>IF(Indice_index!$Z$1=1,"065 - Outras funções económicas - Diversas não especificadas","065 - Other economic functions - Various unspecified")</f>
        <v>065 - Outras funções económicas - Diversas não especificadas</v>
      </c>
      <c r="E76" s="5">
        <v>14.083209999999999</v>
      </c>
      <c r="F76" s="5">
        <v>14.689988</v>
      </c>
    </row>
    <row r="77" spans="2:6" ht="14.1" customHeight="1">
      <c r="B77" s="277"/>
      <c r="C77" s="213"/>
      <c r="D77" s="276" t="str">
        <f>IF(Indice_index!$Z$1=1,"086 - Comércio e Turismo - Imposto especial de jogo","086 - Trade and tourism - Special gambling tax")</f>
        <v>086 - Comércio e Turismo - Imposto especial de jogo</v>
      </c>
      <c r="E77" s="5">
        <v>6.3649069999999996</v>
      </c>
      <c r="F77" s="5">
        <v>0</v>
      </c>
    </row>
    <row r="78" spans="2:6" ht="14.1" customHeight="1">
      <c r="B78" s="277"/>
      <c r="C78" s="213"/>
      <c r="D78" s="276" t="str">
        <f>IF(Indice_index!$Z$1=1,"100 - Iniciativas de  Ação Climática","100 - Climate Action Iniciatives")</f>
        <v>100 - Iniciativas de  Ação Climática</v>
      </c>
      <c r="E78" s="5">
        <v>2.6297000000000001E-2</v>
      </c>
      <c r="F78" s="5">
        <v>0</v>
      </c>
    </row>
    <row r="79" spans="2:6" ht="14.1" customHeight="1">
      <c r="B79" s="213"/>
      <c r="C79" s="213"/>
      <c r="D79" s="213" t="str">
        <f>C72</f>
        <v>P009 - Economia</v>
      </c>
      <c r="E79" s="161">
        <f>SUM(E72:E78)</f>
        <v>26.132322999999996</v>
      </c>
      <c r="F79" s="161">
        <f>SUM(F72:F78)</f>
        <v>16.235488</v>
      </c>
    </row>
    <row r="80" spans="2:6" ht="14.1" customHeight="1">
      <c r="B80" s="277" t="str">
        <f>IF(Indice_index!$Z$1=1,"MC","MC")</f>
        <v>MC</v>
      </c>
      <c r="C80" s="213" t="str">
        <f>IF(Indice_index!$Z$1=1,"P010 - Cultura","P010 - Culture")</f>
        <v>P010 - Cultura</v>
      </c>
      <c r="D80" s="276" t="str">
        <f>IF(Indice_index!$Z$1=1,"001 - Serviços Gerais da Administração Pública - Administração geral","001 - General public services - General Administration")</f>
        <v>001 - Serviços Gerais da Administração Pública - Administração geral</v>
      </c>
      <c r="E80" s="5">
        <v>1.2744009999999999</v>
      </c>
      <c r="F80" s="5">
        <v>1.2594129999999999</v>
      </c>
    </row>
    <row r="81" spans="2:6" ht="14.1" customHeight="1">
      <c r="B81" s="277"/>
      <c r="C81" s="213"/>
      <c r="D81" s="276" t="str">
        <f>IF(Indice_index!$Z$1=1,"036 - Serviços culturais, recreativos e religiosos - Cultura","036 - Cultural, recreational and religious services - Culture")</f>
        <v>036 - Serviços culturais, recreativos e religiosos - Cultura</v>
      </c>
      <c r="E81" s="5">
        <v>30.023031</v>
      </c>
      <c r="F81" s="5">
        <v>5.1972519999999998</v>
      </c>
    </row>
    <row r="82" spans="2:6" ht="14.1" customHeight="1">
      <c r="B82" s="213"/>
      <c r="C82" s="213"/>
      <c r="D82" s="213" t="str">
        <f>C80</f>
        <v>P010 - Cultura</v>
      </c>
      <c r="E82" s="161">
        <f>SUM(E80:E81)</f>
        <v>31.297432000000001</v>
      </c>
      <c r="F82" s="161">
        <f>SUM(F80:F81)</f>
        <v>6.4566649999999992</v>
      </c>
    </row>
    <row r="83" spans="2:6" ht="14.1" customHeight="1">
      <c r="B83" s="213"/>
      <c r="C83" s="213"/>
      <c r="D83" s="213" t="str">
        <f>IF(Indice_index!$Z$1=1,"P010 - Cultura, excluindo RTP","P010 - Culture, excluding RTP, the Portuguese public broadcaster")</f>
        <v>P010 - Cultura, excluindo RTP</v>
      </c>
      <c r="E83" s="161">
        <f>E82</f>
        <v>31.297432000000001</v>
      </c>
      <c r="F83" s="161">
        <f>F82</f>
        <v>6.4566649999999992</v>
      </c>
    </row>
    <row r="84" spans="2:6" ht="14.1" customHeight="1">
      <c r="B84" s="277" t="str">
        <f>IF(Indice_index!$Z$1=1,"MECI","MSI")</f>
        <v>MECI</v>
      </c>
      <c r="C84" s="213" t="str">
        <f>IF(Indice_index!$Z$1=1,"P011 - Ciência e Inovação","P011 - Science and Innovation")</f>
        <v>P011 - Ciência e Inovação</v>
      </c>
      <c r="D84" s="276" t="str">
        <f>IF(Indice_index!$Z$1=1,"001 - Serviços Gerais da Administração Pública - Administração geral","001 - General public services - General Administration")</f>
        <v>001 - Serviços Gerais da Administração Pública - Administração geral</v>
      </c>
      <c r="E84" s="5">
        <v>0.46222299999999999</v>
      </c>
      <c r="F84" s="5">
        <v>0.46222299999999999</v>
      </c>
    </row>
    <row r="85" spans="2:6" ht="14.1" customHeight="1">
      <c r="B85" s="277"/>
      <c r="C85" s="213"/>
      <c r="D85" s="276" t="str">
        <f>IF(Indice_index!$Z$1=1,"004 - Serv. Gerais da A.P. - Investigação científica de carácter geral","004 - General public services - General scientific research")</f>
        <v>004 - Serv. Gerais da A.P. - Investigação científica de carácter geral</v>
      </c>
      <c r="E85" s="5">
        <v>4.9294999999999999E-2</v>
      </c>
      <c r="F85" s="5">
        <v>5.0374000000000002E-2</v>
      </c>
    </row>
    <row r="86" spans="2:6" ht="14.1" customHeight="1">
      <c r="B86" s="277"/>
      <c r="C86" s="213"/>
      <c r="D86" s="276" t="str">
        <f>IF(Indice_index!$Z$1=1,"015 - Educação - Administração e regulamentação","015 - Education - Administration and regulations")</f>
        <v>015 - Educação - Administração e regulamentação</v>
      </c>
      <c r="E86" s="5">
        <v>0.22994500000000001</v>
      </c>
      <c r="F86" s="5">
        <v>3.6383449999999991E-2</v>
      </c>
    </row>
    <row r="87" spans="2:6" ht="14.1" customHeight="1">
      <c r="B87" s="277"/>
      <c r="C87" s="213"/>
      <c r="D87" s="276" t="str">
        <f>IF(Indice_index!$Z$1=1,"016 - Educação - Investigação","016 - Education - Research")</f>
        <v>016 - Educação - Investigação</v>
      </c>
      <c r="E87" s="5">
        <v>8.2000000000000007E-3</v>
      </c>
      <c r="F87" s="5">
        <v>8.2000000000000007E-3</v>
      </c>
    </row>
    <row r="88" spans="2:6" ht="14.1" customHeight="1">
      <c r="B88" s="277"/>
      <c r="C88" s="213"/>
      <c r="D88" s="276" t="str">
        <f>IF(Indice_index!$Z$1=1,"018 - Educação - Estabelecimentos de ensino superior","018 - Education - Higher educations institutions")</f>
        <v>018 - Educação - Estabelecimentos de ensino superior</v>
      </c>
      <c r="E88" s="5">
        <v>0</v>
      </c>
      <c r="F88" s="5">
        <v>1.23E-2</v>
      </c>
    </row>
    <row r="89" spans="2:6" ht="14.1" customHeight="1">
      <c r="B89" s="277"/>
      <c r="C89" s="213"/>
      <c r="D89" s="276" t="str">
        <f>IF(Indice_index!$Z$1=1,"019 - Educação - Serviços auxiliares de ensino","019 - Education - Educational ancillary services")</f>
        <v>019 - Educação - Serviços auxiliares de ensino</v>
      </c>
      <c r="E89" s="5">
        <v>7.8765000000000002E-2</v>
      </c>
      <c r="F89" s="5">
        <v>8.1241800000000003E-2</v>
      </c>
    </row>
    <row r="90" spans="2:6" ht="14.1" customHeight="1">
      <c r="B90" s="213"/>
      <c r="C90" s="213"/>
      <c r="D90" s="213" t="str">
        <f>C84</f>
        <v>P011 - Ciência e Inovação</v>
      </c>
      <c r="E90" s="161">
        <f>SUM(E84:E89)</f>
        <v>0.82842799999999994</v>
      </c>
      <c r="F90" s="161">
        <f>SUM(F84:F89)</f>
        <v>0.65072224999999995</v>
      </c>
    </row>
    <row r="91" spans="2:6" ht="14.1" customHeight="1">
      <c r="B91" s="213"/>
      <c r="C91" s="213"/>
      <c r="D91" s="276" t="str">
        <f>IF(Indice_index!$Z$1=1,"Instituições de Ensino Superior","Higher Education Institutions")</f>
        <v>Instituições de Ensino Superior</v>
      </c>
      <c r="E91" s="5">
        <v>0</v>
      </c>
      <c r="F91" s="5">
        <v>0</v>
      </c>
    </row>
    <row r="92" spans="2:6" ht="14.1" customHeight="1">
      <c r="B92" s="277" t="str">
        <f>IF(Indice_index!$Z$1=1,"MECI","MSI")</f>
        <v>MECI</v>
      </c>
      <c r="C92" s="213" t="str">
        <f>IF(Indice_index!$Z$1=1,"P012 - Ensino Básico e Secundário e Adm. Escolar","P012 - Basic and Secondary Education and School Administration")</f>
        <v>P012 - Ensino Básico e Secundário e Adm. Escolar</v>
      </c>
      <c r="D92" s="276" t="str">
        <f>IF(Indice_index!$Z$1=1,"003 - Serv. Gerais da A.P. - Cooperação económica externa","003 - General public services - External economic cooperation")</f>
        <v>003 - Serv. Gerais da A.P. - Cooperação económica externa</v>
      </c>
      <c r="E92" s="5">
        <v>1.331494</v>
      </c>
      <c r="F92" s="5">
        <v>1.331494</v>
      </c>
    </row>
    <row r="93" spans="2:6" ht="14.1" customHeight="1">
      <c r="B93" s="277"/>
      <c r="C93" s="213"/>
      <c r="D93" s="276" t="str">
        <f>IF(Indice_index!$Z$1=1,"015 - Educação - Administração e regulamentação","015 - Education - Administration and regulations")</f>
        <v>015 - Educação - Administração e regulamentação</v>
      </c>
      <c r="E93" s="5">
        <v>40.511665999999998</v>
      </c>
      <c r="F93" s="5">
        <v>10.605567469999999</v>
      </c>
    </row>
    <row r="94" spans="2:6" ht="14.1" customHeight="1">
      <c r="B94" s="277"/>
      <c r="C94" s="213"/>
      <c r="D94" s="276" t="str">
        <f>IF(Indice_index!$Z$1=1,"017 - Educação - Estabelecimentos de ensino não superior","017 - Education - Non higher educations institutions")</f>
        <v>017 - Educação - Estabelecimentos de ensino não superior</v>
      </c>
      <c r="E94" s="5">
        <v>21.710998</v>
      </c>
      <c r="F94" s="5">
        <v>0.81787100000000001</v>
      </c>
    </row>
    <row r="95" spans="2:6" ht="14.1" customHeight="1">
      <c r="B95" s="277"/>
      <c r="C95" s="213"/>
      <c r="D95" s="213" t="str">
        <f>C92</f>
        <v>P012 - Ensino Básico e Secundário e Adm. Escolar</v>
      </c>
      <c r="E95" s="161">
        <f>SUM(E92:E94)</f>
        <v>63.554158000000001</v>
      </c>
      <c r="F95" s="161">
        <f>SUM(F92:F94)</f>
        <v>12.754932469999998</v>
      </c>
    </row>
    <row r="96" spans="2:6" ht="14.1" customHeight="1">
      <c r="B96" s="213"/>
      <c r="C96" s="213"/>
      <c r="D96" s="276" t="str">
        <f>IF(Indice_index!$Z$1=1,"Estabelecimentos de Educação e Ensino Básico e Secundário","Education establishments and primary and secondary education")</f>
        <v>Estabelecimentos de Educação e Ensino Básico e Secundário</v>
      </c>
      <c r="E96" s="5">
        <v>0</v>
      </c>
      <c r="F96" s="5">
        <v>0</v>
      </c>
    </row>
    <row r="97" spans="2:6" ht="14.1" customHeight="1">
      <c r="B97" s="277" t="str">
        <f>IF(Indice_index!$Z$1=1,"MTSSS","MLSSF")</f>
        <v>MTSSS</v>
      </c>
      <c r="C97" s="213" t="str">
        <f>IF(Indice_index!$Z$1=1,"P013 - Trabalho, Solidariedade e Seg. Social","P013 - Work, Solidarity and Social Security")</f>
        <v>P013 - Trabalho, Solidariedade e Seg. Social</v>
      </c>
      <c r="D97" s="276" t="str">
        <f>IF(Indice_index!$Z$1=1,"001 - Serviços Gerais da Administração Pública - Administração geral","001 - General public services - General Administration")</f>
        <v>001 - Serviços Gerais da Administração Pública - Administração geral</v>
      </c>
      <c r="E97" s="5">
        <v>1.0208999999999999E-2</v>
      </c>
      <c r="F97" s="5">
        <v>1.0208999999999999E-2</v>
      </c>
    </row>
    <row r="98" spans="2:6" ht="14.1" customHeight="1">
      <c r="B98" s="277"/>
      <c r="C98" s="213"/>
      <c r="D98" s="276" t="str">
        <f>IF(Indice_index!$Z$1=1,"003 - Serv. Gerais da A.P. - Cooperação económica externa","003 - General public services - External economic cooperation")</f>
        <v>003 - Serv. Gerais da A.P. - Cooperação económica externa</v>
      </c>
      <c r="E98" s="5">
        <v>0.61353899999999995</v>
      </c>
      <c r="F98" s="5">
        <v>1.2500000000000001E-2</v>
      </c>
    </row>
    <row r="99" spans="2:6" ht="14.1" customHeight="1">
      <c r="B99" s="277"/>
      <c r="C99" s="213"/>
      <c r="D99" s="276" t="str">
        <f>IF(Indice_index!$Z$1=1,"024 - Segurança e acção social - Administração e regulamentação","024 - Social Security and Action - Administration and regulations")</f>
        <v>024 - Segurança e acção social - Administração e regulamentação</v>
      </c>
      <c r="E99" s="5">
        <v>0.839974</v>
      </c>
      <c r="F99" s="5">
        <v>0.53523600000000005</v>
      </c>
    </row>
    <row r="100" spans="2:6" ht="14.1" customHeight="1">
      <c r="B100" s="277"/>
      <c r="C100" s="213"/>
      <c r="D100" s="276" t="str">
        <f>IF(Indice_index!$Z$1=1,"026 - Segurança e acção social - Segurança social","026 - Social Security and Action - Social Security")</f>
        <v>026 - Segurança e acção social - Segurança social</v>
      </c>
      <c r="E100" s="5">
        <v>11.455083999999999</v>
      </c>
      <c r="F100" s="5">
        <v>8.1328289999999992</v>
      </c>
    </row>
    <row r="101" spans="2:6" ht="14.1" customHeight="1">
      <c r="B101" s="277"/>
      <c r="C101" s="213"/>
      <c r="D101" s="276" t="str">
        <f>IF(Indice_index!$Z$1=1,"027 - Segurança e acção social - Acção social","027 - Social Security and Action - Social Action")</f>
        <v>027 - Segurança e acção social - Acção social</v>
      </c>
      <c r="E101" s="5">
        <v>12.457746999999999</v>
      </c>
      <c r="F101" s="5">
        <v>11.783922</v>
      </c>
    </row>
    <row r="102" spans="2:6" ht="14.1" customHeight="1">
      <c r="B102" s="277"/>
      <c r="C102" s="213"/>
      <c r="D102" s="276" t="str">
        <f>IF(Indice_index!$Z$1=1,"064 - Outras funções económicas - Relações gerais do trabalho","064 - Other economic functions - General labor relations")</f>
        <v>064 - Outras funções económicas - Relações gerais do trabalho</v>
      </c>
      <c r="E102" s="5">
        <v>48.523789999999998</v>
      </c>
      <c r="F102" s="5">
        <v>1.52949406</v>
      </c>
    </row>
    <row r="103" spans="2:6" ht="14.1" customHeight="1">
      <c r="B103" s="277"/>
      <c r="C103" s="213"/>
      <c r="D103" s="276" t="str">
        <f>IF(Indice_index!$Z$1=1,"065 - Outras funções económicas - Diversas não especificadas","065 - Other economic functions - Various unspecified")</f>
        <v>065 - Outras funções económicas - Diversas não especificadas</v>
      </c>
      <c r="E103" s="5">
        <v>0.313334</v>
      </c>
      <c r="F103" s="5">
        <v>0.313334</v>
      </c>
    </row>
    <row r="104" spans="2:6" ht="14.1" customHeight="1">
      <c r="B104" s="277"/>
      <c r="C104" s="213"/>
      <c r="D104" s="276" t="str">
        <f>IF(Indice_index!$Z$1=1,"083 - Segurança e Ação Social - Integração da pessoa com deficiência","083 - Social Security and Action - Integration of the handicapped person")</f>
        <v>083 - Segurança e Ação Social - Integração da pessoa com deficiência</v>
      </c>
      <c r="E104" s="5">
        <v>0.67312099999999997</v>
      </c>
      <c r="F104" s="5">
        <v>0.66338799999999998</v>
      </c>
    </row>
    <row r="105" spans="2:6" ht="14.1" customHeight="1">
      <c r="B105" s="213"/>
      <c r="C105" s="213"/>
      <c r="D105" s="213" t="str">
        <f>C97</f>
        <v>P013 - Trabalho, Solidariedade e Seg. Social</v>
      </c>
      <c r="E105" s="161">
        <f>SUM(E97:E104)</f>
        <v>74.886797999999985</v>
      </c>
      <c r="F105" s="161">
        <f>SUM(F97:F104)</f>
        <v>22.980912060000005</v>
      </c>
    </row>
    <row r="106" spans="2:6" ht="14.1" customHeight="1">
      <c r="B106" s="277" t="str">
        <f>IF(Indice_index!$Z$1=1,"MS","MH")</f>
        <v>MS</v>
      </c>
      <c r="C106" s="213" t="str">
        <f>IF(Indice_index!$Z$1=1,"P014 - Saúde","P014 - Health")</f>
        <v>P014 - Saúde</v>
      </c>
      <c r="D106" s="276" t="str">
        <f>IF(Indice_index!$Z$1=1,"020 - Saúde - Administração e regulamentação","020 - Health - Administration and regulations")</f>
        <v>020 - Saúde - Administração e regulamentação</v>
      </c>
      <c r="E106" s="5">
        <v>2.2033640000000001</v>
      </c>
      <c r="F106" s="5">
        <v>1.140568</v>
      </c>
    </row>
    <row r="107" spans="2:6" ht="14.1" customHeight="1">
      <c r="B107" s="213"/>
      <c r="C107" s="213"/>
      <c r="D107" s="213" t="str">
        <f>C106</f>
        <v>P014 - Saúde</v>
      </c>
      <c r="E107" s="161">
        <f>SUM(E106:E106)</f>
        <v>2.2033640000000001</v>
      </c>
      <c r="F107" s="161">
        <f>SUM(F106:F106)</f>
        <v>1.140568</v>
      </c>
    </row>
    <row r="108" spans="2:6" ht="14.1" customHeight="1">
      <c r="B108" s="213"/>
      <c r="C108" s="213"/>
      <c r="D108" s="276" t="str">
        <f>IF(Indice_index!$Z$1=1,"Serviço Nacional de Saúde","National Health Service")</f>
        <v>Serviço Nacional de Saúde</v>
      </c>
      <c r="E108" s="5">
        <v>0</v>
      </c>
      <c r="F108" s="5">
        <v>0</v>
      </c>
    </row>
    <row r="109" spans="2:6" ht="14.1" customHeight="1">
      <c r="B109" s="277" t="str">
        <f>IF(Indice_index!$Z$1=1,"MAE","MEE")</f>
        <v>MAE</v>
      </c>
      <c r="C109" s="213" t="str">
        <f>IF(Indice_index!$Z$1=1,"P015 - Ambiente e Energia","P015 -  Environment and Energy")</f>
        <v>P015 - Ambiente e Energia</v>
      </c>
      <c r="D109" s="276"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09" s="5">
        <v>2.6614170000000001</v>
      </c>
      <c r="F109" s="5">
        <v>0</v>
      </c>
    </row>
    <row r="110" spans="2:6" ht="14.1" customHeight="1">
      <c r="B110" s="277"/>
      <c r="C110" s="213"/>
      <c r="D110" s="276" t="str">
        <f>IF(Indice_index!$Z$1=1,"046 - Industria e energia - administração e regulamentação","046 - Industry and energy - Administration and regulations")</f>
        <v>046 - Industria e energia - administração e regulamentação</v>
      </c>
      <c r="E110" s="5">
        <v>0.56518500000000005</v>
      </c>
      <c r="F110" s="5">
        <v>0.35249000000000003</v>
      </c>
    </row>
    <row r="111" spans="2:6" ht="14.1" customHeight="1">
      <c r="B111" s="277"/>
      <c r="C111" s="213"/>
      <c r="D111" s="276" t="str">
        <f>IF(Indice_index!$Z$1=1,"047 - Industria e energia - Investigação","047 - Industry and energy - Research")</f>
        <v>047 - Industria e energia - Investigação</v>
      </c>
      <c r="E111" s="5">
        <v>0.65130299999999997</v>
      </c>
      <c r="F111" s="5">
        <v>0</v>
      </c>
    </row>
    <row r="112" spans="2:6" ht="14.1" customHeight="1">
      <c r="B112" s="277"/>
      <c r="C112" s="213"/>
      <c r="D112" s="276" t="str">
        <f>IF(Indice_index!$Z$1=1,"051 - Industria e energia - Combustíveis, electricidade e outras fontes de energia","051 - Industry e energy - Fuel, electricity and other sources of energy ")</f>
        <v>051 - Industria e energia - Combustíveis, electricidade e outras fontes de energia</v>
      </c>
      <c r="E112" s="5">
        <v>6.5691309999999996</v>
      </c>
      <c r="F112" s="5">
        <v>6.5691309999999996</v>
      </c>
    </row>
    <row r="113" spans="2:6" ht="14.1" customHeight="1">
      <c r="B113" s="277"/>
      <c r="C113" s="213"/>
      <c r="D113" s="276" t="str">
        <f>IF(Indice_index!$Z$1=1,"063 - Outras funções económicas - Administração e regulamentação","063 - Outher economic functions - Administration e regulation")</f>
        <v>063 - Outras funções económicas - Administração e regulamentação</v>
      </c>
      <c r="E113" s="5">
        <v>2.4226070000000002</v>
      </c>
      <c r="F113" s="5">
        <v>1.055671</v>
      </c>
    </row>
    <row r="114" spans="2:6" ht="14.1" customHeight="1">
      <c r="B114" s="213"/>
      <c r="C114" s="213"/>
      <c r="D114" s="213" t="str">
        <f>C109</f>
        <v>P015 - Ambiente e Energia</v>
      </c>
      <c r="E114" s="161">
        <f>SUM(E109:E113)</f>
        <v>12.869643</v>
      </c>
      <c r="F114" s="161">
        <f>SUM(F109:F113)</f>
        <v>7.9772920000000003</v>
      </c>
    </row>
    <row r="115" spans="2:6" ht="14.1" customHeight="1">
      <c r="B115" s="277" t="str">
        <f>IF(Indice_index!$Z$1=1,"MIH","MIH")</f>
        <v>MIH</v>
      </c>
      <c r="C115" s="213" t="str">
        <f>IF(Indice_index!$Z$1=1,"P016 - Infraestruturas e Habitação","P016 - Infrastructures and Housing")</f>
        <v>P016 - Infraestruturas e Habitação</v>
      </c>
      <c r="D115" s="276" t="str">
        <f>IF(Indice_index!$Z$1=1,"001 - Serviços Gerais da Administração Pública - Administração geral","001 - General public services - General Administration")</f>
        <v>001 - Serviços Gerais da Administração Pública - Administração geral</v>
      </c>
      <c r="E115" s="5">
        <v>1.9313089999999999</v>
      </c>
      <c r="F115" s="5">
        <v>0.88211700000000004</v>
      </c>
    </row>
    <row r="116" spans="2:6" ht="14.1" customHeight="1">
      <c r="B116" s="277"/>
      <c r="C116" s="213"/>
      <c r="D116" s="276" t="str">
        <f>IF(Indice_index!$Z$1=1,"015 - Educação - Administração e regulamentação","015 - Education - Administration and regulations")</f>
        <v>015 - Educação - Administração e regulamentação</v>
      </c>
      <c r="E116" s="5">
        <v>0.633436</v>
      </c>
      <c r="F116" s="5">
        <v>0.633436</v>
      </c>
    </row>
    <row r="117" spans="2:6" ht="14.1" customHeight="1">
      <c r="B117" s="277"/>
      <c r="C117" s="213"/>
      <c r="D117" s="276" t="str">
        <f>IF(Indice_index!$Z$1=1,"017 - Educação - Estabelecimentos de ensino não superior","017 - Education - Non higher educations institutions")</f>
        <v>017 - Educação - Estabelecimentos de ensino não superior</v>
      </c>
      <c r="E117" s="5">
        <v>1.3466370000000001</v>
      </c>
      <c r="F117" s="5">
        <v>1.3466370000000001</v>
      </c>
    </row>
    <row r="118" spans="2:6" ht="14.1" customHeight="1">
      <c r="B118" s="277"/>
      <c r="C118" s="213"/>
      <c r="D118" s="276" t="str">
        <f>IF(Indice_index!$Z$1=1,"030 - Habitação e serv. Colectivos - Habitação","030 - Housing and Common services - Housing")</f>
        <v>030 - Habitação e serv. Colectivos - Habitação</v>
      </c>
      <c r="E118" s="5">
        <v>48.192120000000003</v>
      </c>
      <c r="F118" s="5">
        <v>1.4308730000000001</v>
      </c>
    </row>
    <row r="119" spans="2:6" ht="14.1" customHeight="1">
      <c r="B119" s="277"/>
      <c r="C119" s="213"/>
      <c r="D119" s="276" t="str">
        <f>IF(Indice_index!$Z$1=1,"031 - Habitação e serv. Colectivos - Ordenamento do território","031 - Housing and Common services - Land-use")</f>
        <v>031 - Habitação e serv. Colectivos - Ordenamento do território</v>
      </c>
      <c r="E119" s="5">
        <v>0.16338800000000001</v>
      </c>
      <c r="F119" s="5">
        <v>0</v>
      </c>
    </row>
    <row r="120" spans="2:6" ht="14.1" customHeight="1">
      <c r="B120" s="277"/>
      <c r="C120" s="213"/>
      <c r="D120" s="276" t="str">
        <f>IF(Indice_index!$Z$1=1,"052 - Transportes e comunicações - Administração e regulamentação","052 - Transport and Communications - Administration and regulations")</f>
        <v>052 - Transportes e comunicações - Administração e regulamentação</v>
      </c>
      <c r="E120" s="5">
        <v>25.228937999999999</v>
      </c>
      <c r="F120" s="5">
        <v>15.494657</v>
      </c>
    </row>
    <row r="121" spans="2:6" ht="14.1" customHeight="1">
      <c r="B121" s="277"/>
      <c r="C121" s="213"/>
      <c r="D121" s="276" t="str">
        <f>IF(Indice_index!$Z$1=1,"054 - Transportes e comunicações - Transportes rodoviários","054 - Transport and Communications - Road transport")</f>
        <v>054 - Transportes e comunicações - Transportes rodoviários</v>
      </c>
      <c r="E121" s="5">
        <v>9.8198150000000002</v>
      </c>
      <c r="F121" s="5">
        <v>5.5299930000000002</v>
      </c>
    </row>
    <row r="122" spans="2:6" ht="14.1" customHeight="1">
      <c r="B122" s="277"/>
      <c r="C122" s="213"/>
      <c r="D122" s="276" t="str">
        <f>IF(Indice_index!$Z$1=1,"055 - Transportes e comunicações - Transportes ferroviários","055 - Transport and Communications - Rail transport")</f>
        <v>055 - Transportes e comunicações - Transportes ferroviários</v>
      </c>
      <c r="E122" s="5">
        <v>95.932686000000004</v>
      </c>
      <c r="F122" s="5">
        <v>29.659192000000001</v>
      </c>
    </row>
    <row r="123" spans="2:6" ht="14.1" customHeight="1">
      <c r="B123" s="277"/>
      <c r="C123" s="213"/>
      <c r="D123" s="276" t="str">
        <f>IF(Indice_index!$Z$1=1,"056 - Transportes e comunicações - Transportes aéreos","056 - Transport and Communications - Air transport")</f>
        <v>056 - Transportes e comunicações - Transportes aéreos</v>
      </c>
      <c r="E123" s="5">
        <v>0.79708999999999997</v>
      </c>
      <c r="F123" s="5">
        <v>0.79708999999999997</v>
      </c>
    </row>
    <row r="124" spans="2:6" ht="14.1" customHeight="1">
      <c r="B124" s="277"/>
      <c r="C124" s="213"/>
      <c r="D124" s="276" t="str">
        <f>IF(Indice_index!$Z$1=1,"057 - Transportes e comunicações - Transportes marítimos e fluviais","057 - Transport and Communications - Water transport")</f>
        <v>057 - Transportes e comunicações - Transportes marítimos e fluviais</v>
      </c>
      <c r="E124" s="5">
        <v>8.9733330000000002</v>
      </c>
      <c r="F124" s="5">
        <v>0</v>
      </c>
    </row>
    <row r="125" spans="2:6" ht="14.1" customHeight="1">
      <c r="B125" s="277"/>
      <c r="C125" s="213"/>
      <c r="D125" s="280" t="str">
        <f>IF(Indice_index!$Z$1=1,"058 - Transportes e comunicações - Sistemas de comunicações","058 - Transport and Communications - Communications systems")</f>
        <v>058 - Transportes e comunicações - Sistemas de comunicações</v>
      </c>
      <c r="E125" s="5">
        <v>8.1033399999999993</v>
      </c>
      <c r="F125" s="5">
        <v>0</v>
      </c>
    </row>
    <row r="126" spans="2:6" ht="14.1" customHeight="1">
      <c r="B126" s="277"/>
      <c r="C126" s="213"/>
      <c r="D126" s="276" t="str">
        <f>IF(Indice_index!$Z$1=1,"063 - Outras funções económicas - Administração e regulamentação","063 - Outher economic functions - Administration e regulation")</f>
        <v>063 - Outras funções económicas - Administração e regulamentação</v>
      </c>
      <c r="E126" s="5">
        <v>2.4389590000000001</v>
      </c>
      <c r="F126" s="5">
        <v>2.4612750000000001</v>
      </c>
    </row>
    <row r="127" spans="2:6" ht="14.1" customHeight="1">
      <c r="B127" s="277"/>
      <c r="C127" s="213"/>
      <c r="D127" s="276" t="str">
        <f>IF(Indice_index!$Z$1=1,"065 - Outras funções económicas - Diversas não especificadas","065 - Other economic functions - Various unspecified")</f>
        <v>065 - Outras funções económicas - Diversas não especificadas</v>
      </c>
      <c r="E127" s="5">
        <v>0.49326599999999998</v>
      </c>
      <c r="F127" s="5">
        <v>0.49326599999999998</v>
      </c>
    </row>
    <row r="128" spans="2:6" ht="14.1" customHeight="1">
      <c r="B128" s="277"/>
      <c r="C128" s="213"/>
      <c r="D128" s="276" t="str">
        <f>IF(Indice_index!$Z$1=1,"101 - Plano Nacional de Gestão Integrada de Fogos Rurais","101 - National Plan on Integrated Rural Fire Management")</f>
        <v>101 - Plano Nacional de Gestão Integrada de Fogos Rurais</v>
      </c>
      <c r="E128" s="5">
        <v>7.8100180000000003</v>
      </c>
      <c r="F128" s="5">
        <v>0</v>
      </c>
    </row>
    <row r="129" spans="2:6" ht="14.1" customHeight="1">
      <c r="B129" s="213"/>
      <c r="C129" s="213"/>
      <c r="D129" s="213" t="str">
        <f>C115</f>
        <v>P016 - Infraestruturas e Habitação</v>
      </c>
      <c r="E129" s="161">
        <f>SUM(E115:E128)</f>
        <v>211.86433500000004</v>
      </c>
      <c r="F129" s="161">
        <f>SUM(F115:F128)</f>
        <v>58.728535999999998</v>
      </c>
    </row>
    <row r="130" spans="2:6" ht="14.1" customHeight="1">
      <c r="B130" s="277" t="str">
        <f>IF(Indice_index!$Z$1=1,"MAP","MAF")</f>
        <v>MAP</v>
      </c>
      <c r="C130" s="213" t="str">
        <f>IF(Indice_index!$Z$1=1,"P018 - Agricultura e Pescas","P018 - Agriculture and Fisheries")</f>
        <v>P018 - Agricultura e Pescas</v>
      </c>
      <c r="D130" s="276" t="str">
        <f>IF(Indice_index!$Z$1=1,"004 - Serv. Gerais da A.P. - Investigação científica de carácter geral","004 - General public services - General scientific research")</f>
        <v>004 - Serv. Gerais da A.P. - Investigação científica de carácter geral</v>
      </c>
      <c r="E130" s="5">
        <v>0.57494999999999996</v>
      </c>
      <c r="F130" s="5">
        <v>0.57494999999999996</v>
      </c>
    </row>
    <row r="131" spans="2:6" ht="14.1" customHeight="1">
      <c r="B131" s="277"/>
      <c r="C131" s="213"/>
      <c r="D131" s="276" t="str">
        <f>IF(Indice_index!$Z$1=1,"040 - Agricultura, pecuária, silv, caça, pesca - Administração e regulamentação","040 - Crops, livestock, forestry, fisheries - Administration and regulations")</f>
        <v>040 - Agricultura, pecuária, silv, caça, pesca - Administração e regulamentação</v>
      </c>
      <c r="E131" s="5">
        <v>3.9640529999999998</v>
      </c>
      <c r="F131" s="5">
        <v>1.64811</v>
      </c>
    </row>
    <row r="132" spans="2:6" ht="14.1" customHeight="1">
      <c r="B132" s="277"/>
      <c r="C132" s="213"/>
      <c r="D132" s="276" t="str">
        <f>IF(Indice_index!$Z$1=1,"041 - Agricultura, pecuária, silv, caça, pesca - Investigação","041 - Crops, livestock, forestry, fisheries - Research")</f>
        <v>041 - Agricultura, pecuária, silv, caça, pesca - Investigação</v>
      </c>
      <c r="E132" s="5">
        <v>3.8806E-2</v>
      </c>
      <c r="F132" s="5">
        <v>3.8806E-2</v>
      </c>
    </row>
    <row r="133" spans="2:6" ht="14.1" customHeight="1">
      <c r="B133" s="277"/>
      <c r="C133" s="213"/>
      <c r="D133" s="276" t="str">
        <f>IF(Indice_index!$Z$1=1,"042 - Agricultura, pecuária, silv, caça, pesca - Agricultura e pecuária","042 - Crops, livestock, forestry, fisheries - Crops and livestock")</f>
        <v>042 - Agricultura, pecuária, silv, caça, pesca - Agricultura e pecuária</v>
      </c>
      <c r="E133" s="5">
        <v>31.667197999999999</v>
      </c>
      <c r="F133" s="5">
        <v>12.527398</v>
      </c>
    </row>
    <row r="134" spans="2:6" ht="14.1" customHeight="1">
      <c r="B134" s="277"/>
      <c r="C134" s="213"/>
      <c r="D134" s="276" t="str">
        <f>IF(Indice_index!$Z$1=1,"045 - Agricultura, pecuária, silv, caça, pesca - Pesca","045 - Crops, livestock, forestry, fisheries - Fisheries")</f>
        <v>045 - Agricultura, pecuária, silv, caça, pesca - Pesca</v>
      </c>
      <c r="E134" s="5">
        <v>0.81985699999999995</v>
      </c>
      <c r="F134" s="5">
        <v>0.73548199999999997</v>
      </c>
    </row>
    <row r="135" spans="2:6" ht="14.1" customHeight="1">
      <c r="B135" s="277"/>
      <c r="C135" s="213"/>
      <c r="D135" s="276" t="str">
        <f>IF(Indice_index!$Z$1=1,"057 - Transportes e comunicações - Transportes marítimos e fluviais","057 - Transport and Communications - Water transport")</f>
        <v>057 - Transportes e comunicações - Transportes marítimos e fluviais</v>
      </c>
      <c r="E135" s="5">
        <v>0.71208099999999996</v>
      </c>
      <c r="F135" s="5">
        <v>0.71208099999999996</v>
      </c>
    </row>
    <row r="136" spans="2:6" ht="14.1" customHeight="1">
      <c r="B136" s="277"/>
      <c r="C136" s="213"/>
      <c r="D136" s="276" t="str">
        <f>IF(Indice_index!$Z$1=1,"085 - Florestas","085 - Forests")</f>
        <v>085 - Florestas</v>
      </c>
      <c r="E136" s="5">
        <v>0.64370000000000005</v>
      </c>
      <c r="F136" s="5">
        <v>0</v>
      </c>
    </row>
    <row r="137" spans="2:6" ht="14.1" customHeight="1">
      <c r="B137" s="277"/>
      <c r="C137" s="213"/>
      <c r="D137" s="276" t="str">
        <f>IF(Indice_index!$Z$1=1,"100 - Iniciativas de  Ação Climática","100 - Climate Action Iniciatives")</f>
        <v>100 - Iniciativas de  Ação Climática</v>
      </c>
      <c r="E137" s="5">
        <v>1.8E-3</v>
      </c>
      <c r="F137" s="5">
        <v>0</v>
      </c>
    </row>
    <row r="138" spans="2:6" ht="14.1" customHeight="1">
      <c r="B138" s="277"/>
      <c r="C138" s="213"/>
      <c r="D138" s="276" t="str">
        <f>IF(Indice_index!$Z$1=1,"101 - Plano Nacional de Gestão Integrada de Fogos Rurais","101 - National Plan on Integrated Rural Fire Management")</f>
        <v>101 - Plano Nacional de Gestão Integrada de Fogos Rurais</v>
      </c>
      <c r="E138" s="5">
        <v>4.8925000000000001</v>
      </c>
      <c r="F138" s="5">
        <v>0</v>
      </c>
    </row>
    <row r="139" spans="2:6" ht="14.1" customHeight="1">
      <c r="B139" s="213"/>
      <c r="C139" s="213"/>
      <c r="D139" s="213" t="str">
        <f>C130</f>
        <v>P018 - Agricultura e Pescas</v>
      </c>
      <c r="E139" s="161">
        <f>SUM(E130:E138)</f>
        <v>43.314945000000002</v>
      </c>
      <c r="F139" s="161">
        <f>SUM(F130:F138)</f>
        <v>16.236826999999998</v>
      </c>
    </row>
    <row r="140" spans="2:6" ht="14.1" customHeight="1">
      <c r="B140" s="448" t="str">
        <f>IF(Indice_index!$Z$1=1,"TOTAL Cativos","TOTAL frozen allocations")</f>
        <v>TOTAL Cativos</v>
      </c>
      <c r="C140" s="449"/>
      <c r="D140" s="450"/>
      <c r="E140" s="29">
        <f>E33+E139+E114+E79+E129+E107+E105+E95+E90+E82+E66+E58+E49+E71+E70+E36+E16</f>
        <v>823.58068099999991</v>
      </c>
      <c r="F140" s="29">
        <f>F33+F139+F114+F79+F129+F107+F105+F95+F90+F82+F66+F58+F49+F71+F70+F36+F16</f>
        <v>348.95830820000003</v>
      </c>
    </row>
    <row r="141" spans="2:6" ht="15">
      <c r="B141" s="140"/>
      <c r="C141" s="140"/>
      <c r="D141" s="140"/>
      <c r="E141" s="140"/>
      <c r="F141" s="140"/>
    </row>
    <row r="142" spans="2:6" ht="15">
      <c r="B142" s="378" t="str">
        <f>IF(Indice_index!$Z$1=1,"Reserva","Reserve")</f>
        <v>Reserva</v>
      </c>
      <c r="C142" s="374"/>
      <c r="D142" s="374"/>
      <c r="E142" s="374"/>
      <c r="F142" s="374"/>
    </row>
    <row r="143" spans="2:6" ht="15">
      <c r="B143" s="146"/>
      <c r="C143" s="146"/>
      <c r="D143" s="146"/>
      <c r="E143" s="48"/>
      <c r="F143" s="139"/>
    </row>
    <row r="144" spans="2:6" ht="15">
      <c r="B144" s="143" t="str">
        <f>B9</f>
        <v>Período: agosto</v>
      </c>
      <c r="C144" s="3"/>
      <c r="D144" s="3"/>
      <c r="E144" s="3"/>
      <c r="F144" s="3" t="str">
        <f>IF(Indice_index!$Z$1=1,"€ Milhões","€ Millions")</f>
        <v>€ Milhões</v>
      </c>
    </row>
    <row r="145" spans="2:6" ht="16.350000000000001" customHeight="1">
      <c r="B145" s="377" t="str">
        <f>IF(Indice_index!$Z$1=1,"Ministério","Ministry")</f>
        <v>Ministério</v>
      </c>
      <c r="C145" s="377" t="str">
        <f>IF(Indice_index!$Z$1=1,"Programa Orçamental","Budgetary program")</f>
        <v>Programa Orçamental</v>
      </c>
      <c r="D145" s="398" t="str">
        <f>IF(Indice_index!$Z$1=1,"Reserva","Reserve")</f>
        <v>Reserva</v>
      </c>
      <c r="E145" s="153" t="str">
        <f>IF(Indice_index!$Z$1=1,"Cativos iniciais","Initial frozen allocations")</f>
        <v>Cativos iniciais</v>
      </c>
      <c r="F145" s="144" t="str">
        <f>IF(Indice_index!$Z$1=1,"Cativos atuais","Current frozen allocations")</f>
        <v>Cativos atuais</v>
      </c>
    </row>
    <row r="146" spans="2:6" ht="16.350000000000001" customHeight="1">
      <c r="B146" s="376"/>
      <c r="C146" s="376"/>
      <c r="D146" s="347"/>
      <c r="E146" s="151" t="s">
        <v>56</v>
      </c>
      <c r="F146" s="145" t="s">
        <v>57</v>
      </c>
    </row>
    <row r="147" spans="2:6" ht="14.1" customHeight="1">
      <c r="B147" s="213" t="str">
        <f>+B13</f>
        <v>EGE</v>
      </c>
      <c r="C147" s="213" t="str">
        <f>+C13</f>
        <v>P001 - Órgãos de Soberania</v>
      </c>
      <c r="D147" s="281" t="str">
        <f>IF(Indice_index!$Z$1=1,"Reserva Orçamental","Reserve")</f>
        <v>Reserva Orçamental</v>
      </c>
      <c r="E147" s="5">
        <v>5.5660780000000001</v>
      </c>
      <c r="F147" s="5">
        <v>0.88897000000000004</v>
      </c>
    </row>
    <row r="148" spans="2:6" ht="14.1" customHeight="1">
      <c r="B148" s="213" t="str">
        <f>+B17</f>
        <v>PCM</v>
      </c>
      <c r="C148" s="213" t="str">
        <f>+C17</f>
        <v>P002 - Governação</v>
      </c>
      <c r="D148" s="281" t="str">
        <f>IF(Indice_index!$Z$1=1,"Reserva Orçamental","Reserve")</f>
        <v>Reserva Orçamental</v>
      </c>
      <c r="E148" s="5">
        <v>7.2165150000000002</v>
      </c>
      <c r="F148" s="5">
        <v>5.8127399999999998</v>
      </c>
    </row>
    <row r="149" spans="2:6" ht="14.1" customHeight="1">
      <c r="B149" s="213" t="str">
        <f>+B25</f>
        <v>MCT</v>
      </c>
      <c r="C149" s="213" t="str">
        <f>+C25</f>
        <v>P002 - Governação</v>
      </c>
      <c r="D149" s="281" t="str">
        <f>IF(Indice_index!$Z$1=1,"Reserva Orçamental","Reserve")</f>
        <v>Reserva Orçamental</v>
      </c>
      <c r="E149" s="5">
        <v>4.1221329999999998</v>
      </c>
      <c r="F149" s="5">
        <v>4.2118229999999999</v>
      </c>
    </row>
    <row r="150" spans="2:6" ht="14.1" customHeight="1">
      <c r="B150" s="213" t="str">
        <f>+B34</f>
        <v>MNE</v>
      </c>
      <c r="C150" s="213" t="str">
        <f>+C34</f>
        <v>P003 - Representação Externa</v>
      </c>
      <c r="D150" s="281" t="str">
        <f>IF(Indice_index!$Z$1=1,"Reserva Orçamental","Reserve")</f>
        <v>Reserva Orçamental</v>
      </c>
      <c r="E150" s="5">
        <v>8.2907849999999996</v>
      </c>
      <c r="F150" s="5">
        <v>8.2907849999999996</v>
      </c>
    </row>
    <row r="151" spans="2:6" ht="14.1" customHeight="1">
      <c r="B151" s="213" t="str">
        <f>+B37</f>
        <v>MDN</v>
      </c>
      <c r="C151" s="213" t="str">
        <f>+C37</f>
        <v>P004 - Defesa</v>
      </c>
      <c r="D151" s="281" t="str">
        <f>IF(Indice_index!$Z$1=1,"Reserva Orçamental","Reserve")</f>
        <v>Reserva Orçamental</v>
      </c>
      <c r="E151" s="5">
        <v>31.330037999999998</v>
      </c>
      <c r="F151" s="5">
        <v>31.330037999999998</v>
      </c>
    </row>
    <row r="152" spans="2:6" ht="14.1" customHeight="1">
      <c r="B152" s="213" t="str">
        <f>+B50</f>
        <v>MAI</v>
      </c>
      <c r="C152" s="213" t="str">
        <f>+C50</f>
        <v>P005 - Segurança Interna</v>
      </c>
      <c r="D152" s="281" t="str">
        <f>IF(Indice_index!$Z$1=1,"Reserva Orçamental","Reserve")</f>
        <v>Reserva Orçamental</v>
      </c>
      <c r="E152" s="5">
        <v>48.398803000000001</v>
      </c>
      <c r="F152" s="5">
        <v>42.809494999999998</v>
      </c>
    </row>
    <row r="153" spans="2:6" ht="14.1" customHeight="1">
      <c r="B153" s="213" t="str">
        <f>+B59</f>
        <v>MJ</v>
      </c>
      <c r="C153" s="213" t="str">
        <f>+C59</f>
        <v>P006 - Justiça</v>
      </c>
      <c r="D153" s="281" t="str">
        <f>IF(Indice_index!$Z$1=1,"Reserva Orçamental","Reserve")</f>
        <v>Reserva Orçamental</v>
      </c>
      <c r="E153" s="5">
        <v>40.240499</v>
      </c>
      <c r="F153" s="5">
        <v>28.393606999999999</v>
      </c>
    </row>
    <row r="154" spans="2:6" ht="14.1" customHeight="1">
      <c r="B154" s="213" t="str">
        <f>+B67</f>
        <v>MF</v>
      </c>
      <c r="C154" s="213" t="str">
        <f>+C67</f>
        <v>P007 - Finanças</v>
      </c>
      <c r="D154" s="281" t="str">
        <f>IF(Indice_index!$Z$1=1,"Reserva Orçamental","Reserve")</f>
        <v>Reserva Orçamental</v>
      </c>
      <c r="E154" s="5">
        <v>37.054696</v>
      </c>
      <c r="F154" s="5">
        <v>37.054696</v>
      </c>
    </row>
    <row r="155" spans="2:6" ht="14.1" customHeight="1">
      <c r="B155" s="213" t="str">
        <f>+B72</f>
        <v>ME</v>
      </c>
      <c r="C155" s="213" t="str">
        <f>+C72</f>
        <v>P009 - Economia</v>
      </c>
      <c r="D155" s="281" t="str">
        <f>IF(Indice_index!$Z$1=1,"Reserva Orçamental","Reserve")</f>
        <v>Reserva Orçamental</v>
      </c>
      <c r="E155" s="5">
        <v>56.008163000000003</v>
      </c>
      <c r="F155" s="5">
        <v>56.008163000000003</v>
      </c>
    </row>
    <row r="156" spans="2:6" ht="14.1" customHeight="1">
      <c r="B156" s="213" t="str">
        <f>+B80</f>
        <v>MC</v>
      </c>
      <c r="C156" s="213" t="str">
        <f>+C80</f>
        <v>P010 - Cultura</v>
      </c>
      <c r="D156" s="281" t="str">
        <f>IF(Indice_index!$Z$1=1,"Reserva Orçamental","Reserve")</f>
        <v>Reserva Orçamental</v>
      </c>
      <c r="E156" s="5">
        <v>7.6658439999999999</v>
      </c>
      <c r="F156" s="5">
        <v>4.6658439999999999</v>
      </c>
    </row>
    <row r="157" spans="2:6" ht="14.1" customHeight="1">
      <c r="B157" s="213" t="str">
        <f>+B84</f>
        <v>MECI</v>
      </c>
      <c r="C157" s="213" t="str">
        <f>+C84</f>
        <v>P011 - Ciência e Inovação</v>
      </c>
      <c r="D157" s="281" t="str">
        <f>IF(Indice_index!$Z$1=1,"Reserva Orçamental","Reserve")</f>
        <v>Reserva Orçamental</v>
      </c>
      <c r="E157" s="5">
        <v>11.987434</v>
      </c>
      <c r="F157" s="5">
        <v>11.987434</v>
      </c>
    </row>
    <row r="158" spans="2:6" ht="14.1" customHeight="1">
      <c r="B158" s="213" t="str">
        <f>+B92</f>
        <v>MECI</v>
      </c>
      <c r="C158" s="213" t="str">
        <f>+C92</f>
        <v>P012 - Ensino Básico e Secundário e Adm. Escolar</v>
      </c>
      <c r="D158" s="281" t="str">
        <f>IF(Indice_index!$Z$1=1,"Reserva Orçamental","Reserve")</f>
        <v>Reserva Orçamental</v>
      </c>
      <c r="E158" s="5">
        <v>0.15906200000000001</v>
      </c>
      <c r="F158" s="5">
        <v>0.15906200000000001</v>
      </c>
    </row>
    <row r="159" spans="2:6" ht="14.1" customHeight="1">
      <c r="B159" s="213" t="str">
        <f>+B97</f>
        <v>MTSSS</v>
      </c>
      <c r="C159" s="213" t="str">
        <f>+C97</f>
        <v>P013 - Trabalho, Solidariedade e Seg. Social</v>
      </c>
      <c r="D159" s="281" t="str">
        <f>IF(Indice_index!$Z$1=1,"Reserva Orçamental","Reserve")</f>
        <v>Reserva Orçamental</v>
      </c>
      <c r="E159" s="5">
        <v>4.1973010000000004</v>
      </c>
      <c r="F159" s="5">
        <v>4.1973010000000004</v>
      </c>
    </row>
    <row r="160" spans="2:6" ht="14.1" customHeight="1">
      <c r="B160" s="213" t="str">
        <f>+B106</f>
        <v>MS</v>
      </c>
      <c r="C160" s="213" t="str">
        <f>+C106</f>
        <v>P014 - Saúde</v>
      </c>
      <c r="D160" s="281" t="str">
        <f>IF(Indice_index!$Z$1=1,"Reserva Orçamental","Reserve")</f>
        <v>Reserva Orçamental</v>
      </c>
      <c r="E160" s="5">
        <v>1.6317919999999999</v>
      </c>
      <c r="F160" s="5">
        <v>1.6317919999999999</v>
      </c>
    </row>
    <row r="161" spans="2:6" ht="14.1" customHeight="1">
      <c r="B161" s="213" t="str">
        <f>+B109</f>
        <v>MAE</v>
      </c>
      <c r="C161" s="213" t="str">
        <f>+C109</f>
        <v>P015 - Ambiente e Energia</v>
      </c>
      <c r="D161" s="281" t="str">
        <f>IF(Indice_index!$Z$1=1,"Reserva Orçamental","Reserve")</f>
        <v>Reserva Orçamental</v>
      </c>
      <c r="E161" s="5">
        <v>29.241354000000001</v>
      </c>
      <c r="F161" s="5">
        <v>27.011474</v>
      </c>
    </row>
    <row r="162" spans="2:6" ht="14.1" customHeight="1">
      <c r="B162" s="213" t="str">
        <f>+B115</f>
        <v>MIH</v>
      </c>
      <c r="C162" s="213" t="str">
        <f>+C115</f>
        <v>P016 - Infraestruturas e Habitação</v>
      </c>
      <c r="D162" s="281" t="str">
        <f>IF(Indice_index!$Z$1=1,"Reserva Orçamental","Reserve")</f>
        <v>Reserva Orçamental</v>
      </c>
      <c r="E162" s="5">
        <v>101.653257</v>
      </c>
      <c r="F162" s="5">
        <v>101.653257</v>
      </c>
    </row>
    <row r="163" spans="2:6" ht="14.1" customHeight="1">
      <c r="B163" s="213" t="str">
        <f>+B130</f>
        <v>MAP</v>
      </c>
      <c r="C163" s="213" t="str">
        <f>+C130</f>
        <v>P018 - Agricultura e Pescas</v>
      </c>
      <c r="D163" s="281" t="str">
        <f>IF(Indice_index!$Z$1=1,"Reserva Orçamental","Reserve")</f>
        <v>Reserva Orçamental</v>
      </c>
      <c r="E163" s="5">
        <v>16.884277999999998</v>
      </c>
      <c r="F163" s="5">
        <v>15.050445</v>
      </c>
    </row>
    <row r="164" spans="2:6" ht="14.1" customHeight="1">
      <c r="B164" s="454" t="s">
        <v>58</v>
      </c>
      <c r="C164" s="455"/>
      <c r="D164" s="456"/>
      <c r="E164" s="19">
        <f>SUM(E147:E163)</f>
        <v>411.648032</v>
      </c>
      <c r="F164" s="19">
        <f>SUM(F147:F163)</f>
        <v>381.15692600000006</v>
      </c>
    </row>
    <row r="165" spans="2:6" ht="14.1" customHeight="1">
      <c r="B165" s="457" t="str">
        <f>IF(Indice_index!$Z$1=1,"TOTAL Cativos + Reserva 2024","TOTAL Frozen allocations + Reserve 2024")</f>
        <v>TOTAL Cativos + Reserva 2024</v>
      </c>
      <c r="C165" s="458"/>
      <c r="D165" s="459"/>
      <c r="E165" s="19">
        <f>E164+E140</f>
        <v>1235.228713</v>
      </c>
      <c r="F165" s="19">
        <f>F164+F140</f>
        <v>730.11523420000003</v>
      </c>
    </row>
    <row r="166" spans="2:6" ht="8.25" customHeight="1">
      <c r="B166"/>
      <c r="C166"/>
      <c r="D166"/>
      <c r="E166"/>
      <c r="F166"/>
    </row>
    <row r="167" spans="2:6" ht="14.1" customHeight="1">
      <c r="B167" s="457" t="str">
        <f>IF(Indice_index!$Z$1=1,"Por memória Total Cativos + Reserva 2023","By memory Total Frozen allocations + Reserve 2023")</f>
        <v>Por memória Total Cativos + Reserva 2023</v>
      </c>
      <c r="C167" s="458"/>
      <c r="D167" s="459"/>
      <c r="E167" s="19">
        <v>1242.1233229999998</v>
      </c>
      <c r="F167" s="19">
        <v>837.90117375</v>
      </c>
    </row>
    <row r="168" spans="2:6" ht="15">
      <c r="B168" s="140" t="str">
        <f>IF(Indice_index!$Z$1=1,"Notas:","Notes:")</f>
        <v>Notas:</v>
      </c>
      <c r="C168" s="140"/>
      <c r="D168" s="140"/>
      <c r="E168" s="140"/>
      <c r="F168" s="140"/>
    </row>
    <row r="169" spans="2:6" ht="15">
      <c r="B169" s="460"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C169" s="460"/>
      <c r="D169" s="460"/>
      <c r="E169" s="460"/>
      <c r="F169" s="460"/>
    </row>
    <row r="170" spans="2:6" ht="15.6" customHeight="1">
      <c r="B170" s="462"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170" s="462"/>
      <c r="D170" s="462"/>
      <c r="E170" s="462"/>
      <c r="F170" s="461"/>
    </row>
    <row r="171" spans="2:6" ht="15">
      <c r="B171" s="452"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171" s="461"/>
      <c r="D171" s="461"/>
      <c r="E171" s="461"/>
      <c r="F171" s="461"/>
    </row>
    <row r="172" spans="2:6" ht="15">
      <c r="B172" s="452" t="str">
        <f>IF(Indice_index!$Z$1=1,"- De acordo com a Lei Orgânica do XXIV Governo (Decreto-Lei n.º 32/2024, de 10 maio).","- According to the Organic Law of the XXIV Government (Decree-Law No. 32/2024, of May 10).")</f>
        <v>- De acordo com a Lei Orgânica do XXIV Governo (Decreto-Lei n.º 32/2024, de 10 maio).</v>
      </c>
      <c r="C172" s="461"/>
      <c r="D172" s="461"/>
      <c r="E172" s="461"/>
      <c r="F172" s="461"/>
    </row>
    <row r="173" spans="2:6" ht="15">
      <c r="B173" s="451" t="str">
        <f>IF(Indice_index!$Z$1=1,"Fonte: Direção-Geral do Orçamento.","Source: Budget General Directorate.")</f>
        <v>Fonte: Direção-Geral do Orçamento.</v>
      </c>
      <c r="C173" s="451"/>
      <c r="D173" s="451"/>
      <c r="E173" s="202"/>
      <c r="F173" s="202"/>
    </row>
    <row r="174" spans="2:6" ht="14.85" customHeight="1"/>
    <row r="175" spans="2:6" ht="14.85" customHeight="1"/>
    <row r="176" spans="2:6" ht="15" hidden="1">
      <c r="B176" s="452"/>
      <c r="C176" s="453"/>
      <c r="D176" s="453"/>
      <c r="E176" s="453"/>
      <c r="F176" s="453"/>
    </row>
    <row r="177" spans="2:6" ht="15" hidden="1">
      <c r="B177" s="452"/>
      <c r="C177" s="452"/>
      <c r="D177" s="452"/>
      <c r="E177" s="452"/>
      <c r="F177" s="452"/>
    </row>
  </sheetData>
  <mergeCells count="19">
    <mergeCell ref="B173:D173"/>
    <mergeCell ref="B176:F176"/>
    <mergeCell ref="B177:F177"/>
    <mergeCell ref="B142:F142"/>
    <mergeCell ref="B145:B146"/>
    <mergeCell ref="C145:C146"/>
    <mergeCell ref="D145:D146"/>
    <mergeCell ref="B164:D164"/>
    <mergeCell ref="B165:D165"/>
    <mergeCell ref="B169:F169"/>
    <mergeCell ref="B171:F171"/>
    <mergeCell ref="B170:F170"/>
    <mergeCell ref="B167:D167"/>
    <mergeCell ref="B172:F172"/>
    <mergeCell ref="B10:B12"/>
    <mergeCell ref="C10:C12"/>
    <mergeCell ref="D10:D12"/>
    <mergeCell ref="E10:F10"/>
    <mergeCell ref="B140:D140"/>
  </mergeCells>
  <conditionalFormatting sqref="E13:F139 E147:F163">
    <cfRule type="cellIs" dxfId="2"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79" min="1" max="5" man="1"/>
    <brk id="141" min="1" max="5" man="1"/>
  </rowBreaks>
  <ignoredErrors>
    <ignoredError sqref="E12:F12 E146:F146" numberStoredAsText="1"/>
    <ignoredError sqref="E79 E95 E105 E114 F139 F79:F138 F140"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3"/>
  <sheetViews>
    <sheetView showGridLines="0" zoomScaleNormal="100" workbookViewId="0"/>
  </sheetViews>
  <sheetFormatPr defaultColWidth="0" defaultRowHeight="14.85" customHeight="1" zeroHeight="1"/>
  <cols>
    <col min="1" max="1" width="7.42578125" style="53" customWidth="1"/>
    <col min="2" max="2" width="54.5703125" style="33" customWidth="1"/>
    <col min="3" max="3" width="10.42578125" style="33" customWidth="1"/>
    <col min="4" max="6" width="10.42578125" style="53" customWidth="1"/>
    <col min="7" max="8" width="8.5703125" style="53" customWidth="1"/>
    <col min="9" max="9" width="8.5703125" style="53" hidden="1" customWidth="1"/>
    <col min="10" max="33" width="0" hidden="1" customWidth="1"/>
    <col min="34" max="16384" width="9.42578125" hidden="1"/>
  </cols>
  <sheetData>
    <row r="1" spans="2:7" ht="14.85" customHeight="1"/>
    <row r="2" spans="2:7" ht="15"/>
    <row r="3" spans="2:7" ht="15"/>
    <row r="4" spans="2:7" ht="15"/>
    <row r="5" spans="2:7" ht="15"/>
    <row r="6" spans="2:7" ht="15"/>
    <row r="7" spans="2:7" ht="50.1" customHeight="1">
      <c r="B7" s="13"/>
      <c r="C7" s="14"/>
      <c r="D7" s="12"/>
      <c r="E7" s="12"/>
      <c r="F7" s="12"/>
      <c r="G7" s="12"/>
    </row>
    <row r="8" spans="2:7" ht="15.75">
      <c r="B8" s="141" t="str">
        <f>IF(Indice_index!$Z$1=1,"Quadro 24 - Despesa Efetiva Consolidada por Programa Orçamental","24 - Consolidated Effective Expenditure by Budgetary Program")</f>
        <v>Quadro 24 - Despesa Efetiva Consolidada por Programa Orçamental</v>
      </c>
      <c r="C8" s="2"/>
      <c r="D8" s="2"/>
      <c r="E8" s="2"/>
      <c r="F8" s="2"/>
      <c r="G8" s="2"/>
    </row>
    <row r="9" spans="2:7" ht="15">
      <c r="B9" s="3" t="str">
        <f>+'3 - Conta AC + SS'!B9</f>
        <v>Período: janeiro a setembro</v>
      </c>
      <c r="C9" s="147"/>
      <c r="D9" s="147"/>
      <c r="E9" s="3"/>
      <c r="F9" s="3"/>
      <c r="G9" s="3" t="str">
        <f>IF(Indice_index!$Z$1=1,"€ Milhões","€ Millions")</f>
        <v>€ Milhões</v>
      </c>
    </row>
    <row r="10" spans="2:7" ht="26.85" customHeight="1">
      <c r="B10" s="377"/>
      <c r="C10" s="378" t="str">
        <f>IF(Indice_index!$Z$1=1,"Execução Acumulada","Accumulated Execution")</f>
        <v>Execução Acumulada</v>
      </c>
      <c r="D10" s="375"/>
      <c r="E10" s="378" t="str">
        <f>IF(Indice_index!$Z$1=1,"Variação Homóloga Acumulada","YOY Change Rate")</f>
        <v>Variação Homóloga Acumulada</v>
      </c>
      <c r="F10" s="375"/>
      <c r="G10" s="377" t="str">
        <f>IF(Indice_index!$Z$1=1,"Contributo (em p.p.)","Contribution (pp)")</f>
        <v>Contributo (em p.p.)</v>
      </c>
    </row>
    <row r="11" spans="2:7" ht="14.1" customHeight="1">
      <c r="B11" s="376"/>
      <c r="C11" s="24">
        <v>2023</v>
      </c>
      <c r="D11" s="24">
        <v>2024</v>
      </c>
      <c r="E11" s="24" t="str">
        <f>IF(Indice_index!$Z$1=1,"Absoluta","Absolute")</f>
        <v>Absoluta</v>
      </c>
      <c r="F11" s="24" t="str">
        <f>IF(Indice_index!$Z$1=1,"Relativa (%)","Relative (%)")</f>
        <v>Relativa (%)</v>
      </c>
      <c r="G11" s="376"/>
    </row>
    <row r="12" spans="2:7" ht="14.1" customHeight="1">
      <c r="B12" s="291" t="str">
        <f>IF(Indice_index!$Z$1=1,"001 - Órgãos de Soberania","001 - Bodies of Sovereignty")</f>
        <v>001 - Órgãos de Soberania</v>
      </c>
      <c r="C12" s="5">
        <v>4150.7387198200013</v>
      </c>
      <c r="D12" s="5">
        <v>4866.3537360100008</v>
      </c>
      <c r="E12" s="5">
        <f t="shared" ref="E12:E28" si="0">+D12-C12</f>
        <v>715.61501618999955</v>
      </c>
      <c r="F12" s="5">
        <f t="shared" ref="F12:F32" si="1">IF(IFERROR((D12-C12)/C12*100,"")&gt;500,"-",IFERROR((D12-C12)/C12*100,""))</f>
        <v>17.240666408918955</v>
      </c>
      <c r="G12" s="5">
        <f t="shared" ref="G12:G28" si="2">IFERROR((D12-C12)/$C$32*100,"")</f>
        <v>1.3137361463250725</v>
      </c>
    </row>
    <row r="13" spans="2:7" ht="14.1" customHeight="1">
      <c r="B13" s="291" t="str">
        <f>IF(Indice_index!$Z$1=1,"002 - Governação","002 - Governance")</f>
        <v>002 - Governação</v>
      </c>
      <c r="C13" s="5">
        <v>643.83027445999994</v>
      </c>
      <c r="D13" s="5">
        <v>936.63334498999961</v>
      </c>
      <c r="E13" s="5">
        <f t="shared" si="0"/>
        <v>292.80307052999967</v>
      </c>
      <c r="F13" s="5">
        <f t="shared" si="1"/>
        <v>45.478301059325382</v>
      </c>
      <c r="G13" s="5">
        <f t="shared" si="2"/>
        <v>0.53753200926138656</v>
      </c>
    </row>
    <row r="14" spans="2:7" ht="14.1" customHeight="1">
      <c r="B14" s="291" t="str">
        <f>IF(Indice_index!$Z$1=1,"003 - Representação Externa","003 - External Representation")</f>
        <v>003 - Representação Externa</v>
      </c>
      <c r="C14" s="5">
        <v>257.9996443</v>
      </c>
      <c r="D14" s="5">
        <v>283.19493232999997</v>
      </c>
      <c r="E14" s="5">
        <f t="shared" si="0"/>
        <v>25.195288029999972</v>
      </c>
      <c r="F14" s="5">
        <f t="shared" si="1"/>
        <v>9.7656289792024236</v>
      </c>
      <c r="G14" s="5">
        <f t="shared" si="2"/>
        <v>4.625386535110685E-2</v>
      </c>
    </row>
    <row r="15" spans="2:7" ht="14.1" customHeight="1">
      <c r="B15" s="291" t="str">
        <f>IF(Indice_index!$Z$1=1,"004 - Defesa","004 - Defense")</f>
        <v>004 - Defesa</v>
      </c>
      <c r="C15" s="5">
        <v>1268.2896439800002</v>
      </c>
      <c r="D15" s="5">
        <v>1608.9836058800004</v>
      </c>
      <c r="E15" s="5">
        <f t="shared" si="0"/>
        <v>340.6939619000002</v>
      </c>
      <c r="F15" s="5">
        <f t="shared" si="1"/>
        <v>26.862472899398099</v>
      </c>
      <c r="G15" s="5">
        <f t="shared" si="2"/>
        <v>0.62545078353119965</v>
      </c>
    </row>
    <row r="16" spans="2:7" ht="14.1" customHeight="1">
      <c r="B16" s="291" t="str">
        <f>IF(Indice_index!$Z$1=1,"005 - Segurança Interna","005 - Internal Security")</f>
        <v>005 - Segurança Interna</v>
      </c>
      <c r="C16" s="5">
        <v>1702.0089279599999</v>
      </c>
      <c r="D16" s="5">
        <v>1787.2809418300005</v>
      </c>
      <c r="E16" s="5">
        <f t="shared" si="0"/>
        <v>85.272013870000592</v>
      </c>
      <c r="F16" s="5">
        <f t="shared" si="1"/>
        <v>5.0100802921290333</v>
      </c>
      <c r="G16" s="5">
        <f t="shared" si="2"/>
        <v>0.15654356652182028</v>
      </c>
    </row>
    <row r="17" spans="2:7" ht="14.1" customHeight="1">
      <c r="B17" s="291" t="str">
        <f>IF(Indice_index!$Z$1=1,"006 - Justiça","006 - Justice")</f>
        <v>006 - Justiça</v>
      </c>
      <c r="C17" s="5">
        <v>1075.5738602700001</v>
      </c>
      <c r="D17" s="5">
        <v>1252.4406919499997</v>
      </c>
      <c r="E17" s="5">
        <f t="shared" si="0"/>
        <v>176.86683167999968</v>
      </c>
      <c r="F17" s="5">
        <f t="shared" si="1"/>
        <v>16.443950361121736</v>
      </c>
      <c r="G17" s="5">
        <f t="shared" si="2"/>
        <v>0.32469462575155938</v>
      </c>
    </row>
    <row r="18" spans="2:7" ht="14.1" customHeight="1">
      <c r="B18" s="291" t="str">
        <f>IF(Indice_index!$Z$1=1,"007 - Finanças","007 - Finance")</f>
        <v>007 - Finanças</v>
      </c>
      <c r="C18" s="5">
        <v>3592.4236439600004</v>
      </c>
      <c r="D18" s="5">
        <v>4702.5706139100012</v>
      </c>
      <c r="E18" s="5">
        <f t="shared" si="0"/>
        <v>1110.1469699500008</v>
      </c>
      <c r="F18" s="5">
        <f t="shared" si="1"/>
        <v>30.902451380323942</v>
      </c>
      <c r="G18" s="5">
        <f t="shared" si="2"/>
        <v>2.038023475138127</v>
      </c>
    </row>
    <row r="19" spans="2:7" ht="14.1" customHeight="1">
      <c r="B19" s="291" t="str">
        <f>IF(Indice_index!$Z$1=1,"008 - Gestão da Dívida Pública","008 - Public Debt Management")</f>
        <v>008 - Gestão da Dívida Pública</v>
      </c>
      <c r="C19" s="5">
        <v>4364.5518771099996</v>
      </c>
      <c r="D19" s="5">
        <v>4990.79991419</v>
      </c>
      <c r="E19" s="5">
        <f t="shared" si="0"/>
        <v>626.24803708000036</v>
      </c>
      <c r="F19" s="5">
        <f t="shared" si="1"/>
        <v>14.348507125425034</v>
      </c>
      <c r="G19" s="5">
        <f t="shared" si="2"/>
        <v>1.1496749848226815</v>
      </c>
    </row>
    <row r="20" spans="2:7" ht="14.1" customHeight="1">
      <c r="B20" s="291" t="str">
        <f>IF(Indice_index!$Z$1=1,"009 - Economia","009 - Economy")</f>
        <v>009 - Economia</v>
      </c>
      <c r="C20" s="5">
        <v>951.79796367999973</v>
      </c>
      <c r="D20" s="5">
        <v>820.16937754999981</v>
      </c>
      <c r="E20" s="5">
        <f t="shared" si="0"/>
        <v>-131.62858612999992</v>
      </c>
      <c r="F20" s="5">
        <f t="shared" si="1"/>
        <v>-13.829467087855027</v>
      </c>
      <c r="G20" s="5">
        <f t="shared" si="2"/>
        <v>-0.24164561611537144</v>
      </c>
    </row>
    <row r="21" spans="2:7" ht="14.1" customHeight="1">
      <c r="B21" s="291" t="str">
        <f>IF(Indice_index!$Z$1=1,"010 - Cultura","010 - Culture")</f>
        <v>010 - Cultura</v>
      </c>
      <c r="C21" s="5">
        <v>197.96129909999991</v>
      </c>
      <c r="D21" s="5">
        <v>224.92757984999997</v>
      </c>
      <c r="E21" s="5">
        <f t="shared" si="0"/>
        <v>26.966280750000067</v>
      </c>
      <c r="F21" s="5">
        <f t="shared" si="1"/>
        <v>13.621996255125646</v>
      </c>
      <c r="G21" s="5">
        <f t="shared" si="2"/>
        <v>4.9505078780821908E-2</v>
      </c>
    </row>
    <row r="22" spans="2:7" ht="14.1" customHeight="1">
      <c r="B22" s="291" t="str">
        <f>IF(Indice_index!$Z$1=1,"011 - Ciência e Inovação","011 - Science and Inovation")</f>
        <v>011 - Ciência e Inovação</v>
      </c>
      <c r="C22" s="5">
        <v>2102.795954210002</v>
      </c>
      <c r="D22" s="5">
        <v>2304.2801138400014</v>
      </c>
      <c r="E22" s="5">
        <f t="shared" si="0"/>
        <v>201.48415962999934</v>
      </c>
      <c r="F22" s="5">
        <f t="shared" si="1"/>
        <v>9.581726616251494</v>
      </c>
      <c r="G22" s="5">
        <f t="shared" si="2"/>
        <v>0.36988746383094706</v>
      </c>
    </row>
    <row r="23" spans="2:7" ht="14.1" customHeight="1">
      <c r="B23" s="291" t="str">
        <f>IF(Indice_index!$Z$1=1,"012 - Educação","012 - Education")</f>
        <v>012 - Educação</v>
      </c>
      <c r="C23" s="5">
        <v>4553.4625526100008</v>
      </c>
      <c r="D23" s="5">
        <v>5027.0031834600031</v>
      </c>
      <c r="E23" s="5">
        <f t="shared" si="0"/>
        <v>473.54063085000234</v>
      </c>
      <c r="F23" s="5">
        <f t="shared" si="1"/>
        <v>10.399572311812983</v>
      </c>
      <c r="G23" s="5">
        <f t="shared" si="2"/>
        <v>0.86933257327855318</v>
      </c>
    </row>
    <row r="24" spans="2:7" ht="14.1" customHeight="1">
      <c r="B24" s="291" t="str">
        <f>IF(Indice_index!$Z$1=1,"013 - Trabalho, Solidariedade e Segurança Social","013 - Work, Solidarity and Social Security")</f>
        <v>013 - Trabalho, Solidariedade e Segurança Social</v>
      </c>
      <c r="C24" s="5">
        <v>16325.61353425</v>
      </c>
      <c r="D24" s="5">
        <v>17474.071469459999</v>
      </c>
      <c r="E24" s="5">
        <f t="shared" si="0"/>
        <v>1148.4579352099991</v>
      </c>
      <c r="F24" s="5">
        <f t="shared" si="1"/>
        <v>7.0346999994861719</v>
      </c>
      <c r="G24" s="5">
        <f t="shared" si="2"/>
        <v>2.1083552858519772</v>
      </c>
    </row>
    <row r="25" spans="2:7" ht="14.1" customHeight="1">
      <c r="B25" s="291" t="str">
        <f>IF(Indice_index!$Z$1=1,"014 - Saúde","014 - Health")</f>
        <v>014 - Saúde</v>
      </c>
      <c r="C25" s="5">
        <v>9483.228649270015</v>
      </c>
      <c r="D25" s="5">
        <v>10350.582412780026</v>
      </c>
      <c r="E25" s="5">
        <f t="shared" si="0"/>
        <v>867.35376351001105</v>
      </c>
      <c r="F25" s="5">
        <f t="shared" si="1"/>
        <v>9.1461863421038245</v>
      </c>
      <c r="G25" s="5">
        <f t="shared" si="2"/>
        <v>1.5923002801713899</v>
      </c>
    </row>
    <row r="26" spans="2:7" ht="14.1" customHeight="1">
      <c r="B26" s="291" t="str">
        <f>IF(Indice_index!$Z$1=1,"015 - Ambiente e Energia","015 - Environment and Energy")</f>
        <v>015 - Ambiente e Energia</v>
      </c>
      <c r="C26" s="5">
        <v>606.54728301000023</v>
      </c>
      <c r="D26" s="5">
        <v>1104.2456826199996</v>
      </c>
      <c r="E26" s="5">
        <f t="shared" si="0"/>
        <v>497.69839960999934</v>
      </c>
      <c r="F26" s="5">
        <f t="shared" si="1"/>
        <v>82.054344904516498</v>
      </c>
      <c r="G26" s="5">
        <f t="shared" si="2"/>
        <v>0.91368174611109243</v>
      </c>
    </row>
    <row r="27" spans="2:7" ht="14.1" customHeight="1">
      <c r="B27" s="291" t="str">
        <f>IF(Indice_index!$Z$1=1,"016 - Infraestruturas e Habitação","016 - Infrastructure and Housing")</f>
        <v>016 - Infraestruturas e Habitação</v>
      </c>
      <c r="C27" s="5">
        <v>2873.4658022300005</v>
      </c>
      <c r="D27" s="5">
        <v>3289.7786093800009</v>
      </c>
      <c r="E27" s="5">
        <f t="shared" ref="E27" si="3">+D27-C27</f>
        <v>416.31280715000048</v>
      </c>
      <c r="F27" s="5">
        <f t="shared" ref="F27" si="4">IF(IFERROR((D27-C27)/C27*100,"")&gt;500,"-",IFERROR((D27-C27)/C27*100,""))</f>
        <v>14.488176849952906</v>
      </c>
      <c r="G27" s="5">
        <f t="shared" si="2"/>
        <v>0.76427292686351789</v>
      </c>
    </row>
    <row r="28" spans="2:7" ht="14.1" customHeight="1">
      <c r="B28" s="291" t="str">
        <f>IF(Indice_index!$Z$1=1,"018 - Agricultura e Pescas","018 - Agriculture and Fisheries")</f>
        <v>018 - Agricultura e Pescas</v>
      </c>
      <c r="C28" s="5">
        <v>814.97575454000003</v>
      </c>
      <c r="D28" s="5">
        <v>795.5513012900002</v>
      </c>
      <c r="E28" s="5">
        <f t="shared" si="0"/>
        <v>-19.424453249999829</v>
      </c>
      <c r="F28" s="5">
        <f t="shared" si="1"/>
        <v>-2.3834394019443743</v>
      </c>
      <c r="G28" s="5">
        <f t="shared" si="2"/>
        <v>-3.5659685417153093E-2</v>
      </c>
    </row>
    <row r="29" spans="2:7" ht="14.1" customHeight="1">
      <c r="B29" s="32" t="str">
        <f>IF(Indice_index!$Z$1=1,"Subtotal despesa efetiva consolidada dos Programas Orçamentais (1)","Subtotal consolidated effective expenditure of the Budget Programs (1)")</f>
        <v>Subtotal despesa efetiva consolidada dos Programas Orçamentais (1)</v>
      </c>
      <c r="C29" s="19">
        <f>SUM(C12:C28)</f>
        <v>54965.265384760016</v>
      </c>
      <c r="D29" s="19">
        <f>SUM(D12:D28)</f>
        <v>61818.867511320037</v>
      </c>
      <c r="E29" s="19">
        <f>SUM(E12:E28)</f>
        <v>6853.6021265600129</v>
      </c>
      <c r="F29" s="19">
        <f t="shared" si="1"/>
        <v>12.468969409288597</v>
      </c>
      <c r="G29" s="19"/>
    </row>
    <row r="30" spans="2:7" ht="14.1" customHeight="1">
      <c r="B30" s="212" t="str">
        <f>IF(Indice_index!$Z$1=1,"Fluxos para outros Programas Orçamentais (2)","Flows to other Budget Programs (2)")</f>
        <v>Fluxos para outros Programas Orçamentais (2)</v>
      </c>
      <c r="C30" s="161">
        <v>605.61360457996363</v>
      </c>
      <c r="D30" s="161">
        <v>1130.7161319999809</v>
      </c>
      <c r="E30" s="161">
        <f>+D30-C30</f>
        <v>525.10252742001728</v>
      </c>
      <c r="F30" s="161">
        <f t="shared" si="1"/>
        <v>86.705867148445819</v>
      </c>
      <c r="G30" s="161"/>
    </row>
    <row r="31" spans="2:7" ht="14.1" customHeight="1">
      <c r="B31" s="291" t="str">
        <f>IF(Indice_index!$Z$1=1,"Diferenças de consolidação (3)","Consolidation differences (3)")</f>
        <v>Diferenças de consolidação (3)</v>
      </c>
      <c r="C31" s="5">
        <f>SUM('4 - Conta AC'!E42,'4 - Conta AC'!E49)</f>
        <v>112.09417823000081</v>
      </c>
      <c r="D31" s="5">
        <f>SUM('4 - Conta AC'!F42,'4 - Conta AC'!F49)</f>
        <v>558.42034177999972</v>
      </c>
      <c r="E31" s="5">
        <f>+D31-C31</f>
        <v>446.32616354999891</v>
      </c>
      <c r="F31" s="5"/>
      <c r="G31" s="5"/>
    </row>
    <row r="32" spans="2:7" ht="14.1" customHeight="1">
      <c r="B32" s="100" t="str">
        <f>IF(Indice_index!$Z$1=1,"Total da despesa efetiva consolidada da Administração Central (4)=(1)-(2)+(3)","Total Consolidated Effective Expenditure of the Central Government")</f>
        <v>Total da despesa efetiva consolidada da Administração Central (4)=(1)-(2)+(3)</v>
      </c>
      <c r="C32" s="29">
        <f>C29-C30+C31</f>
        <v>54471.745958410051</v>
      </c>
      <c r="D32" s="29">
        <f>D29-D30+D31</f>
        <v>61246.571721100059</v>
      </c>
      <c r="E32" s="29">
        <f>E29-E30</f>
        <v>6328.4995991399956</v>
      </c>
      <c r="F32" s="29">
        <f t="shared" si="1"/>
        <v>12.437320749481179</v>
      </c>
      <c r="G32" s="29"/>
    </row>
    <row r="33" spans="2:7" ht="15">
      <c r="B33" s="183" t="str">
        <f>IF(Indice_index!$Z$1=1,"Notas:","Notes:")</f>
        <v>Notas:</v>
      </c>
      <c r="C33" s="191"/>
      <c r="D33" s="191"/>
      <c r="E33" s="56"/>
      <c r="F33" s="192"/>
      <c r="G33" s="192"/>
    </row>
    <row r="34" spans="2:7" ht="15">
      <c r="B34" s="451"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4" s="451"/>
      <c r="D34" s="451"/>
      <c r="E34" s="451"/>
      <c r="F34" s="451"/>
      <c r="G34" s="451"/>
    </row>
    <row r="35" spans="2:7" ht="15">
      <c r="B35" s="451"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5" s="451"/>
      <c r="D35" s="451"/>
      <c r="E35" s="451"/>
      <c r="F35" s="451"/>
      <c r="G35" s="451"/>
    </row>
    <row r="36" spans="2:7" ht="15">
      <c r="B36" s="183" t="str">
        <f>IF(Indice_index!$Z$1=1,"Fonte: Direção-Geral do Orçamento.","Source: Budget General Directorate.")</f>
        <v>Fonte: Direção-Geral do Orçamento.</v>
      </c>
      <c r="C36" s="192"/>
      <c r="D36" s="192"/>
      <c r="E36" s="192"/>
      <c r="F36" s="192"/>
      <c r="G36" s="67"/>
    </row>
    <row r="37" spans="2:7" ht="15">
      <c r="B37" s="385"/>
      <c r="C37" s="385"/>
      <c r="D37" s="385"/>
      <c r="E37" s="385"/>
      <c r="F37" s="385"/>
      <c r="G37" s="385"/>
    </row>
    <row r="38" spans="2:7" ht="15" hidden="1">
      <c r="B38" s="386"/>
      <c r="C38" s="386"/>
      <c r="D38" s="386"/>
      <c r="E38" s="386"/>
      <c r="F38" s="386"/>
      <c r="G38" s="386"/>
    </row>
    <row r="39" spans="2:7" ht="15" hidden="1">
      <c r="B39" s="386"/>
      <c r="C39" s="386"/>
      <c r="D39" s="386"/>
      <c r="E39" s="386"/>
      <c r="F39" s="386"/>
      <c r="G39" s="386"/>
    </row>
    <row r="40" spans="2:7" ht="15" hidden="1">
      <c r="B40" s="385"/>
      <c r="C40" s="385"/>
      <c r="D40" s="385"/>
      <c r="E40" s="385"/>
      <c r="F40" s="385"/>
      <c r="G40" s="385"/>
    </row>
    <row r="41" spans="2:7" ht="15" hidden="1">
      <c r="B41" s="385"/>
      <c r="C41" s="385"/>
      <c r="D41" s="385"/>
      <c r="E41" s="385"/>
      <c r="F41" s="385"/>
      <c r="G41" s="385"/>
    </row>
    <row r="42" spans="2:7" ht="15" hidden="1">
      <c r="B42" s="386"/>
      <c r="C42" s="386"/>
      <c r="D42" s="386"/>
      <c r="E42" s="386"/>
      <c r="F42" s="386"/>
      <c r="G42" s="386"/>
    </row>
    <row r="43" spans="2:7" ht="14.85" customHeight="1"/>
  </sheetData>
  <mergeCells count="12">
    <mergeCell ref="B39:G39"/>
    <mergeCell ref="B40:G40"/>
    <mergeCell ref="B41:G41"/>
    <mergeCell ref="B42:G42"/>
    <mergeCell ref="B10:B11"/>
    <mergeCell ref="C10:D10"/>
    <mergeCell ref="E10:F10"/>
    <mergeCell ref="G10:G11"/>
    <mergeCell ref="B34:G34"/>
    <mergeCell ref="B35:G35"/>
    <mergeCell ref="B37:G37"/>
    <mergeCell ref="B38:G38"/>
  </mergeCells>
  <conditionalFormatting sqref="C12:F28">
    <cfRule type="cellIs" dxfId="1" priority="2" operator="equal">
      <formula>0</formula>
    </cfRule>
  </conditionalFormatting>
  <conditionalFormatting sqref="C30:G31">
    <cfRule type="cellIs" dxfId="0"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29:D29" formulaRange="1"/>
    <ignoredError sqref="E29"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23"/>
  <sheetViews>
    <sheetView showGridLines="0" zoomScaleNormal="100" workbookViewId="0"/>
  </sheetViews>
  <sheetFormatPr defaultColWidth="0" defaultRowHeight="15" zeroHeight="1"/>
  <cols>
    <col min="1" max="1" width="8.5703125" style="101" customWidth="1"/>
    <col min="2" max="2" width="94" customWidth="1"/>
    <col min="3" max="3" width="9.42578125" customWidth="1"/>
    <col min="4" max="33" width="0" hidden="1" customWidth="1"/>
    <col min="34" max="16384" width="9.42578125" hidden="1"/>
  </cols>
  <sheetData>
    <row r="1" spans="2:2"/>
    <row r="2" spans="2:2"/>
    <row r="3" spans="2:2"/>
    <row r="4" spans="2:2"/>
    <row r="5" spans="2:2"/>
    <row r="6" spans="2:2"/>
    <row r="7" spans="2:2" ht="50.1" customHeight="1">
      <c r="B7" s="13"/>
    </row>
    <row r="8" spans="2:2" ht="15.75">
      <c r="B8" s="141" t="str">
        <f>IF(Indice_index!$Z$1=1,"Quadro 25 - Lista de entidades da Administração Central em 2024","25 - Central Administration's list of entities in 2024")</f>
        <v>Quadro 25 - Lista de entidades da Administração Central em 2024</v>
      </c>
    </row>
    <row r="9" spans="2:2">
      <c r="B9" s="3"/>
    </row>
    <row r="10" spans="2:2" s="148" customFormat="1" ht="18" customHeight="1">
      <c r="B10" s="283" t="s">
        <v>552</v>
      </c>
    </row>
    <row r="11" spans="2:2" ht="14.1" customHeight="1">
      <c r="B11" s="284" t="s">
        <v>59</v>
      </c>
    </row>
    <row r="12" spans="2:2" ht="14.1" customHeight="1">
      <c r="B12" s="284" t="s">
        <v>60</v>
      </c>
    </row>
    <row r="13" spans="2:2" ht="14.1" customHeight="1">
      <c r="B13" s="284" t="s">
        <v>61</v>
      </c>
    </row>
    <row r="14" spans="2:2" ht="14.1" customHeight="1">
      <c r="B14" s="284" t="s">
        <v>62</v>
      </c>
    </row>
    <row r="15" spans="2:2" ht="14.1" customHeight="1">
      <c r="B15" s="284" t="s">
        <v>63</v>
      </c>
    </row>
    <row r="16" spans="2:2" ht="14.1" customHeight="1">
      <c r="B16" s="284" t="s">
        <v>64</v>
      </c>
    </row>
    <row r="17" spans="2:2" ht="14.1" customHeight="1">
      <c r="B17" s="284" t="s">
        <v>65</v>
      </c>
    </row>
    <row r="18" spans="2:2" ht="14.1" customHeight="1">
      <c r="B18" s="284" t="s">
        <v>66</v>
      </c>
    </row>
    <row r="19" spans="2:2" ht="14.1" customHeight="1">
      <c r="B19" s="284" t="s">
        <v>67</v>
      </c>
    </row>
    <row r="20" spans="2:2" ht="14.1" customHeight="1">
      <c r="B20" s="284" t="s">
        <v>68</v>
      </c>
    </row>
    <row r="21" spans="2:2" ht="14.1" customHeight="1">
      <c r="B21" s="284" t="s">
        <v>523</v>
      </c>
    </row>
    <row r="22" spans="2:2" ht="14.1" customHeight="1">
      <c r="B22" s="284" t="s">
        <v>69</v>
      </c>
    </row>
    <row r="23" spans="2:2" ht="14.1" customHeight="1">
      <c r="B23" s="284" t="s">
        <v>481</v>
      </c>
    </row>
    <row r="24" spans="2:2" ht="14.1" customHeight="1">
      <c r="B24" s="284" t="s">
        <v>70</v>
      </c>
    </row>
    <row r="25" spans="2:2" ht="14.1" customHeight="1">
      <c r="B25" s="284" t="s">
        <v>71</v>
      </c>
    </row>
    <row r="26" spans="2:2" ht="14.1" customHeight="1">
      <c r="B26" s="284" t="s">
        <v>72</v>
      </c>
    </row>
    <row r="27" spans="2:2" ht="14.1" customHeight="1">
      <c r="B27" s="284" t="s">
        <v>73</v>
      </c>
    </row>
    <row r="28" spans="2:2" ht="14.1" customHeight="1">
      <c r="B28" s="284" t="s">
        <v>74</v>
      </c>
    </row>
    <row r="29" spans="2:2" ht="14.1" customHeight="1">
      <c r="B29" s="284" t="s">
        <v>75</v>
      </c>
    </row>
    <row r="30" spans="2:2" ht="14.1" customHeight="1">
      <c r="B30" s="284" t="s">
        <v>553</v>
      </c>
    </row>
    <row r="31" spans="2:2" ht="14.1" customHeight="1">
      <c r="B31" s="284" t="s">
        <v>76</v>
      </c>
    </row>
    <row r="32" spans="2:2" ht="14.1" customHeight="1">
      <c r="B32" s="284" t="s">
        <v>77</v>
      </c>
    </row>
    <row r="33" spans="2:2" ht="14.1" customHeight="1">
      <c r="B33" s="284" t="s">
        <v>78</v>
      </c>
    </row>
    <row r="34" spans="2:2" ht="14.1" customHeight="1">
      <c r="B34" s="284" t="s">
        <v>79</v>
      </c>
    </row>
    <row r="35" spans="2:2" ht="14.1" customHeight="1">
      <c r="B35" s="284" t="s">
        <v>80</v>
      </c>
    </row>
    <row r="36" spans="2:2" ht="14.1" customHeight="1">
      <c r="B36" s="284" t="s">
        <v>81</v>
      </c>
    </row>
    <row r="37" spans="2:2" s="148" customFormat="1" ht="13.5" customHeight="1">
      <c r="B37" s="284" t="s">
        <v>82</v>
      </c>
    </row>
    <row r="38" spans="2:2" ht="18" customHeight="1">
      <c r="B38" s="283" t="s">
        <v>554</v>
      </c>
    </row>
    <row r="39" spans="2:2" ht="14.1" customHeight="1">
      <c r="B39" s="284" t="s">
        <v>83</v>
      </c>
    </row>
    <row r="40" spans="2:2" ht="14.1" customHeight="1">
      <c r="B40" s="284" t="s">
        <v>477</v>
      </c>
    </row>
    <row r="41" spans="2:2" ht="14.1" customHeight="1">
      <c r="B41" s="284" t="s">
        <v>2</v>
      </c>
    </row>
    <row r="42" spans="2:2" ht="14.1" customHeight="1">
      <c r="B42" s="284" t="s">
        <v>84</v>
      </c>
    </row>
    <row r="43" spans="2:2" ht="14.1" customHeight="1">
      <c r="B43" s="284" t="s">
        <v>85</v>
      </c>
    </row>
    <row r="44" spans="2:2" ht="14.1" customHeight="1">
      <c r="B44" s="284" t="s">
        <v>86</v>
      </c>
    </row>
    <row r="45" spans="2:2" ht="14.1" customHeight="1">
      <c r="B45" s="284" t="s">
        <v>87</v>
      </c>
    </row>
    <row r="46" spans="2:2" ht="14.1" customHeight="1">
      <c r="B46" s="284" t="s">
        <v>88</v>
      </c>
    </row>
    <row r="47" spans="2:2" ht="14.1" customHeight="1">
      <c r="B47" s="284" t="s">
        <v>89</v>
      </c>
    </row>
    <row r="48" spans="2:2" ht="14.1" customHeight="1">
      <c r="B48" s="284" t="s">
        <v>90</v>
      </c>
    </row>
    <row r="49" spans="2:2" ht="14.1" customHeight="1">
      <c r="B49" s="284" t="s">
        <v>91</v>
      </c>
    </row>
    <row r="50" spans="2:2" ht="14.1" customHeight="1">
      <c r="B50" s="284" t="s">
        <v>92</v>
      </c>
    </row>
    <row r="51" spans="2:2" ht="14.1" customHeight="1">
      <c r="B51" s="284" t="s">
        <v>94</v>
      </c>
    </row>
    <row r="52" spans="2:2" ht="14.1" customHeight="1">
      <c r="B52" s="284" t="s">
        <v>95</v>
      </c>
    </row>
    <row r="53" spans="2:2" ht="14.1" customHeight="1">
      <c r="B53" s="284" t="s">
        <v>592</v>
      </c>
    </row>
    <row r="54" spans="2:2" ht="14.1" customHeight="1">
      <c r="B54" s="284" t="s">
        <v>593</v>
      </c>
    </row>
    <row r="55" spans="2:2" ht="14.1" customHeight="1">
      <c r="B55" s="284" t="s">
        <v>97</v>
      </c>
    </row>
    <row r="56" spans="2:2" ht="14.1" customHeight="1">
      <c r="B56" s="284" t="s">
        <v>98</v>
      </c>
    </row>
    <row r="57" spans="2:2" ht="14.1" customHeight="1">
      <c r="B57" s="284" t="s">
        <v>99</v>
      </c>
    </row>
    <row r="58" spans="2:2" ht="14.1" customHeight="1">
      <c r="B58" s="284" t="s">
        <v>100</v>
      </c>
    </row>
    <row r="59" spans="2:2" ht="14.1" customHeight="1">
      <c r="B59" s="284" t="s">
        <v>101</v>
      </c>
    </row>
    <row r="60" spans="2:2" ht="14.1" customHeight="1">
      <c r="B60" s="284" t="s">
        <v>102</v>
      </c>
    </row>
    <row r="61" spans="2:2" ht="14.1" customHeight="1">
      <c r="B61" s="284" t="s">
        <v>103</v>
      </c>
    </row>
    <row r="62" spans="2:2" ht="14.1" customHeight="1">
      <c r="B62" s="284" t="s">
        <v>104</v>
      </c>
    </row>
    <row r="63" spans="2:2" ht="14.1" customHeight="1">
      <c r="B63" s="284" t="s">
        <v>106</v>
      </c>
    </row>
    <row r="64" spans="2:2" ht="14.1" customHeight="1">
      <c r="B64" s="284" t="s">
        <v>107</v>
      </c>
    </row>
    <row r="65" spans="2:2" ht="14.1" customHeight="1">
      <c r="B65" s="284" t="s">
        <v>108</v>
      </c>
    </row>
    <row r="66" spans="2:2" ht="14.1" customHeight="1">
      <c r="B66" s="285" t="s">
        <v>236</v>
      </c>
    </row>
    <row r="67" spans="2:2" ht="14.1" customHeight="1">
      <c r="B67" s="284" t="s">
        <v>109</v>
      </c>
    </row>
    <row r="68" spans="2:2" ht="13.5" customHeight="1">
      <c r="B68" s="284" t="s">
        <v>110</v>
      </c>
    </row>
    <row r="69" spans="2:2" ht="14.1" customHeight="1">
      <c r="B69" s="284" t="s">
        <v>112</v>
      </c>
    </row>
    <row r="70" spans="2:2" ht="18" customHeight="1">
      <c r="B70" s="283" t="s">
        <v>555</v>
      </c>
    </row>
    <row r="71" spans="2:2" ht="14.1" customHeight="1">
      <c r="B71" s="284" t="s">
        <v>113</v>
      </c>
    </row>
    <row r="72" spans="2:2" s="148" customFormat="1" ht="13.5" customHeight="1">
      <c r="B72" s="284" t="s">
        <v>115</v>
      </c>
    </row>
    <row r="73" spans="2:2" ht="14.1" customHeight="1">
      <c r="B73" s="284" t="s">
        <v>116</v>
      </c>
    </row>
    <row r="74" spans="2:2" ht="13.5" customHeight="1">
      <c r="B74" s="284" t="s">
        <v>117</v>
      </c>
    </row>
    <row r="75" spans="2:2" ht="14.1" customHeight="1">
      <c r="B75" s="284" t="s">
        <v>118</v>
      </c>
    </row>
    <row r="76" spans="2:2" ht="18" customHeight="1">
      <c r="B76" s="283" t="s">
        <v>556</v>
      </c>
    </row>
    <row r="77" spans="2:2" ht="14.1" customHeight="1">
      <c r="B77" s="284" t="s">
        <v>119</v>
      </c>
    </row>
    <row r="78" spans="2:2" ht="14.1" customHeight="1">
      <c r="B78" s="284" t="s">
        <v>557</v>
      </c>
    </row>
    <row r="79" spans="2:2" s="148" customFormat="1" ht="13.5" customHeight="1">
      <c r="B79" s="284" t="s">
        <v>120</v>
      </c>
    </row>
    <row r="80" spans="2:2" ht="14.1" customHeight="1">
      <c r="B80" s="284" t="s">
        <v>121</v>
      </c>
    </row>
    <row r="81" spans="2:2" ht="14.1" customHeight="1">
      <c r="B81" s="284" t="s">
        <v>122</v>
      </c>
    </row>
    <row r="82" spans="2:2" ht="14.1" customHeight="1">
      <c r="B82" s="284" t="s">
        <v>123</v>
      </c>
    </row>
    <row r="83" spans="2:2" ht="14.1" customHeight="1">
      <c r="B83" s="284" t="s">
        <v>124</v>
      </c>
    </row>
    <row r="84" spans="2:2" ht="14.1" customHeight="1">
      <c r="B84" s="284" t="s">
        <v>125</v>
      </c>
    </row>
    <row r="85" spans="2:2" ht="14.1" customHeight="1">
      <c r="B85" s="284" t="s">
        <v>126</v>
      </c>
    </row>
    <row r="86" spans="2:2" ht="14.1" customHeight="1">
      <c r="B86" s="284" t="s">
        <v>127</v>
      </c>
    </row>
    <row r="87" spans="2:2" ht="14.1" customHeight="1">
      <c r="B87" s="284" t="s">
        <v>128</v>
      </c>
    </row>
    <row r="88" spans="2:2" ht="14.1" customHeight="1">
      <c r="B88" s="284" t="s">
        <v>129</v>
      </c>
    </row>
    <row r="89" spans="2:2" ht="14.1" customHeight="1">
      <c r="B89" s="284" t="s">
        <v>130</v>
      </c>
    </row>
    <row r="90" spans="2:2" ht="14.1" customHeight="1">
      <c r="B90" s="284" t="s">
        <v>131</v>
      </c>
    </row>
    <row r="91" spans="2:2" ht="14.1" customHeight="1">
      <c r="B91" s="284" t="s">
        <v>132</v>
      </c>
    </row>
    <row r="92" spans="2:2" ht="13.5" customHeight="1">
      <c r="B92" s="284" t="s">
        <v>133</v>
      </c>
    </row>
    <row r="93" spans="2:2" ht="14.1" customHeight="1">
      <c r="B93" s="284" t="s">
        <v>134</v>
      </c>
    </row>
    <row r="94" spans="2:2" ht="18" customHeight="1">
      <c r="B94" s="283" t="s">
        <v>558</v>
      </c>
    </row>
    <row r="95" spans="2:2" ht="14.1" customHeight="1">
      <c r="B95" s="284" t="s">
        <v>135</v>
      </c>
    </row>
    <row r="96" spans="2:2" ht="14.1" customHeight="1">
      <c r="B96" s="284" t="s">
        <v>136</v>
      </c>
    </row>
    <row r="97" spans="2:2" s="148" customFormat="1" ht="13.5" customHeight="1">
      <c r="B97" s="284" t="s">
        <v>137</v>
      </c>
    </row>
    <row r="98" spans="2:2" ht="14.1" customHeight="1">
      <c r="B98" s="284" t="s">
        <v>138</v>
      </c>
    </row>
    <row r="99" spans="2:2" ht="14.1" customHeight="1">
      <c r="B99" s="284" t="s">
        <v>139</v>
      </c>
    </row>
    <row r="100" spans="2:2" ht="14.1" customHeight="1">
      <c r="B100" s="284" t="s">
        <v>140</v>
      </c>
    </row>
    <row r="101" spans="2:2" ht="14.1" customHeight="1">
      <c r="B101" s="284" t="s">
        <v>141</v>
      </c>
    </row>
    <row r="102" spans="2:2" ht="14.1" customHeight="1">
      <c r="B102" s="284" t="s">
        <v>142</v>
      </c>
    </row>
    <row r="103" spans="2:2" ht="14.1" customHeight="1">
      <c r="B103" s="284" t="s">
        <v>143</v>
      </c>
    </row>
    <row r="104" spans="2:2" ht="14.1" customHeight="1">
      <c r="B104" s="284" t="s">
        <v>144</v>
      </c>
    </row>
    <row r="105" spans="2:2" ht="13.5" customHeight="1">
      <c r="B105" s="284" t="s">
        <v>145</v>
      </c>
    </row>
    <row r="106" spans="2:2" ht="14.1" customHeight="1">
      <c r="B106" s="284" t="s">
        <v>581</v>
      </c>
    </row>
    <row r="107" spans="2:2" ht="18" customHeight="1">
      <c r="B107" s="283" t="s">
        <v>559</v>
      </c>
    </row>
    <row r="108" spans="2:2" ht="14.1" customHeight="1">
      <c r="B108" s="284" t="s">
        <v>146</v>
      </c>
    </row>
    <row r="109" spans="2:2" ht="14.1" customHeight="1">
      <c r="B109" s="284" t="s">
        <v>147</v>
      </c>
    </row>
    <row r="110" spans="2:2" ht="13.5" customHeight="1">
      <c r="B110" s="284" t="s">
        <v>148</v>
      </c>
    </row>
    <row r="111" spans="2:2" s="148" customFormat="1" ht="13.5" customHeight="1">
      <c r="B111" s="284" t="s">
        <v>149</v>
      </c>
    </row>
    <row r="112" spans="2:2" ht="14.1" customHeight="1">
      <c r="B112" s="284" t="s">
        <v>150</v>
      </c>
    </row>
    <row r="113" spans="2:2" ht="14.1" customHeight="1">
      <c r="B113" s="284" t="s">
        <v>151</v>
      </c>
    </row>
    <row r="114" spans="2:2" ht="14.1" customHeight="1">
      <c r="B114" s="284" t="s">
        <v>152</v>
      </c>
    </row>
    <row r="115" spans="2:2" ht="14.1" customHeight="1">
      <c r="B115" s="284" t="s">
        <v>153</v>
      </c>
    </row>
    <row r="116" spans="2:2" ht="14.1" customHeight="1">
      <c r="B116" s="284" t="s">
        <v>154</v>
      </c>
    </row>
    <row r="117" spans="2:2" ht="14.1" customHeight="1">
      <c r="B117" s="284" t="s">
        <v>155</v>
      </c>
    </row>
    <row r="118" spans="2:2" ht="14.1" customHeight="1">
      <c r="B118" s="284" t="s">
        <v>156</v>
      </c>
    </row>
    <row r="119" spans="2:2" ht="14.1" customHeight="1">
      <c r="B119" s="284" t="s">
        <v>157</v>
      </c>
    </row>
    <row r="120" spans="2:2" ht="14.1" customHeight="1">
      <c r="B120" s="284" t="s">
        <v>158</v>
      </c>
    </row>
    <row r="121" spans="2:2" ht="14.1" customHeight="1">
      <c r="B121" s="284" t="s">
        <v>159</v>
      </c>
    </row>
    <row r="122" spans="2:2" ht="14.1" customHeight="1">
      <c r="B122" s="284" t="s">
        <v>160</v>
      </c>
    </row>
    <row r="123" spans="2:2" ht="14.1" customHeight="1">
      <c r="B123" s="284" t="s">
        <v>560</v>
      </c>
    </row>
    <row r="124" spans="2:2" ht="14.1" customHeight="1">
      <c r="B124" s="284" t="s">
        <v>561</v>
      </c>
    </row>
    <row r="125" spans="2:2" ht="14.1" customHeight="1">
      <c r="B125" s="284" t="s">
        <v>562</v>
      </c>
    </row>
    <row r="126" spans="2:2" ht="14.1" customHeight="1">
      <c r="B126" s="284" t="s">
        <v>161</v>
      </c>
    </row>
    <row r="127" spans="2:2" ht="14.1" customHeight="1">
      <c r="B127" s="284" t="s">
        <v>162</v>
      </c>
    </row>
    <row r="128" spans="2:2" ht="14.1" customHeight="1">
      <c r="B128" s="284" t="s">
        <v>163</v>
      </c>
    </row>
    <row r="129" spans="2:2" ht="13.5" customHeight="1">
      <c r="B129" s="284" t="s">
        <v>164</v>
      </c>
    </row>
    <row r="130" spans="2:2" ht="14.1" customHeight="1">
      <c r="B130" s="284" t="s">
        <v>165</v>
      </c>
    </row>
    <row r="131" spans="2:2" ht="18" customHeight="1">
      <c r="B131" s="283" t="s">
        <v>563</v>
      </c>
    </row>
    <row r="132" spans="2:2" ht="14.1" customHeight="1">
      <c r="B132" s="284" t="s">
        <v>166</v>
      </c>
    </row>
    <row r="133" spans="2:2" ht="14.1" customHeight="1">
      <c r="B133" s="284" t="s">
        <v>482</v>
      </c>
    </row>
    <row r="134" spans="2:2" s="148" customFormat="1" ht="13.5" customHeight="1">
      <c r="B134" s="284" t="s">
        <v>167</v>
      </c>
    </row>
    <row r="135" spans="2:2" ht="14.1" customHeight="1">
      <c r="B135" s="284" t="s">
        <v>168</v>
      </c>
    </row>
    <row r="136" spans="2:2" ht="14.1" customHeight="1">
      <c r="B136" s="284" t="s">
        <v>169</v>
      </c>
    </row>
    <row r="137" spans="2:2" ht="14.1" customHeight="1">
      <c r="B137" s="284" t="s">
        <v>170</v>
      </c>
    </row>
    <row r="138" spans="2:2" ht="14.1" customHeight="1">
      <c r="B138" s="284" t="s">
        <v>171</v>
      </c>
    </row>
    <row r="139" spans="2:2" ht="14.1" customHeight="1">
      <c r="B139" s="284" t="s">
        <v>172</v>
      </c>
    </row>
    <row r="140" spans="2:2" ht="14.1" customHeight="1">
      <c r="B140" s="284" t="s">
        <v>173</v>
      </c>
    </row>
    <row r="141" spans="2:2" ht="14.1" customHeight="1">
      <c r="B141" s="284" t="s">
        <v>174</v>
      </c>
    </row>
    <row r="142" spans="2:2" ht="14.1" customHeight="1">
      <c r="B142" s="284" t="s">
        <v>93</v>
      </c>
    </row>
    <row r="143" spans="2:2" ht="14.1" customHeight="1">
      <c r="B143" s="284" t="s">
        <v>175</v>
      </c>
    </row>
    <row r="144" spans="2:2" ht="14.1" customHeight="1">
      <c r="B144" s="284" t="s">
        <v>176</v>
      </c>
    </row>
    <row r="145" spans="2:2" ht="14.1" customHeight="1">
      <c r="B145" s="284" t="s">
        <v>177</v>
      </c>
    </row>
    <row r="146" spans="2:2" ht="14.1" customHeight="1">
      <c r="B146" s="284" t="s">
        <v>96</v>
      </c>
    </row>
    <row r="147" spans="2:2" ht="14.1" customHeight="1">
      <c r="B147" s="284" t="s">
        <v>178</v>
      </c>
    </row>
    <row r="148" spans="2:2" ht="14.1" customHeight="1">
      <c r="B148" s="284" t="s">
        <v>179</v>
      </c>
    </row>
    <row r="149" spans="2:2" ht="14.1" customHeight="1">
      <c r="B149" s="284" t="s">
        <v>180</v>
      </c>
    </row>
    <row r="150" spans="2:2" ht="14.1" customHeight="1">
      <c r="B150" s="284" t="s">
        <v>181</v>
      </c>
    </row>
    <row r="151" spans="2:2" ht="14.1" customHeight="1">
      <c r="B151" s="284" t="s">
        <v>182</v>
      </c>
    </row>
    <row r="152" spans="2:2" ht="14.1" customHeight="1">
      <c r="B152" s="284" t="s">
        <v>183</v>
      </c>
    </row>
    <row r="153" spans="2:2" ht="14.1" customHeight="1">
      <c r="B153" s="284" t="s">
        <v>184</v>
      </c>
    </row>
    <row r="154" spans="2:2" ht="14.1" customHeight="1">
      <c r="B154" s="284" t="s">
        <v>185</v>
      </c>
    </row>
    <row r="155" spans="2:2" ht="14.1" customHeight="1">
      <c r="B155" s="285" t="s">
        <v>105</v>
      </c>
    </row>
    <row r="156" spans="2:2" ht="14.1" customHeight="1">
      <c r="B156" s="284" t="s">
        <v>186</v>
      </c>
    </row>
    <row r="157" spans="2:2" ht="14.1" customHeight="1">
      <c r="B157" s="284" t="s">
        <v>187</v>
      </c>
    </row>
    <row r="158" spans="2:2" ht="14.1" customHeight="1">
      <c r="B158" s="284" t="s">
        <v>188</v>
      </c>
    </row>
    <row r="159" spans="2:2" ht="14.1" customHeight="1">
      <c r="B159" s="284" t="s">
        <v>189</v>
      </c>
    </row>
    <row r="160" spans="2:2" ht="14.1" customHeight="1">
      <c r="B160" s="284" t="s">
        <v>190</v>
      </c>
    </row>
    <row r="161" spans="2:2" ht="14.1" customHeight="1">
      <c r="B161" s="284" t="s">
        <v>191</v>
      </c>
    </row>
    <row r="162" spans="2:2" ht="14.1" customHeight="1">
      <c r="B162" s="284" t="s">
        <v>192</v>
      </c>
    </row>
    <row r="163" spans="2:2" ht="14.1" customHeight="1">
      <c r="B163" s="284" t="s">
        <v>111</v>
      </c>
    </row>
    <row r="164" spans="2:2" ht="14.1" customHeight="1">
      <c r="B164" s="284" t="s">
        <v>193</v>
      </c>
    </row>
    <row r="165" spans="2:2" ht="14.1" customHeight="1">
      <c r="B165" s="284" t="s">
        <v>194</v>
      </c>
    </row>
    <row r="166" spans="2:2" s="148" customFormat="1" ht="13.5" customHeight="1">
      <c r="B166" s="284" t="s">
        <v>195</v>
      </c>
    </row>
    <row r="167" spans="2:2" ht="13.5" customHeight="1">
      <c r="B167" s="284" t="s">
        <v>196</v>
      </c>
    </row>
    <row r="168" spans="2:2" s="148" customFormat="1" ht="18" customHeight="1">
      <c r="B168" s="283" t="s">
        <v>564</v>
      </c>
    </row>
    <row r="169" spans="2:2" ht="13.5" customHeight="1">
      <c r="B169" s="284" t="s">
        <v>197</v>
      </c>
    </row>
    <row r="170" spans="2:2" ht="18" customHeight="1">
      <c r="B170" s="283" t="s">
        <v>565</v>
      </c>
    </row>
    <row r="171" spans="2:2" ht="14.1" customHeight="1">
      <c r="B171" s="284" t="s">
        <v>198</v>
      </c>
    </row>
    <row r="172" spans="2:2" ht="14.1" customHeight="1">
      <c r="B172" s="284" t="s">
        <v>199</v>
      </c>
    </row>
    <row r="173" spans="2:2" ht="14.1" customHeight="1">
      <c r="B173" s="284" t="s">
        <v>114</v>
      </c>
    </row>
    <row r="174" spans="2:2" ht="14.1" customHeight="1">
      <c r="B174" s="284" t="s">
        <v>566</v>
      </c>
    </row>
    <row r="175" spans="2:2" ht="14.1" customHeight="1">
      <c r="B175" s="284" t="s">
        <v>200</v>
      </c>
    </row>
    <row r="176" spans="2:2" ht="14.1" customHeight="1">
      <c r="B176" s="284" t="s">
        <v>201</v>
      </c>
    </row>
    <row r="177" spans="2:2" ht="14.1" customHeight="1">
      <c r="B177" s="284" t="s">
        <v>202</v>
      </c>
    </row>
    <row r="178" spans="2:2" ht="14.1" customHeight="1">
      <c r="B178" s="284" t="s">
        <v>203</v>
      </c>
    </row>
    <row r="179" spans="2:2" ht="14.1" customHeight="1">
      <c r="B179" s="284" t="s">
        <v>204</v>
      </c>
    </row>
    <row r="180" spans="2:2" ht="14.1" customHeight="1">
      <c r="B180" s="284" t="s">
        <v>205</v>
      </c>
    </row>
    <row r="181" spans="2:2" ht="14.1" customHeight="1">
      <c r="B181" s="284" t="s">
        <v>206</v>
      </c>
    </row>
    <row r="182" spans="2:2" ht="14.1" customHeight="1">
      <c r="B182" s="284" t="s">
        <v>207</v>
      </c>
    </row>
    <row r="183" spans="2:2" ht="14.1" customHeight="1">
      <c r="B183" s="284" t="s">
        <v>208</v>
      </c>
    </row>
    <row r="184" spans="2:2" ht="14.1" customHeight="1">
      <c r="B184" s="284" t="s">
        <v>209</v>
      </c>
    </row>
    <row r="185" spans="2:2" ht="14.1" customHeight="1">
      <c r="B185" s="284" t="s">
        <v>210</v>
      </c>
    </row>
    <row r="186" spans="2:2" ht="14.1" customHeight="1">
      <c r="B186" s="284" t="s">
        <v>211</v>
      </c>
    </row>
    <row r="187" spans="2:2" ht="14.1" customHeight="1">
      <c r="B187" s="284" t="s">
        <v>212</v>
      </c>
    </row>
    <row r="188" spans="2:2" ht="14.1" customHeight="1">
      <c r="B188" s="284" t="s">
        <v>213</v>
      </c>
    </row>
    <row r="189" spans="2:2" ht="14.1" customHeight="1">
      <c r="B189" s="284" t="s">
        <v>214</v>
      </c>
    </row>
    <row r="190" spans="2:2" ht="14.1" customHeight="1">
      <c r="B190" s="284" t="s">
        <v>215</v>
      </c>
    </row>
    <row r="191" spans="2:2" ht="14.1" customHeight="1">
      <c r="B191" s="284" t="s">
        <v>216</v>
      </c>
    </row>
    <row r="192" spans="2:2" ht="14.1" customHeight="1">
      <c r="B192" s="284" t="s">
        <v>217</v>
      </c>
    </row>
    <row r="193" spans="2:2" ht="14.1" customHeight="1">
      <c r="B193" s="284" t="s">
        <v>218</v>
      </c>
    </row>
    <row r="194" spans="2:2" ht="14.1" customHeight="1">
      <c r="B194" s="284" t="s">
        <v>567</v>
      </c>
    </row>
    <row r="195" spans="2:2" ht="14.1" customHeight="1">
      <c r="B195" s="284" t="s">
        <v>219</v>
      </c>
    </row>
    <row r="196" spans="2:2" ht="14.1" customHeight="1">
      <c r="B196" s="284" t="s">
        <v>220</v>
      </c>
    </row>
    <row r="197" spans="2:2" ht="14.1" customHeight="1">
      <c r="B197" s="284" t="s">
        <v>221</v>
      </c>
    </row>
    <row r="198" spans="2:2" ht="14.1" customHeight="1">
      <c r="B198" s="284" t="s">
        <v>222</v>
      </c>
    </row>
    <row r="199" spans="2:2" ht="14.1" customHeight="1">
      <c r="B199" s="284" t="s">
        <v>223</v>
      </c>
    </row>
    <row r="200" spans="2:2" ht="14.1" customHeight="1">
      <c r="B200" s="284" t="s">
        <v>224</v>
      </c>
    </row>
    <row r="201" spans="2:2" s="148" customFormat="1" ht="13.5" customHeight="1">
      <c r="B201" s="284" t="s">
        <v>225</v>
      </c>
    </row>
    <row r="202" spans="2:2" ht="14.1" customHeight="1">
      <c r="B202" s="284" t="s">
        <v>226</v>
      </c>
    </row>
    <row r="203" spans="2:2" ht="18" customHeight="1">
      <c r="B203" s="283" t="s">
        <v>568</v>
      </c>
    </row>
    <row r="204" spans="2:2" ht="14.1" customHeight="1">
      <c r="B204" s="284" t="s">
        <v>227</v>
      </c>
    </row>
    <row r="205" spans="2:2" ht="14.1" customHeight="1">
      <c r="B205" s="284" t="s">
        <v>228</v>
      </c>
    </row>
    <row r="206" spans="2:2" ht="14.1" customHeight="1">
      <c r="B206" s="284" t="s">
        <v>483</v>
      </c>
    </row>
    <row r="207" spans="2:2" ht="14.1" customHeight="1">
      <c r="B207" s="284" t="s">
        <v>229</v>
      </c>
    </row>
    <row r="208" spans="2:2" ht="14.1" customHeight="1">
      <c r="B208" s="284" t="s">
        <v>230</v>
      </c>
    </row>
    <row r="209" spans="2:2" ht="14.1" customHeight="1">
      <c r="B209" s="284" t="s">
        <v>231</v>
      </c>
    </row>
    <row r="210" spans="2:2" ht="14.1" customHeight="1">
      <c r="B210" s="284" t="s">
        <v>232</v>
      </c>
    </row>
    <row r="211" spans="2:2" ht="14.1" customHeight="1">
      <c r="B211" s="284" t="s">
        <v>233</v>
      </c>
    </row>
    <row r="212" spans="2:2" ht="14.1" customHeight="1">
      <c r="B212" s="284" t="s">
        <v>234</v>
      </c>
    </row>
    <row r="213" spans="2:2" ht="14.1" customHeight="1">
      <c r="B213" s="284" t="s">
        <v>484</v>
      </c>
    </row>
    <row r="214" spans="2:2" ht="14.1" customHeight="1">
      <c r="B214" s="284" t="s">
        <v>235</v>
      </c>
    </row>
    <row r="215" spans="2:2" ht="14.1" customHeight="1">
      <c r="B215" s="284" t="s">
        <v>485</v>
      </c>
    </row>
    <row r="216" spans="2:2" ht="13.5" customHeight="1">
      <c r="B216" s="284" t="s">
        <v>237</v>
      </c>
    </row>
    <row r="217" spans="2:2" ht="13.5" customHeight="1">
      <c r="B217" s="284" t="s">
        <v>461</v>
      </c>
    </row>
    <row r="218" spans="2:2" ht="18" customHeight="1">
      <c r="B218" s="283" t="s">
        <v>569</v>
      </c>
    </row>
    <row r="219" spans="2:2" s="148" customFormat="1" ht="13.5" customHeight="1">
      <c r="B219" s="284" t="s">
        <v>238</v>
      </c>
    </row>
    <row r="220" spans="2:2" ht="14.1" customHeight="1">
      <c r="B220" s="284" t="s">
        <v>239</v>
      </c>
    </row>
    <row r="221" spans="2:2" ht="14.1" customHeight="1">
      <c r="B221" s="284" t="s">
        <v>240</v>
      </c>
    </row>
    <row r="222" spans="2:2" ht="14.1" customHeight="1">
      <c r="B222" s="284" t="s">
        <v>241</v>
      </c>
    </row>
    <row r="223" spans="2:2" ht="14.1" customHeight="1">
      <c r="B223" s="284" t="s">
        <v>242</v>
      </c>
    </row>
    <row r="224" spans="2:2" ht="14.1" customHeight="1">
      <c r="B224" s="284" t="s">
        <v>243</v>
      </c>
    </row>
    <row r="225" spans="2:2" ht="14.1" customHeight="1">
      <c r="B225" s="284" t="s">
        <v>244</v>
      </c>
    </row>
    <row r="226" spans="2:2" ht="14.1" customHeight="1">
      <c r="B226" s="284" t="s">
        <v>245</v>
      </c>
    </row>
    <row r="227" spans="2:2" ht="14.1" customHeight="1">
      <c r="B227" s="284" t="s">
        <v>246</v>
      </c>
    </row>
    <row r="228" spans="2:2" ht="14.1" customHeight="1">
      <c r="B228" s="284" t="s">
        <v>247</v>
      </c>
    </row>
    <row r="229" spans="2:2" ht="14.1" customHeight="1">
      <c r="B229" s="284" t="s">
        <v>248</v>
      </c>
    </row>
    <row r="230" spans="2:2" ht="14.1" customHeight="1">
      <c r="B230" s="284" t="s">
        <v>249</v>
      </c>
    </row>
    <row r="231" spans="2:2" ht="14.1" customHeight="1">
      <c r="B231" s="284" t="s">
        <v>250</v>
      </c>
    </row>
    <row r="232" spans="2:2" ht="14.1" customHeight="1">
      <c r="B232" s="284" t="s">
        <v>251</v>
      </c>
    </row>
    <row r="233" spans="2:2" ht="14.1" customHeight="1">
      <c r="B233" s="284" t="s">
        <v>252</v>
      </c>
    </row>
    <row r="234" spans="2:2" ht="14.1" customHeight="1">
      <c r="B234" s="284" t="s">
        <v>253</v>
      </c>
    </row>
    <row r="235" spans="2:2" ht="14.1" customHeight="1">
      <c r="B235" s="284" t="s">
        <v>570</v>
      </c>
    </row>
    <row r="236" spans="2:2" ht="14.1" customHeight="1">
      <c r="B236" s="284" t="s">
        <v>254</v>
      </c>
    </row>
    <row r="237" spans="2:2" ht="14.1" customHeight="1">
      <c r="B237" s="284" t="s">
        <v>486</v>
      </c>
    </row>
    <row r="238" spans="2:2" ht="14.1" customHeight="1">
      <c r="B238" s="284" t="s">
        <v>255</v>
      </c>
    </row>
    <row r="239" spans="2:2" ht="14.1" customHeight="1">
      <c r="B239" s="284" t="s">
        <v>256</v>
      </c>
    </row>
    <row r="240" spans="2:2" ht="14.1" customHeight="1">
      <c r="B240" s="284" t="s">
        <v>257</v>
      </c>
    </row>
    <row r="241" spans="2:2" ht="14.1" customHeight="1">
      <c r="B241" s="284" t="s">
        <v>258</v>
      </c>
    </row>
    <row r="242" spans="2:2" ht="14.1" customHeight="1">
      <c r="B242" s="284" t="s">
        <v>259</v>
      </c>
    </row>
    <row r="243" spans="2:2" ht="14.1" customHeight="1">
      <c r="B243" s="284" t="s">
        <v>260</v>
      </c>
    </row>
    <row r="244" spans="2:2" ht="14.1" customHeight="1">
      <c r="B244" s="284" t="s">
        <v>261</v>
      </c>
    </row>
    <row r="245" spans="2:2" ht="14.1" customHeight="1">
      <c r="B245" s="284" t="s">
        <v>262</v>
      </c>
    </row>
    <row r="246" spans="2:2" ht="14.1" customHeight="1">
      <c r="B246" s="284" t="s">
        <v>263</v>
      </c>
    </row>
    <row r="247" spans="2:2" ht="14.1" customHeight="1">
      <c r="B247" s="284" t="s">
        <v>264</v>
      </c>
    </row>
    <row r="248" spans="2:2" ht="14.1" customHeight="1">
      <c r="B248" s="284" t="s">
        <v>265</v>
      </c>
    </row>
    <row r="249" spans="2:2" ht="14.1" customHeight="1">
      <c r="B249" s="284" t="s">
        <v>266</v>
      </c>
    </row>
    <row r="250" spans="2:2" ht="14.1" customHeight="1">
      <c r="B250" s="284" t="s">
        <v>267</v>
      </c>
    </row>
    <row r="251" spans="2:2" ht="14.1" customHeight="1">
      <c r="B251" s="284" t="s">
        <v>268</v>
      </c>
    </row>
    <row r="252" spans="2:2" ht="14.1" customHeight="1">
      <c r="B252" s="284" t="s">
        <v>269</v>
      </c>
    </row>
    <row r="253" spans="2:2" ht="14.1" customHeight="1">
      <c r="B253" s="284" t="s">
        <v>270</v>
      </c>
    </row>
    <row r="254" spans="2:2" ht="14.1" customHeight="1">
      <c r="B254" s="284" t="s">
        <v>271</v>
      </c>
    </row>
    <row r="255" spans="2:2" ht="14.1" customHeight="1">
      <c r="B255" s="284" t="s">
        <v>272</v>
      </c>
    </row>
    <row r="256" spans="2:2" ht="14.1" customHeight="1">
      <c r="B256" s="284" t="s">
        <v>273</v>
      </c>
    </row>
    <row r="257" spans="2:2" ht="14.1" customHeight="1">
      <c r="B257" s="284" t="s">
        <v>274</v>
      </c>
    </row>
    <row r="258" spans="2:2" ht="14.1" customHeight="1">
      <c r="B258" s="284" t="s">
        <v>275</v>
      </c>
    </row>
    <row r="259" spans="2:2" ht="14.1" customHeight="1">
      <c r="B259" s="284" t="s">
        <v>276</v>
      </c>
    </row>
    <row r="260" spans="2:2" ht="14.1" customHeight="1">
      <c r="B260" s="284" t="s">
        <v>277</v>
      </c>
    </row>
    <row r="261" spans="2:2" ht="14.1" customHeight="1">
      <c r="B261" s="284" t="s">
        <v>278</v>
      </c>
    </row>
    <row r="262" spans="2:2" ht="14.1" customHeight="1">
      <c r="B262" s="284" t="s">
        <v>279</v>
      </c>
    </row>
    <row r="263" spans="2:2" ht="14.1" customHeight="1">
      <c r="B263" s="284" t="s">
        <v>280</v>
      </c>
    </row>
    <row r="264" spans="2:2" ht="14.1" customHeight="1">
      <c r="B264" s="284" t="s">
        <v>281</v>
      </c>
    </row>
    <row r="265" spans="2:2" ht="14.1" customHeight="1">
      <c r="B265" s="284" t="s">
        <v>282</v>
      </c>
    </row>
    <row r="266" spans="2:2" ht="14.1" customHeight="1">
      <c r="B266" s="284" t="s">
        <v>283</v>
      </c>
    </row>
    <row r="267" spans="2:2" ht="14.1" customHeight="1">
      <c r="B267" s="284" t="s">
        <v>284</v>
      </c>
    </row>
    <row r="268" spans="2:2" ht="14.1" customHeight="1">
      <c r="B268" s="284" t="s">
        <v>285</v>
      </c>
    </row>
    <row r="269" spans="2:2" ht="14.1" customHeight="1">
      <c r="B269" s="284" t="s">
        <v>286</v>
      </c>
    </row>
    <row r="270" spans="2:2" ht="14.1" customHeight="1">
      <c r="B270" s="284" t="s">
        <v>287</v>
      </c>
    </row>
    <row r="271" spans="2:2" ht="14.1" customHeight="1">
      <c r="B271" s="284" t="s">
        <v>288</v>
      </c>
    </row>
    <row r="272" spans="2:2" ht="14.1" customHeight="1">
      <c r="B272" s="284" t="s">
        <v>289</v>
      </c>
    </row>
    <row r="273" spans="2:2" ht="14.1" customHeight="1">
      <c r="B273" s="284" t="s">
        <v>290</v>
      </c>
    </row>
    <row r="274" spans="2:2" ht="14.1" customHeight="1">
      <c r="B274" s="284" t="s">
        <v>291</v>
      </c>
    </row>
    <row r="275" spans="2:2" ht="14.1" customHeight="1">
      <c r="B275" s="284" t="s">
        <v>292</v>
      </c>
    </row>
    <row r="276" spans="2:2" ht="14.1" customHeight="1">
      <c r="B276" s="284" t="s">
        <v>293</v>
      </c>
    </row>
    <row r="277" spans="2:2" ht="14.1" customHeight="1">
      <c r="B277" s="284" t="s">
        <v>294</v>
      </c>
    </row>
    <row r="278" spans="2:2" ht="14.1" customHeight="1">
      <c r="B278" s="284" t="s">
        <v>295</v>
      </c>
    </row>
    <row r="279" spans="2:2" ht="14.1" customHeight="1">
      <c r="B279" s="284" t="s">
        <v>296</v>
      </c>
    </row>
    <row r="280" spans="2:2" ht="14.1" customHeight="1">
      <c r="B280" s="284" t="s">
        <v>297</v>
      </c>
    </row>
    <row r="281" spans="2:2" ht="14.1" customHeight="1">
      <c r="B281" s="284" t="s">
        <v>298</v>
      </c>
    </row>
    <row r="282" spans="2:2" ht="14.1" customHeight="1">
      <c r="B282" s="284" t="s">
        <v>299</v>
      </c>
    </row>
    <row r="283" spans="2:2" ht="14.1" customHeight="1">
      <c r="B283" s="284" t="s">
        <v>300</v>
      </c>
    </row>
    <row r="284" spans="2:2" ht="14.1" customHeight="1">
      <c r="B284" s="284" t="s">
        <v>301</v>
      </c>
    </row>
    <row r="285" spans="2:2" ht="14.1" customHeight="1">
      <c r="B285" s="284" t="s">
        <v>302</v>
      </c>
    </row>
    <row r="286" spans="2:2" ht="14.1" customHeight="1">
      <c r="B286" s="284" t="s">
        <v>303</v>
      </c>
    </row>
    <row r="287" spans="2:2" ht="14.1" customHeight="1">
      <c r="B287" s="284" t="s">
        <v>304</v>
      </c>
    </row>
    <row r="288" spans="2:2" ht="14.1" customHeight="1">
      <c r="B288" s="284" t="s">
        <v>305</v>
      </c>
    </row>
    <row r="289" spans="2:2" ht="14.1" customHeight="1">
      <c r="B289" s="284" t="s">
        <v>306</v>
      </c>
    </row>
    <row r="290" spans="2:2" ht="14.1" customHeight="1">
      <c r="B290" s="284" t="s">
        <v>307</v>
      </c>
    </row>
    <row r="291" spans="2:2" ht="14.1" customHeight="1">
      <c r="B291" s="284" t="s">
        <v>308</v>
      </c>
    </row>
    <row r="292" spans="2:2" ht="14.1" customHeight="1">
      <c r="B292" s="284" t="s">
        <v>309</v>
      </c>
    </row>
    <row r="293" spans="2:2" ht="14.1" customHeight="1">
      <c r="B293" s="284" t="s">
        <v>310</v>
      </c>
    </row>
    <row r="294" spans="2:2" ht="14.1" customHeight="1">
      <c r="B294" s="284" t="s">
        <v>311</v>
      </c>
    </row>
    <row r="295" spans="2:2" ht="14.1" customHeight="1">
      <c r="B295" s="284" t="s">
        <v>312</v>
      </c>
    </row>
    <row r="296" spans="2:2" ht="14.1" customHeight="1">
      <c r="B296" s="284" t="s">
        <v>313</v>
      </c>
    </row>
    <row r="297" spans="2:2" ht="14.1" customHeight="1">
      <c r="B297" s="284" t="s">
        <v>314</v>
      </c>
    </row>
    <row r="298" spans="2:2" ht="14.1" customHeight="1">
      <c r="B298" s="284" t="s">
        <v>315</v>
      </c>
    </row>
    <row r="299" spans="2:2" ht="14.1" customHeight="1">
      <c r="B299" s="284" t="s">
        <v>316</v>
      </c>
    </row>
    <row r="300" spans="2:2" ht="14.1" customHeight="1">
      <c r="B300" s="284" t="s">
        <v>317</v>
      </c>
    </row>
    <row r="301" spans="2:2" ht="14.1" customHeight="1">
      <c r="B301" s="284" t="s">
        <v>318</v>
      </c>
    </row>
    <row r="302" spans="2:2" ht="14.1" customHeight="1">
      <c r="B302" s="284" t="s">
        <v>319</v>
      </c>
    </row>
    <row r="303" spans="2:2" ht="14.1" customHeight="1">
      <c r="B303" s="284" t="s">
        <v>320</v>
      </c>
    </row>
    <row r="304" spans="2:2" ht="14.1" customHeight="1">
      <c r="B304" s="284" t="s">
        <v>571</v>
      </c>
    </row>
    <row r="305" spans="2:2" ht="14.1" customHeight="1">
      <c r="B305" s="284" t="s">
        <v>321</v>
      </c>
    </row>
    <row r="306" spans="2:2" ht="14.1" customHeight="1">
      <c r="B306" s="284" t="s">
        <v>322</v>
      </c>
    </row>
    <row r="307" spans="2:2" ht="14.1" customHeight="1">
      <c r="B307" s="284" t="s">
        <v>323</v>
      </c>
    </row>
    <row r="308" spans="2:2" ht="14.1" customHeight="1">
      <c r="B308" s="284" t="s">
        <v>324</v>
      </c>
    </row>
    <row r="309" spans="2:2" ht="13.5" customHeight="1">
      <c r="B309" s="284" t="s">
        <v>325</v>
      </c>
    </row>
    <row r="310" spans="2:2" ht="13.5" customHeight="1">
      <c r="B310" s="284" t="s">
        <v>326</v>
      </c>
    </row>
    <row r="311" spans="2:2" s="148" customFormat="1" ht="18" customHeight="1">
      <c r="B311" s="283" t="s">
        <v>572</v>
      </c>
    </row>
    <row r="312" spans="2:2" ht="14.1" customHeight="1">
      <c r="B312" s="284" t="s">
        <v>327</v>
      </c>
    </row>
    <row r="313" spans="2:2" ht="14.1" customHeight="1">
      <c r="B313" s="284" t="s">
        <v>328</v>
      </c>
    </row>
    <row r="314" spans="2:2" ht="14.1" customHeight="1">
      <c r="B314" s="284" t="s">
        <v>329</v>
      </c>
    </row>
    <row r="315" spans="2:2" ht="14.1" customHeight="1">
      <c r="B315" s="284" t="s">
        <v>330</v>
      </c>
    </row>
    <row r="316" spans="2:2" ht="14.1" customHeight="1">
      <c r="B316" s="284" t="s">
        <v>331</v>
      </c>
    </row>
    <row r="317" spans="2:2" ht="14.1" customHeight="1">
      <c r="B317" s="284" t="s">
        <v>332</v>
      </c>
    </row>
    <row r="318" spans="2:2" ht="14.1" customHeight="1">
      <c r="B318" s="284" t="s">
        <v>333</v>
      </c>
    </row>
    <row r="319" spans="2:2" ht="14.1" customHeight="1">
      <c r="B319" s="284" t="s">
        <v>334</v>
      </c>
    </row>
    <row r="320" spans="2:2" ht="14.1" customHeight="1">
      <c r="B320" s="284" t="s">
        <v>335</v>
      </c>
    </row>
    <row r="321" spans="2:2" ht="14.1" customHeight="1">
      <c r="B321" s="284" t="s">
        <v>336</v>
      </c>
    </row>
    <row r="322" spans="2:2" ht="14.1" customHeight="1">
      <c r="B322" s="284" t="s">
        <v>337</v>
      </c>
    </row>
    <row r="323" spans="2:2" ht="14.1" customHeight="1">
      <c r="B323" s="284" t="s">
        <v>338</v>
      </c>
    </row>
    <row r="324" spans="2:2" ht="14.1" customHeight="1">
      <c r="B324" s="284" t="s">
        <v>339</v>
      </c>
    </row>
    <row r="325" spans="2:2" ht="14.1" customHeight="1">
      <c r="B325" s="284" t="s">
        <v>340</v>
      </c>
    </row>
    <row r="326" spans="2:2" ht="14.1" customHeight="1">
      <c r="B326" s="284" t="s">
        <v>341</v>
      </c>
    </row>
    <row r="327" spans="2:2" ht="14.1" customHeight="1">
      <c r="B327" s="284" t="s">
        <v>342</v>
      </c>
    </row>
    <row r="328" spans="2:2" ht="13.5" customHeight="1">
      <c r="B328" s="284" t="s">
        <v>343</v>
      </c>
    </row>
    <row r="329" spans="2:2" ht="14.1" customHeight="1">
      <c r="B329" s="284" t="s">
        <v>344</v>
      </c>
    </row>
    <row r="330" spans="2:2" ht="18" customHeight="1">
      <c r="B330" s="283" t="s">
        <v>573</v>
      </c>
    </row>
    <row r="331" spans="2:2" s="148" customFormat="1" ht="13.5" customHeight="1">
      <c r="B331" s="284" t="s">
        <v>345</v>
      </c>
    </row>
    <row r="332" spans="2:2" ht="14.1" customHeight="1">
      <c r="B332" s="284" t="s">
        <v>346</v>
      </c>
    </row>
    <row r="333" spans="2:2" ht="14.1" customHeight="1">
      <c r="B333" s="284" t="s">
        <v>347</v>
      </c>
    </row>
    <row r="334" spans="2:2" ht="14.1" customHeight="1">
      <c r="B334" s="284" t="s">
        <v>348</v>
      </c>
    </row>
    <row r="335" spans="2:2" ht="14.1" customHeight="1">
      <c r="B335" s="284" t="s">
        <v>349</v>
      </c>
    </row>
    <row r="336" spans="2:2" ht="14.1" customHeight="1">
      <c r="B336" s="284" t="s">
        <v>350</v>
      </c>
    </row>
    <row r="337" spans="2:2" ht="14.1" customHeight="1">
      <c r="B337" s="284" t="s">
        <v>351</v>
      </c>
    </row>
    <row r="338" spans="2:2" ht="14.1" customHeight="1">
      <c r="B338" s="284" t="s">
        <v>352</v>
      </c>
    </row>
    <row r="339" spans="2:2" ht="14.1" customHeight="1">
      <c r="B339" s="284" t="s">
        <v>353</v>
      </c>
    </row>
    <row r="340" spans="2:2" ht="14.1" customHeight="1">
      <c r="B340" s="284" t="s">
        <v>354</v>
      </c>
    </row>
    <row r="341" spans="2:2" ht="14.1" customHeight="1">
      <c r="B341" s="284" t="s">
        <v>355</v>
      </c>
    </row>
    <row r="342" spans="2:2" ht="14.1" customHeight="1">
      <c r="B342" s="284" t="s">
        <v>356</v>
      </c>
    </row>
    <row r="343" spans="2:2" ht="14.1" customHeight="1">
      <c r="B343" s="284" t="s">
        <v>357</v>
      </c>
    </row>
    <row r="344" spans="2:2" ht="14.1" customHeight="1">
      <c r="B344" s="284" t="s">
        <v>358</v>
      </c>
    </row>
    <row r="345" spans="2:2" ht="14.1" customHeight="1">
      <c r="B345" s="284" t="s">
        <v>359</v>
      </c>
    </row>
    <row r="346" spans="2:2" ht="14.1" customHeight="1">
      <c r="B346" s="284" t="s">
        <v>360</v>
      </c>
    </row>
    <row r="347" spans="2:2" ht="14.1" customHeight="1">
      <c r="B347" s="284" t="s">
        <v>361</v>
      </c>
    </row>
    <row r="348" spans="2:2" ht="14.1" customHeight="1">
      <c r="B348" s="284" t="s">
        <v>362</v>
      </c>
    </row>
    <row r="349" spans="2:2" ht="14.1" customHeight="1">
      <c r="B349" s="284" t="s">
        <v>363</v>
      </c>
    </row>
    <row r="350" spans="2:2" ht="14.1" customHeight="1">
      <c r="B350" s="284" t="s">
        <v>364</v>
      </c>
    </row>
    <row r="351" spans="2:2" ht="14.1" customHeight="1">
      <c r="B351" s="284" t="s">
        <v>365</v>
      </c>
    </row>
    <row r="352" spans="2:2" ht="14.1" customHeight="1">
      <c r="B352" s="284" t="s">
        <v>366</v>
      </c>
    </row>
    <row r="353" spans="2:2" ht="14.1" customHeight="1">
      <c r="B353" s="284" t="s">
        <v>367</v>
      </c>
    </row>
    <row r="354" spans="2:2" ht="14.1" customHeight="1">
      <c r="B354" s="284" t="s">
        <v>368</v>
      </c>
    </row>
    <row r="355" spans="2:2" ht="14.1" customHeight="1">
      <c r="B355" s="284" t="s">
        <v>369</v>
      </c>
    </row>
    <row r="356" spans="2:2" ht="14.1" customHeight="1">
      <c r="B356" s="284" t="s">
        <v>370</v>
      </c>
    </row>
    <row r="357" spans="2:2" ht="14.1" customHeight="1">
      <c r="B357" s="284" t="s">
        <v>371</v>
      </c>
    </row>
    <row r="358" spans="2:2" ht="14.1" customHeight="1">
      <c r="B358" s="284" t="s">
        <v>372</v>
      </c>
    </row>
    <row r="359" spans="2:2" ht="14.1" customHeight="1">
      <c r="B359" s="284" t="s">
        <v>373</v>
      </c>
    </row>
    <row r="360" spans="2:2" ht="14.1" customHeight="1">
      <c r="B360" s="284" t="s">
        <v>374</v>
      </c>
    </row>
    <row r="361" spans="2:2" ht="14.1" customHeight="1">
      <c r="B361" s="284" t="s">
        <v>375</v>
      </c>
    </row>
    <row r="362" spans="2:2" ht="14.1" customHeight="1">
      <c r="B362" s="284" t="s">
        <v>376</v>
      </c>
    </row>
    <row r="363" spans="2:2" ht="14.1" customHeight="1">
      <c r="B363" s="284" t="s">
        <v>377</v>
      </c>
    </row>
    <row r="364" spans="2:2" ht="14.1" customHeight="1">
      <c r="B364" s="284" t="s">
        <v>378</v>
      </c>
    </row>
    <row r="365" spans="2:2" ht="14.1" customHeight="1">
      <c r="B365" s="284" t="s">
        <v>379</v>
      </c>
    </row>
    <row r="366" spans="2:2" ht="14.1" customHeight="1">
      <c r="B366" s="284" t="s">
        <v>54</v>
      </c>
    </row>
    <row r="367" spans="2:2" ht="14.1" customHeight="1">
      <c r="B367" s="284" t="s">
        <v>380</v>
      </c>
    </row>
    <row r="368" spans="2:2" ht="14.1" customHeight="1">
      <c r="B368" s="284" t="s">
        <v>381</v>
      </c>
    </row>
    <row r="369" spans="2:2" ht="14.1" customHeight="1">
      <c r="B369" s="284" t="s">
        <v>382</v>
      </c>
    </row>
    <row r="370" spans="2:2" ht="14.1" customHeight="1">
      <c r="B370" s="284" t="s">
        <v>383</v>
      </c>
    </row>
    <row r="371" spans="2:2" ht="13.5" customHeight="1">
      <c r="B371" s="284" t="s">
        <v>384</v>
      </c>
    </row>
    <row r="372" spans="2:2" ht="14.1" customHeight="1">
      <c r="B372" s="284" t="s">
        <v>385</v>
      </c>
    </row>
    <row r="373" spans="2:2" ht="18" customHeight="1">
      <c r="B373" s="283" t="s">
        <v>574</v>
      </c>
    </row>
    <row r="374" spans="2:2" ht="14.1" customHeight="1">
      <c r="B374" s="284" t="s">
        <v>386</v>
      </c>
    </row>
    <row r="375" spans="2:2" ht="14.1" customHeight="1">
      <c r="B375" s="284" t="s">
        <v>387</v>
      </c>
    </row>
    <row r="376" spans="2:2" ht="14.1" customHeight="1">
      <c r="B376" s="284" t="s">
        <v>582</v>
      </c>
    </row>
    <row r="377" spans="2:2" s="148" customFormat="1" ht="13.5" customHeight="1">
      <c r="B377" s="284" t="s">
        <v>583</v>
      </c>
    </row>
    <row r="378" spans="2:2" ht="14.1" customHeight="1">
      <c r="B378" s="284" t="s">
        <v>584</v>
      </c>
    </row>
    <row r="379" spans="2:2" ht="14.1" customHeight="1">
      <c r="B379" s="284" t="s">
        <v>585</v>
      </c>
    </row>
    <row r="380" spans="2:2" ht="14.1" customHeight="1">
      <c r="B380" s="284" t="s">
        <v>586</v>
      </c>
    </row>
    <row r="381" spans="2:2" ht="14.1" customHeight="1">
      <c r="B381" s="284" t="s">
        <v>388</v>
      </c>
    </row>
    <row r="382" spans="2:2" ht="14.1" customHeight="1">
      <c r="B382" s="284" t="s">
        <v>389</v>
      </c>
    </row>
    <row r="383" spans="2:2" ht="14.1" customHeight="1">
      <c r="B383" s="284" t="s">
        <v>390</v>
      </c>
    </row>
    <row r="384" spans="2:2" ht="14.1" customHeight="1">
      <c r="B384" s="284" t="s">
        <v>391</v>
      </c>
    </row>
    <row r="385" spans="2:2" ht="14.1" customHeight="1">
      <c r="B385" s="284" t="s">
        <v>392</v>
      </c>
    </row>
    <row r="386" spans="2:2" ht="14.1" customHeight="1">
      <c r="B386" s="284" t="s">
        <v>393</v>
      </c>
    </row>
    <row r="387" spans="2:2" ht="14.1" customHeight="1">
      <c r="B387" s="284" t="s">
        <v>394</v>
      </c>
    </row>
    <row r="388" spans="2:2" ht="14.1" customHeight="1">
      <c r="B388" s="284" t="s">
        <v>395</v>
      </c>
    </row>
    <row r="389" spans="2:2" ht="14.1" customHeight="1">
      <c r="B389" s="284" t="s">
        <v>587</v>
      </c>
    </row>
    <row r="390" spans="2:2" ht="14.1" customHeight="1">
      <c r="B390" s="284" t="s">
        <v>396</v>
      </c>
    </row>
    <row r="391" spans="2:2" ht="14.1" customHeight="1">
      <c r="B391" s="284" t="s">
        <v>462</v>
      </c>
    </row>
    <row r="392" spans="2:2" ht="14.1" customHeight="1">
      <c r="B392" s="284" t="s">
        <v>463</v>
      </c>
    </row>
    <row r="393" spans="2:2" ht="14.1" customHeight="1">
      <c r="B393" s="284" t="s">
        <v>397</v>
      </c>
    </row>
    <row r="394" spans="2:2" ht="14.1" customHeight="1">
      <c r="B394" s="284" t="s">
        <v>398</v>
      </c>
    </row>
    <row r="395" spans="2:2" ht="14.1" customHeight="1">
      <c r="B395" s="285" t="s">
        <v>603</v>
      </c>
    </row>
    <row r="396" spans="2:2" ht="14.1" customHeight="1">
      <c r="B396" s="284" t="s">
        <v>399</v>
      </c>
    </row>
    <row r="397" spans="2:2" ht="14.1" customHeight="1">
      <c r="B397" s="284" t="s">
        <v>400</v>
      </c>
    </row>
    <row r="398" spans="2:2" ht="14.1" customHeight="1">
      <c r="B398" s="284" t="s">
        <v>487</v>
      </c>
    </row>
    <row r="399" spans="2:2" ht="14.1" customHeight="1">
      <c r="B399" s="284" t="s">
        <v>488</v>
      </c>
    </row>
    <row r="400" spans="2:2" ht="14.1" customHeight="1">
      <c r="B400" s="284" t="s">
        <v>464</v>
      </c>
    </row>
    <row r="401" spans="2:2" ht="14.1" customHeight="1">
      <c r="B401" s="284" t="s">
        <v>489</v>
      </c>
    </row>
    <row r="402" spans="2:2" ht="14.1" customHeight="1">
      <c r="B402" s="284" t="s">
        <v>490</v>
      </c>
    </row>
    <row r="403" spans="2:2" ht="14.1" customHeight="1">
      <c r="B403" s="284" t="s">
        <v>491</v>
      </c>
    </row>
    <row r="404" spans="2:2" ht="14.1" customHeight="1">
      <c r="B404" s="284" t="s">
        <v>492</v>
      </c>
    </row>
    <row r="405" spans="2:2" ht="14.1" customHeight="1">
      <c r="B405" s="284" t="s">
        <v>493</v>
      </c>
    </row>
    <row r="406" spans="2:2" ht="14.1" customHeight="1">
      <c r="B406" s="284" t="s">
        <v>494</v>
      </c>
    </row>
    <row r="407" spans="2:2" ht="14.1" customHeight="1">
      <c r="B407" s="284" t="s">
        <v>495</v>
      </c>
    </row>
    <row r="408" spans="2:2" ht="14.1" customHeight="1">
      <c r="B408" s="284" t="s">
        <v>496</v>
      </c>
    </row>
    <row r="409" spans="2:2" ht="14.1" customHeight="1">
      <c r="B409" s="284" t="s">
        <v>465</v>
      </c>
    </row>
    <row r="410" spans="2:2" ht="14.1" customHeight="1">
      <c r="B410" s="284" t="s">
        <v>497</v>
      </c>
    </row>
    <row r="411" spans="2:2" ht="14.1" customHeight="1">
      <c r="B411" s="284" t="s">
        <v>498</v>
      </c>
    </row>
    <row r="412" spans="2:2" ht="14.1" customHeight="1">
      <c r="B412" s="284" t="s">
        <v>499</v>
      </c>
    </row>
    <row r="413" spans="2:2" ht="14.1" customHeight="1">
      <c r="B413" s="284" t="s">
        <v>500</v>
      </c>
    </row>
    <row r="414" spans="2:2" ht="14.1" customHeight="1">
      <c r="B414" s="284" t="s">
        <v>401</v>
      </c>
    </row>
    <row r="415" spans="2:2" ht="14.1" customHeight="1">
      <c r="B415" s="284" t="s">
        <v>501</v>
      </c>
    </row>
    <row r="416" spans="2:2" ht="14.1" customHeight="1">
      <c r="B416" s="284" t="s">
        <v>502</v>
      </c>
    </row>
    <row r="417" spans="2:2" ht="14.1" customHeight="1">
      <c r="B417" s="284" t="s">
        <v>503</v>
      </c>
    </row>
    <row r="418" spans="2:2" ht="14.1" customHeight="1">
      <c r="B418" s="284" t="s">
        <v>504</v>
      </c>
    </row>
    <row r="419" spans="2:2" ht="14.1" customHeight="1">
      <c r="B419" s="284" t="s">
        <v>505</v>
      </c>
    </row>
    <row r="420" spans="2:2" ht="14.1" customHeight="1">
      <c r="B420" s="284" t="s">
        <v>506</v>
      </c>
    </row>
    <row r="421" spans="2:2" ht="14.1" customHeight="1">
      <c r="B421" s="284" t="s">
        <v>507</v>
      </c>
    </row>
    <row r="422" spans="2:2" ht="14.1" customHeight="1">
      <c r="B422" s="284" t="s">
        <v>508</v>
      </c>
    </row>
    <row r="423" spans="2:2" ht="14.1" customHeight="1">
      <c r="B423" s="284" t="s">
        <v>509</v>
      </c>
    </row>
    <row r="424" spans="2:2" ht="14.1" customHeight="1">
      <c r="B424" s="284" t="s">
        <v>510</v>
      </c>
    </row>
    <row r="425" spans="2:2" ht="14.1" customHeight="1">
      <c r="B425" s="284" t="s">
        <v>511</v>
      </c>
    </row>
    <row r="426" spans="2:2" ht="14.1" customHeight="1">
      <c r="B426" s="284" t="s">
        <v>466</v>
      </c>
    </row>
    <row r="427" spans="2:2" ht="14.1" customHeight="1">
      <c r="B427" s="284" t="s">
        <v>512</v>
      </c>
    </row>
    <row r="428" spans="2:2" ht="14.1" customHeight="1">
      <c r="B428" s="284" t="s">
        <v>467</v>
      </c>
    </row>
    <row r="429" spans="2:2" ht="14.1" customHeight="1">
      <c r="B429" s="284" t="s">
        <v>513</v>
      </c>
    </row>
    <row r="430" spans="2:2" ht="14.1" customHeight="1">
      <c r="B430" s="284" t="s">
        <v>514</v>
      </c>
    </row>
    <row r="431" spans="2:2" ht="14.1" customHeight="1">
      <c r="B431" s="284" t="s">
        <v>468</v>
      </c>
    </row>
    <row r="432" spans="2:2" ht="14.1" customHeight="1">
      <c r="B432" s="284" t="s">
        <v>515</v>
      </c>
    </row>
    <row r="433" spans="2:2" ht="14.1" customHeight="1">
      <c r="B433" s="284" t="s">
        <v>516</v>
      </c>
    </row>
    <row r="434" spans="2:2" ht="14.1" customHeight="1">
      <c r="B434" s="284" t="s">
        <v>469</v>
      </c>
    </row>
    <row r="435" spans="2:2" ht="13.5" customHeight="1">
      <c r="B435" s="284" t="s">
        <v>517</v>
      </c>
    </row>
    <row r="436" spans="2:2" ht="13.5" customHeight="1">
      <c r="B436" s="284" t="s">
        <v>575</v>
      </c>
    </row>
    <row r="437" spans="2:2" ht="18" customHeight="1">
      <c r="B437" s="283" t="s">
        <v>576</v>
      </c>
    </row>
    <row r="438" spans="2:2" ht="14.1" customHeight="1">
      <c r="B438" s="284" t="s">
        <v>402</v>
      </c>
    </row>
    <row r="439" spans="2:2" ht="14.1" customHeight="1">
      <c r="B439" s="284" t="s">
        <v>403</v>
      </c>
    </row>
    <row r="440" spans="2:2" ht="14.1" customHeight="1">
      <c r="B440" s="284" t="s">
        <v>404</v>
      </c>
    </row>
    <row r="441" spans="2:2" ht="14.1" customHeight="1">
      <c r="B441" s="284" t="s">
        <v>405</v>
      </c>
    </row>
    <row r="442" spans="2:2" ht="14.1" customHeight="1">
      <c r="B442" s="284" t="s">
        <v>406</v>
      </c>
    </row>
    <row r="443" spans="2:2" ht="14.1" customHeight="1">
      <c r="B443" s="284" t="s">
        <v>407</v>
      </c>
    </row>
    <row r="444" spans="2:2" ht="14.1" customHeight="1">
      <c r="B444" s="284" t="s">
        <v>408</v>
      </c>
    </row>
    <row r="445" spans="2:2" ht="14.1" customHeight="1">
      <c r="B445" s="284" t="s">
        <v>409</v>
      </c>
    </row>
    <row r="446" spans="2:2" ht="14.1" customHeight="1">
      <c r="B446" s="284" t="s">
        <v>410</v>
      </c>
    </row>
    <row r="447" spans="2:2" ht="14.1" customHeight="1">
      <c r="B447" s="284" t="s">
        <v>411</v>
      </c>
    </row>
    <row r="448" spans="2:2" s="148" customFormat="1" ht="13.5" customHeight="1">
      <c r="B448" s="284" t="s">
        <v>412</v>
      </c>
    </row>
    <row r="449" spans="2:2" ht="14.1" customHeight="1">
      <c r="B449" s="284" t="s">
        <v>3</v>
      </c>
    </row>
    <row r="450" spans="2:2" ht="14.1" customHeight="1">
      <c r="B450" s="284" t="s">
        <v>413</v>
      </c>
    </row>
    <row r="451" spans="2:2" ht="14.1" customHeight="1">
      <c r="B451" s="285" t="s">
        <v>415</v>
      </c>
    </row>
    <row r="452" spans="2:2" ht="14.1" customHeight="1">
      <c r="B452" s="284" t="s">
        <v>419</v>
      </c>
    </row>
    <row r="453" spans="2:2" ht="14.1" customHeight="1">
      <c r="B453" s="284" t="s">
        <v>420</v>
      </c>
    </row>
    <row r="454" spans="2:2" ht="13.5" customHeight="1">
      <c r="B454" s="284" t="s">
        <v>421</v>
      </c>
    </row>
    <row r="455" spans="2:2" ht="14.1" customHeight="1">
      <c r="B455" s="285" t="s">
        <v>423</v>
      </c>
    </row>
    <row r="456" spans="2:2" ht="18" customHeight="1">
      <c r="B456" s="283" t="s">
        <v>577</v>
      </c>
    </row>
    <row r="457" spans="2:2" ht="14.1" customHeight="1">
      <c r="B457" s="284" t="s">
        <v>55</v>
      </c>
    </row>
    <row r="458" spans="2:2" ht="14.1" customHeight="1">
      <c r="B458" s="285" t="s">
        <v>518</v>
      </c>
    </row>
    <row r="459" spans="2:2" ht="14.1" customHeight="1">
      <c r="B459" s="284" t="s">
        <v>424</v>
      </c>
    </row>
    <row r="460" spans="2:2" ht="14.1" customHeight="1">
      <c r="B460" s="284" t="s">
        <v>425</v>
      </c>
    </row>
    <row r="461" spans="2:2" ht="14.1" customHeight="1">
      <c r="B461" s="284" t="s">
        <v>426</v>
      </c>
    </row>
    <row r="462" spans="2:2" ht="14.1" customHeight="1">
      <c r="B462" s="284" t="s">
        <v>427</v>
      </c>
    </row>
    <row r="463" spans="2:2" ht="14.1" customHeight="1">
      <c r="B463" s="284" t="s">
        <v>478</v>
      </c>
    </row>
    <row r="464" spans="2:2" ht="14.1" customHeight="1">
      <c r="B464" s="284" t="s">
        <v>428</v>
      </c>
    </row>
    <row r="465" spans="2:2" ht="14.1" customHeight="1">
      <c r="B465" s="284" t="s">
        <v>429</v>
      </c>
    </row>
    <row r="466" spans="2:2" ht="13.5" customHeight="1">
      <c r="B466" s="284" t="s">
        <v>479</v>
      </c>
    </row>
    <row r="467" spans="2:2" ht="13.5" customHeight="1">
      <c r="B467" s="284" t="s">
        <v>430</v>
      </c>
    </row>
    <row r="468" spans="2:2" ht="14.1" customHeight="1">
      <c r="B468" s="284" t="s">
        <v>431</v>
      </c>
    </row>
    <row r="469" spans="2:2" ht="14.1" customHeight="1">
      <c r="B469" s="284" t="s">
        <v>520</v>
      </c>
    </row>
    <row r="470" spans="2:2" ht="14.1" customHeight="1">
      <c r="B470" s="284" t="s">
        <v>519</v>
      </c>
    </row>
    <row r="471" spans="2:2" ht="14.1" customHeight="1">
      <c r="B471" s="284" t="s">
        <v>0</v>
      </c>
    </row>
    <row r="472" spans="2:2" ht="14.1" customHeight="1">
      <c r="B472" s="284" t="s">
        <v>480</v>
      </c>
    </row>
    <row r="473" spans="2:2" ht="14.1" customHeight="1">
      <c r="B473" s="284" t="s">
        <v>432</v>
      </c>
    </row>
    <row r="474" spans="2:2" ht="14.1" customHeight="1">
      <c r="B474" s="284" t="s">
        <v>521</v>
      </c>
    </row>
    <row r="475" spans="2:2" ht="14.1" customHeight="1">
      <c r="B475" s="284" t="s">
        <v>433</v>
      </c>
    </row>
    <row r="476" spans="2:2" ht="14.1" customHeight="1">
      <c r="B476" s="285" t="s">
        <v>416</v>
      </c>
    </row>
    <row r="477" spans="2:2" ht="14.1" customHeight="1">
      <c r="B477" s="285" t="s">
        <v>434</v>
      </c>
    </row>
    <row r="478" spans="2:2" s="148" customFormat="1" ht="13.5" customHeight="1">
      <c r="B478" s="285" t="s">
        <v>417</v>
      </c>
    </row>
    <row r="479" spans="2:2" ht="14.1" customHeight="1">
      <c r="B479" s="285" t="s">
        <v>1</v>
      </c>
    </row>
    <row r="480" spans="2:2" ht="14.1" customHeight="1">
      <c r="B480" s="285" t="s">
        <v>418</v>
      </c>
    </row>
    <row r="481" spans="2:2" ht="13.5" customHeight="1">
      <c r="B481" s="285" t="s">
        <v>472</v>
      </c>
    </row>
    <row r="482" spans="2:2" ht="13.5" customHeight="1">
      <c r="B482" s="285" t="s">
        <v>538</v>
      </c>
    </row>
    <row r="483" spans="2:2" ht="14.1" customHeight="1">
      <c r="B483" s="285" t="s">
        <v>422</v>
      </c>
    </row>
    <row r="484" spans="2:2" ht="13.5" customHeight="1">
      <c r="B484" s="285" t="s">
        <v>470</v>
      </c>
    </row>
    <row r="485" spans="2:2" ht="14.1" customHeight="1">
      <c r="B485" s="285" t="s">
        <v>471</v>
      </c>
    </row>
    <row r="486" spans="2:2" ht="18" customHeight="1">
      <c r="B486" s="283" t="s">
        <v>578</v>
      </c>
    </row>
    <row r="487" spans="2:2" ht="13.5" customHeight="1">
      <c r="B487" s="284" t="s">
        <v>435</v>
      </c>
    </row>
    <row r="488" spans="2:2" ht="14.1" customHeight="1">
      <c r="B488" s="284" t="s">
        <v>579</v>
      </c>
    </row>
    <row r="489" spans="2:2" ht="14.1" customHeight="1">
      <c r="B489" s="284" t="s">
        <v>522</v>
      </c>
    </row>
    <row r="490" spans="2:2" ht="14.1" customHeight="1">
      <c r="B490" s="284" t="s">
        <v>596</v>
      </c>
    </row>
    <row r="491" spans="2:2" ht="14.1" customHeight="1">
      <c r="B491" s="284" t="s">
        <v>588</v>
      </c>
    </row>
    <row r="492" spans="2:2" ht="14.1" customHeight="1">
      <c r="B492" s="284" t="s">
        <v>589</v>
      </c>
    </row>
    <row r="493" spans="2:2" ht="14.1" customHeight="1">
      <c r="B493" s="284" t="s">
        <v>595</v>
      </c>
    </row>
    <row r="494" spans="2:2" ht="14.1" customHeight="1">
      <c r="B494" s="284" t="s">
        <v>594</v>
      </c>
    </row>
    <row r="495" spans="2:2" ht="14.1" customHeight="1">
      <c r="B495" s="284" t="s">
        <v>436</v>
      </c>
    </row>
    <row r="496" spans="2:2" s="148" customFormat="1" ht="13.5" customHeight="1">
      <c r="B496" s="284" t="s">
        <v>437</v>
      </c>
    </row>
    <row r="497" spans="2:2" ht="14.1" customHeight="1">
      <c r="B497" s="284" t="s">
        <v>438</v>
      </c>
    </row>
    <row r="498" spans="2:2" ht="14.1" customHeight="1">
      <c r="B498" s="284" t="s">
        <v>439</v>
      </c>
    </row>
    <row r="499" spans="2:2" ht="14.1" customHeight="1">
      <c r="B499" s="284" t="s">
        <v>580</v>
      </c>
    </row>
    <row r="500" spans="2:2" ht="14.1" customHeight="1">
      <c r="B500" s="284" t="s">
        <v>440</v>
      </c>
    </row>
    <row r="501" spans="2:2" ht="14.1" customHeight="1">
      <c r="B501" s="284" t="s">
        <v>441</v>
      </c>
    </row>
    <row r="502" spans="2:2" ht="14.1" customHeight="1">
      <c r="B502" s="284" t="s">
        <v>442</v>
      </c>
    </row>
    <row r="503" spans="2:2" ht="14.1" customHeight="1">
      <c r="B503" s="285" t="s">
        <v>414</v>
      </c>
    </row>
    <row r="504" spans="2:2" ht="14.1" customHeight="1">
      <c r="B504" s="284" t="s">
        <v>443</v>
      </c>
    </row>
    <row r="505" spans="2:2" ht="14.1" customHeight="1">
      <c r="B505" s="284" t="s">
        <v>444</v>
      </c>
    </row>
    <row r="506" spans="2:2" ht="14.1" customHeight="1">
      <c r="B506" s="284" t="s">
        <v>445</v>
      </c>
    </row>
    <row r="507" spans="2:2" ht="13.5" customHeight="1">
      <c r="B507" s="284" t="s">
        <v>446</v>
      </c>
    </row>
    <row r="508" spans="2:2" ht="15" customHeight="1">
      <c r="B508" s="284" t="s">
        <v>447</v>
      </c>
    </row>
    <row r="509" spans="2:2" ht="15" customHeight="1">
      <c r="B509" s="286"/>
    </row>
    <row r="510" spans="2:2" ht="23.1" customHeight="1"/>
    <row r="511" spans="2:2">
      <c r="B511" s="178" t="str">
        <f>IF(Indice_index!$Z$1=1,"Notas:","Notes:")</f>
        <v>Notas:</v>
      </c>
    </row>
    <row r="512" spans="2:2" ht="25.5" customHeight="1">
      <c r="B512" s="178" t="s">
        <v>598</v>
      </c>
    </row>
    <row r="513" spans="1:2" ht="15" customHeight="1">
      <c r="B513" s="90" t="str">
        <f>IF(Indice_index!$Z$1=1,"Alterações:","Changes:")</f>
        <v>Alterações:</v>
      </c>
    </row>
    <row r="514" spans="1:2" ht="25.5" customHeight="1">
      <c r="B514" s="287" t="str">
        <f>IF(Indice_index!$Z$1=1,"a) Soflusa — Sociedade Fluvial de Transportes, S.A. – Fusão na Transtejo — Transportes Tejo, S.A., nos termos do artigo 27.º dos respetivos estatutos e da alínea b) do n.º 1 do artigo 141.º do Código das Sociedades Comerciais.","a) Soflusa — Sociedade Fluvial de Transportes, S.A. - Merger into Transtejo — Transportes Tejo, S.A., in accordance with article 27 of the respective statutes and subparagraph b) of paragraph 1 of article 141 of the Commercial Companies Code.")</f>
        <v>a) Soflusa — Sociedade Fluvial de Transportes, S.A. – Fusão na Transtejo — Transportes Tejo, S.A., nos termos do artigo 27.º dos respetivos estatutos e da alínea b) do n.º 1 do artigo 141.º do Código das Sociedades Comerciais.</v>
      </c>
    </row>
    <row r="515" spans="1:2" ht="15" customHeight="1">
      <c r="B515" s="282" t="str">
        <f>IF(Indice_index!$Z$1=1,"b) Instituto para os Comportamentos Aditivos e as Dependências, I.P. – Criação pelo Decreto-Lei n.º 89/2023, de 11 de outubro.","b) Institute for Addictive Behaviors and Dependencies, I.P. - Creation by Decree-Law No. 89/2023, of October 11th.")</f>
        <v>b) Instituto para os Comportamentos Aditivos e as Dependências, I.P. – Criação pelo Decreto-Lei n.º 89/2023, de 11 de outubro.</v>
      </c>
    </row>
    <row r="516" spans="1:2" ht="25.5" customHeight="1">
      <c r="B516" s="282" t="str">
        <f>IF(Indice_index!$Z$1=1,"c) SIRESP - Gestão de Redes Digitais de Segurança e Emergência, S.A. – Extinção suspensa como referido na RCM 164/2023, de 11 de dezembro.","c) SIRESP - Gestão de Redes Digitales de Segurança e Emergency, S.A. – Termination suspended as referred to in RCM 164/2023, of December 11.")</f>
        <v>c) SIRESP - Gestão de Redes Digitais de Segurança e Emergência, S.A. – Extinção suspensa como referido na RCM 164/2023, de 11 de dezembro.</v>
      </c>
    </row>
    <row r="517" spans="1:2" ht="36.75" customHeight="1">
      <c r="B517" s="282" t="str">
        <f>IF(Indice_index!$Z$1=1,_xlfn.CONCAT("d) Administração Regional de Saúde de Lisboa e Vale do Tejo, I.P., Administração Regional de Saúde do Alentejo, I.P., Administração Regional de Saúde do Algarve, I.P.,"," Administração Regional de Saúde do Centro, I.P., Administração Regional de Saúde do Norte, I.P. – Extinção suspensa como estabelecido no artigo 9.º da Lei n.º 82/2023, de 29 de dezembro."),"Regional Health Administration of Lisbon and Vale do Tejo, I.P., Regional Health Administration of Alentejo, I.P., Regional Health Administration of Algarve, I.P.,"&amp;" Regional Health Administration of the Center, I.P., Regional Health Administration of the North, I.P. – Extinction suspended as established in article 9 of Law no. 82/2023, of December 29.")</f>
        <v>d) Administração Regional de Saúde de Lisboa e Vale do Tejo, I.P., Administração Regional de Saúde do Alentejo, I.P., Administração Regional de Saúde do Algarve, I.P., Administração Regional de Saúde do Centro, I.P., Administração Regional de Saúde do Norte, I.P. – Extinção suspensa como estabelecido no artigo 9.º da Lei n.º 82/2023, de 29 de dezembro.</v>
      </c>
    </row>
    <row r="518" spans="1:2" ht="25.5" customHeight="1">
      <c r="B518" s="282" t="s">
        <v>550</v>
      </c>
    </row>
    <row r="519" spans="1:2" ht="25.5" customHeight="1">
      <c r="B519" s="282" t="s">
        <v>590</v>
      </c>
    </row>
    <row r="520" spans="1:2">
      <c r="B520" s="90" t="s">
        <v>549</v>
      </c>
    </row>
    <row r="521" spans="1:2" ht="49.5" customHeight="1">
      <c r="B521" s="282" t="s">
        <v>597</v>
      </c>
    </row>
    <row r="522" spans="1:2" ht="38.1" customHeight="1">
      <c r="A522" s="137"/>
      <c r="B522" s="282"/>
    </row>
    <row r="523" spans="1:2"/>
  </sheetData>
  <pageMargins left="0.70866141732283472" right="0.70866141732283472" top="0.74803149606299213" bottom="0.74803149606299213" header="0.31496062992125984" footer="0.31496062992125984"/>
  <pageSetup paperSize="9" scale="72" fitToHeight="7" orientation="portrait" r:id="rId1"/>
  <rowBreaks count="6" manualBreakCount="6">
    <brk id="73" min="1" max="1" man="1"/>
    <brk id="135" min="1" max="1" man="1"/>
    <brk id="202" min="1" max="1" man="1"/>
    <brk id="270" min="1" max="1" man="1"/>
    <brk id="331" min="1" max="1" man="1"/>
    <brk id="468"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34"/>
  <sheetViews>
    <sheetView showGridLines="0" zoomScaleNormal="100" workbookViewId="0"/>
  </sheetViews>
  <sheetFormatPr defaultColWidth="0" defaultRowHeight="14.85" customHeight="1" zeroHeight="1"/>
  <cols>
    <col min="1" max="1" width="8.5703125" customWidth="1"/>
    <col min="2" max="2" width="47.5703125" customWidth="1"/>
    <col min="3" max="10" width="9.5703125" customWidth="1"/>
    <col min="11" max="11" width="9.42578125" customWidth="1"/>
    <col min="12" max="16384" width="9.42578125" hidden="1"/>
  </cols>
  <sheetData>
    <row r="1" spans="2:10" ht="14.85" customHeight="1"/>
    <row r="2" spans="2:10" ht="15"/>
    <row r="3" spans="2:10" ht="15"/>
    <row r="4" spans="2:10" ht="15"/>
    <row r="5" spans="2:10" ht="15"/>
    <row r="6" spans="2:10" ht="15"/>
    <row r="7" spans="2:10" ht="50.1" customHeight="1"/>
    <row r="8" spans="2:10"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0" ht="15">
      <c r="B9" s="344" t="str">
        <f>+'3 - Conta AC + SS'!B9</f>
        <v>Período: janeiro a setembro</v>
      </c>
      <c r="C9" s="344"/>
      <c r="D9" s="3"/>
      <c r="E9" s="3"/>
      <c r="F9" s="3"/>
      <c r="G9" s="3"/>
      <c r="H9" s="3"/>
      <c r="I9" s="3"/>
      <c r="J9" s="3" t="str">
        <f>IF(Indice_index!$Z$1=1,"€ Milhões","€ Millions")</f>
        <v>€ Milhões</v>
      </c>
    </row>
    <row r="10" spans="2:10" ht="26.85" customHeight="1">
      <c r="B10" s="345" t="s">
        <v>455</v>
      </c>
      <c r="C10" s="345" t="str">
        <f>IF(Indice_index!$Z$1=1,"Saldo","Balance")</f>
        <v>Saldo</v>
      </c>
      <c r="D10" s="345"/>
      <c r="E10" s="345" t="str">
        <f>IF(Indice_index!$Z$1=1,"Receita","Revenue")</f>
        <v>Receita</v>
      </c>
      <c r="F10" s="345"/>
      <c r="G10" s="345" t="str">
        <f>IF(Indice_index!$Z$1=1,"Despesa","Expense")</f>
        <v>Despesa</v>
      </c>
      <c r="H10" s="345"/>
      <c r="I10" s="345" t="str">
        <f>IF(Indice_index!$Z$1=1,"Variação Homóloga acumulada (%)","YOY Change Rate
%")</f>
        <v>Variação Homóloga acumulada (%)</v>
      </c>
      <c r="J10" s="345"/>
    </row>
    <row r="11" spans="2:10" ht="16.350000000000001" customHeight="1">
      <c r="B11" s="345"/>
      <c r="C11" s="4">
        <v>2023</v>
      </c>
      <c r="D11" s="4">
        <v>2024</v>
      </c>
      <c r="E11" s="4">
        <v>2023</v>
      </c>
      <c r="F11" s="4">
        <v>2024</v>
      </c>
      <c r="G11" s="4">
        <v>2023</v>
      </c>
      <c r="H11" s="4">
        <v>2024</v>
      </c>
      <c r="I11" s="149" t="str">
        <f>IF(Indice_index!$Z$1=1,"Receita","Revenue")</f>
        <v>Receita</v>
      </c>
      <c r="J11" s="149" t="str">
        <f>IF(Indice_index!$Z$1=1,"Despesa","Expense")</f>
        <v>Despesa</v>
      </c>
    </row>
    <row r="12" spans="2:10" ht="14.1" customHeight="1">
      <c r="B12" s="291" t="str">
        <f>IF(Indice_index!$Z$1=1,"Administração Central e Segurança Social","Central Administration and Social Security")</f>
        <v>Administração Central e Segurança Social</v>
      </c>
      <c r="C12" s="5">
        <f>'3 - Conta AC + SS'!$E$51</f>
        <v>9747.1264205599728</v>
      </c>
      <c r="D12" s="5">
        <f>'3 - Conta AC + SS'!$F$51</f>
        <v>4702.9754083499865</v>
      </c>
      <c r="E12" s="5">
        <f>'3 - Conta AC + SS'!$E$29</f>
        <v>78694.407776249995</v>
      </c>
      <c r="F12" s="5">
        <f>'3 - Conta AC + SS'!$F$29</f>
        <v>81768.556733810008</v>
      </c>
      <c r="G12" s="5">
        <f>'3 - Conta AC + SS'!$E$50</f>
        <v>68947.281355690022</v>
      </c>
      <c r="H12" s="5">
        <f>'3 - Conta AC + SS'!$F$50</f>
        <v>77065.581325460022</v>
      </c>
      <c r="I12" s="5">
        <f>+IF(IFERROR((F12-E12)/E12*100,"-")&gt;500,"-",IFERROR((F12-E12)/E12*100,"-"))</f>
        <v>3.9064389000812749</v>
      </c>
      <c r="J12" s="5">
        <f>+IF(IFERROR((H12-G12)/G12*100,"-")&gt;500,"-",IFERROR((H12-G12)/G12*100,"-"))</f>
        <v>11.774648412732548</v>
      </c>
    </row>
    <row r="13" spans="2:10" ht="14.1" customHeight="1">
      <c r="B13" s="210" t="str">
        <f>IF(Indice_index!$Z$1=1,"Administração Central","Central Administration")</f>
        <v>Administração Central</v>
      </c>
      <c r="C13" s="5">
        <f>'4 - Conta AC'!$E$51</f>
        <v>5861.0630650199964</v>
      </c>
      <c r="D13" s="5">
        <f>'4 - Conta AC'!$F$51</f>
        <v>394.63985084998421</v>
      </c>
      <c r="E13" s="5">
        <f>'4 - Conta AC'!$E$29</f>
        <v>60332.809023430003</v>
      </c>
      <c r="F13" s="5">
        <f>'4 - Conta AC'!$F$29</f>
        <v>61641.21157195</v>
      </c>
      <c r="G13" s="5">
        <f>'4 - Conta AC'!$E$50</f>
        <v>54471.745958410007</v>
      </c>
      <c r="H13" s="5">
        <f>'4 - Conta AC'!$F$50</f>
        <v>61246.571721100016</v>
      </c>
      <c r="I13" s="5">
        <f>+IF(IFERROR((F13-E13)/E13*100,"-")&gt;500,"-",IFERROR((F13-E13)/E13*100,"-"))</f>
        <v>2.1686418545701787</v>
      </c>
      <c r="J13" s="5">
        <f>+IF(IFERROR((H13-G13)/G13*100,"-")&gt;500,"-",IFERROR((H13-G13)/G13*100,"-"))</f>
        <v>12.437320749481188</v>
      </c>
    </row>
    <row r="14" spans="2:10" ht="14.1" customHeight="1">
      <c r="B14" s="297" t="str">
        <f>IF(Indice_index!$Z$1=1,"da qual:","Of which:")</f>
        <v>da qual:</v>
      </c>
      <c r="C14" s="5"/>
      <c r="D14" s="5"/>
      <c r="E14" s="5"/>
      <c r="F14" s="5"/>
      <c r="G14" s="5"/>
      <c r="H14" s="5"/>
      <c r="I14" s="5"/>
      <c r="J14" s="5"/>
    </row>
    <row r="15" spans="2:10" ht="14.1" customHeight="1">
      <c r="B15" s="298" t="s">
        <v>460</v>
      </c>
      <c r="C15" s="5">
        <f>'5 - Estado'!$E$60</f>
        <v>1704.1056441899927</v>
      </c>
      <c r="D15" s="5">
        <f>'5 - Estado'!$F$60</f>
        <v>-1488.5635850499821</v>
      </c>
      <c r="E15" s="5">
        <f>'5 - Estado'!$E$34</f>
        <v>46236.422316579992</v>
      </c>
      <c r="F15" s="5">
        <f>'5 - Estado'!$F$34</f>
        <v>49591.995532290006</v>
      </c>
      <c r="G15" s="5">
        <f>'5 - Estado'!$E$59</f>
        <v>44532.316672389999</v>
      </c>
      <c r="H15" s="5">
        <f>'5 - Estado'!$F$59</f>
        <v>51080.559117339988</v>
      </c>
      <c r="I15" s="5">
        <f t="shared" ref="I15:I24" si="0">+IF(IFERROR((F15-E15)/E15*100,"-")&gt;500,"-",IFERROR((F15-E15)/E15*100,"-"))</f>
        <v>7.2574240124689178</v>
      </c>
      <c r="J15" s="5">
        <f t="shared" ref="J15:J24" si="1">+IF(IFERROR((H15-G15)/G15*100,"-")&gt;500,"-",IFERROR((H15-G15)/G15*100,"-"))</f>
        <v>14.704472918225459</v>
      </c>
    </row>
    <row r="16" spans="2:10" ht="13.5" customHeight="1">
      <c r="B16" s="299" t="s">
        <v>347</v>
      </c>
      <c r="C16" s="5">
        <v>2953.4337169799928</v>
      </c>
      <c r="D16" s="5">
        <v>-71.499666350000382</v>
      </c>
      <c r="E16" s="5">
        <v>10950.966561229994</v>
      </c>
      <c r="F16" s="5">
        <v>8706.3658505699987</v>
      </c>
      <c r="G16" s="5">
        <v>7997.5328442500013</v>
      </c>
      <c r="H16" s="5">
        <v>8777.8655169199974</v>
      </c>
      <c r="I16" s="5">
        <f t="shared" si="0"/>
        <v>-20.4968273632267</v>
      </c>
      <c r="J16" s="5">
        <f t="shared" si="1"/>
        <v>9.7571674648517774</v>
      </c>
    </row>
    <row r="17" spans="2:10" ht="13.5" customHeight="1">
      <c r="B17" s="299" t="s">
        <v>426</v>
      </c>
      <c r="C17" s="5">
        <v>-34.773332569999987</v>
      </c>
      <c r="D17" s="5">
        <v>-119.91353600999999</v>
      </c>
      <c r="E17" s="5">
        <v>0.46302881000000001</v>
      </c>
      <c r="F17" s="5">
        <v>-8.8183175799999987</v>
      </c>
      <c r="G17" s="5">
        <v>35.236361379999991</v>
      </c>
      <c r="H17" s="5">
        <v>111.09521842999999</v>
      </c>
      <c r="I17" s="5">
        <f t="shared" si="0"/>
        <v>-2004.4857230374066</v>
      </c>
      <c r="J17" s="5">
        <f t="shared" si="1"/>
        <v>215.28572780802833</v>
      </c>
    </row>
    <row r="18" spans="2:10" ht="14.1" customHeight="1">
      <c r="B18" s="298" t="s">
        <v>609</v>
      </c>
      <c r="C18" s="5">
        <v>-89.353697029999495</v>
      </c>
      <c r="D18" s="5">
        <v>-5.7870498500000833</v>
      </c>
      <c r="E18" s="5">
        <v>576.05129082000019</v>
      </c>
      <c r="F18" s="5">
        <v>477.99229579999997</v>
      </c>
      <c r="G18" s="5">
        <v>665.40498784999966</v>
      </c>
      <c r="H18" s="5">
        <v>483.77934565000004</v>
      </c>
      <c r="I18" s="5">
        <f t="shared" si="0"/>
        <v>-17.022615274486192</v>
      </c>
      <c r="J18" s="5">
        <f t="shared" si="1"/>
        <v>-27.295503567962882</v>
      </c>
    </row>
    <row r="19" spans="2:10" ht="13.5" customHeight="1">
      <c r="B19" s="299" t="s">
        <v>0</v>
      </c>
      <c r="C19" s="5">
        <v>-841.49762540999984</v>
      </c>
      <c r="D19" s="5">
        <v>-743.61874147999981</v>
      </c>
      <c r="E19" s="5">
        <v>1006.2018161400001</v>
      </c>
      <c r="F19" s="5">
        <v>1103.5986692200004</v>
      </c>
      <c r="G19" s="5">
        <v>1847.6994415499998</v>
      </c>
      <c r="H19" s="5">
        <v>1847.2174107000001</v>
      </c>
      <c r="I19" s="5">
        <f t="shared" si="0"/>
        <v>9.6796538743723275</v>
      </c>
      <c r="J19" s="5">
        <f t="shared" si="1"/>
        <v>-2.6088163429621818E-2</v>
      </c>
    </row>
    <row r="20" spans="2:10" ht="13.5" customHeight="1">
      <c r="B20" s="299" t="s">
        <v>551</v>
      </c>
      <c r="C20" s="5">
        <v>76.263059659999456</v>
      </c>
      <c r="D20" s="5">
        <v>217.31276574999981</v>
      </c>
      <c r="E20" s="5">
        <v>1797.95355464</v>
      </c>
      <c r="F20" s="5">
        <v>2053.9981557899991</v>
      </c>
      <c r="G20" s="5">
        <v>1721.6904949800005</v>
      </c>
      <c r="H20" s="5">
        <v>1836.6853900399997</v>
      </c>
      <c r="I20" s="5">
        <f t="shared" si="0"/>
        <v>14.240890733201747</v>
      </c>
      <c r="J20" s="5">
        <f t="shared" si="1"/>
        <v>6.6791851029725864</v>
      </c>
    </row>
    <row r="21" spans="2:10" ht="13.5" customHeight="1">
      <c r="B21" s="299" t="s">
        <v>605</v>
      </c>
      <c r="C21" s="5">
        <v>45.780758140000032</v>
      </c>
      <c r="D21" s="5">
        <v>191.3936298399999</v>
      </c>
      <c r="E21" s="5">
        <v>157.69420825999998</v>
      </c>
      <c r="F21" s="5">
        <v>622.32001166999999</v>
      </c>
      <c r="G21" s="5">
        <v>111.91345011999996</v>
      </c>
      <c r="H21" s="5">
        <v>430.92638183000003</v>
      </c>
      <c r="I21" s="5">
        <f t="shared" si="0"/>
        <v>294.63720230228324</v>
      </c>
      <c r="J21" s="5">
        <f t="shared" si="1"/>
        <v>285.05325442825352</v>
      </c>
    </row>
    <row r="22" spans="2:10" ht="14.1" customHeight="1">
      <c r="B22" s="210" t="str">
        <f>IF(Indice_index!$Z$1=1,"Segurança Social","Social Security")</f>
        <v>Segurança Social</v>
      </c>
      <c r="C22" s="5">
        <f>'10 - SS'!$E$67</f>
        <v>3886.0633555399872</v>
      </c>
      <c r="D22" s="5">
        <f>'10 - SS'!$F$67</f>
        <v>4308.335557499995</v>
      </c>
      <c r="E22" s="5">
        <f>'10 - SS'!$E$33</f>
        <v>27438.688809099993</v>
      </c>
      <c r="F22" s="5">
        <f>'10 - SS'!$F$33</f>
        <v>30476.132796329995</v>
      </c>
      <c r="G22" s="5">
        <f>'10 - SS'!$E$66</f>
        <v>23552.625453560006</v>
      </c>
      <c r="H22" s="5">
        <f>'10 - SS'!$F$66</f>
        <v>26167.79723883</v>
      </c>
      <c r="I22" s="5">
        <f t="shared" si="0"/>
        <v>11.069931250587455</v>
      </c>
      <c r="J22" s="5">
        <f t="shared" si="1"/>
        <v>11.103525551435748</v>
      </c>
    </row>
    <row r="23" spans="2:10" ht="14.1" customHeight="1">
      <c r="B23" s="291" t="str">
        <f>IF(Indice_index!$Z$1=1,"Administração Regional","Regional Administration")</f>
        <v>Administração Regional</v>
      </c>
      <c r="C23" s="5">
        <f>+E23-G23</f>
        <v>-106.53850426999952</v>
      </c>
      <c r="D23" s="5">
        <f>+F23-H23</f>
        <v>27.941527949999454</v>
      </c>
      <c r="E23" s="5">
        <f>'12 - Adm R'!$I$43</f>
        <v>2096.3943612700004</v>
      </c>
      <c r="F23" s="5">
        <f>'12 - Adm R'!$J$43</f>
        <v>2455.1833600699997</v>
      </c>
      <c r="G23" s="5">
        <f>'12 - Adm R'!$I$64</f>
        <v>2202.93286554</v>
      </c>
      <c r="H23" s="5">
        <f>'12 - Adm R'!$J$64</f>
        <v>2427.2418321200003</v>
      </c>
      <c r="I23" s="5">
        <f t="shared" si="0"/>
        <v>17.114575646093805</v>
      </c>
      <c r="J23" s="5">
        <f t="shared" si="1"/>
        <v>10.182287898501889</v>
      </c>
    </row>
    <row r="24" spans="2:10" ht="14.1" customHeight="1">
      <c r="B24" s="291" t="str">
        <f>IF(Indice_index!$Z$1=1,"Administração Local","Local Administration")</f>
        <v>Administração Local</v>
      </c>
      <c r="C24" s="5">
        <f>+E24-G24</f>
        <v>692.11290095181357</v>
      </c>
      <c r="D24" s="5">
        <f>+F24-H24</f>
        <v>974.24885769750836</v>
      </c>
      <c r="E24" s="5">
        <v>8867.9794414846565</v>
      </c>
      <c r="F24" s="5">
        <v>9958.2546948432609</v>
      </c>
      <c r="G24" s="5">
        <v>8175.8665405328429</v>
      </c>
      <c r="H24" s="5">
        <v>8984.0058371457526</v>
      </c>
      <c r="I24" s="5">
        <f t="shared" si="0"/>
        <v>12.294517150753261</v>
      </c>
      <c r="J24" s="5">
        <f t="shared" si="1"/>
        <v>9.8844482429655844</v>
      </c>
    </row>
    <row r="25" spans="2:10" ht="14.1" customHeight="1">
      <c r="B25" s="7" t="str">
        <f>IF(Indice_index!$Z$1=1,"Administrações Públicas","Public Administrations")</f>
        <v>Administrações Públicas</v>
      </c>
      <c r="C25" s="8">
        <f>'2 - Conta Consol AP'!$H$52</f>
        <v>10332.700817241814</v>
      </c>
      <c r="D25" s="9">
        <f>'2 - Conta Consol AP'!$M$52</f>
        <v>5705.1657939975121</v>
      </c>
      <c r="E25" s="8">
        <f>'2 - Conta Consol AP'!$H$30</f>
        <v>85152.329551964649</v>
      </c>
      <c r="F25" s="8">
        <f>'2 - Conta Consol AP'!$M$30</f>
        <v>88853.11935521329</v>
      </c>
      <c r="G25" s="8">
        <f>'2 - Conta Consol AP'!$H$51</f>
        <v>74819.628734722835</v>
      </c>
      <c r="H25" s="8">
        <f>'2 - Conta Consol AP'!$M$51</f>
        <v>83147.953561215778</v>
      </c>
      <c r="I25" s="9">
        <f>+IFERROR((F25-E25)/E25*100,"-")</f>
        <v>4.3460816899791501</v>
      </c>
      <c r="J25" s="9">
        <f>+IFERROR((H25-G25)/G25*100,"-")</f>
        <v>11.131203091131985</v>
      </c>
    </row>
    <row r="26" spans="2:10" ht="25.5" customHeight="1">
      <c r="B26" s="343" t="str">
        <f>IF(Indice_index!$Z$1=1,"Nota: Valores na ótica de caixa (Contabilidade Pública) não consolidados de fluxos intersetoriais; divergências relativamente aos valores publicados em 2023 devem-se a atualizações de valores.","Note: Unconsolidated cash values (Public Accounting) of intersectoral flows; Differences in relation to the values ??published in 2023 are due to value updates.")</f>
        <v>Nota: Valores na ótica de caixa (Contabilidade Pública) não consolidados de fluxos intersetoriais; divergências relativamente aos valores publicados em 2023 devem-se a atualizações de valores.</v>
      </c>
      <c r="C26" s="343"/>
      <c r="D26" s="343"/>
      <c r="E26" s="343"/>
      <c r="F26" s="343"/>
      <c r="G26" s="343"/>
      <c r="H26" s="343"/>
      <c r="I26" s="343"/>
      <c r="J26" s="343"/>
    </row>
    <row r="27" spans="2:10" ht="15.6" customHeight="1">
      <c r="B27" s="178" t="str">
        <f>IF(Indice_index!$Z$1=1,"Fonte: Direção-Geral do Orçamento.","Source: Budget General Directorate")</f>
        <v>Fonte: Direção-Geral do Orçamento.</v>
      </c>
      <c r="C27" s="10"/>
      <c r="D27" s="10"/>
      <c r="E27" s="6"/>
      <c r="F27" s="6"/>
      <c r="G27" s="190"/>
      <c r="H27" s="190"/>
      <c r="I27" s="190"/>
      <c r="J27" s="10"/>
    </row>
    <row r="28" spans="2:10" ht="14.85" customHeight="1"/>
    <row r="33" customFormat="1" ht="14.85" hidden="1" customHeight="1"/>
    <row r="34" customFormat="1" ht="14.85" hidden="1"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9.5703125" style="21" customWidth="1"/>
    <col min="2" max="2" width="32.5703125" style="21" customWidth="1"/>
    <col min="3" max="14" width="9.5703125" style="21" customWidth="1"/>
    <col min="15" max="15" width="9.42578125" style="21" customWidth="1"/>
    <col min="16" max="16384" width="9.42578125" hidden="1"/>
  </cols>
  <sheetData>
    <row r="1" spans="1:15" ht="14.85" customHeight="1"/>
    <row r="2" spans="1:15" ht="15">
      <c r="A2" s="12"/>
      <c r="B2" s="13"/>
      <c r="C2" s="14"/>
      <c r="D2" s="12"/>
      <c r="E2" s="12"/>
      <c r="F2" s="12"/>
      <c r="G2" s="12"/>
      <c r="H2" s="12"/>
      <c r="I2" s="12"/>
      <c r="J2" s="12"/>
      <c r="K2" s="12"/>
      <c r="L2" s="11"/>
      <c r="M2" s="11"/>
      <c r="N2" s="11"/>
      <c r="O2" s="11"/>
    </row>
    <row r="3" spans="1:15" ht="15">
      <c r="A3" s="12"/>
      <c r="B3" s="13"/>
      <c r="C3" s="14"/>
      <c r="D3" s="12"/>
      <c r="E3" s="12"/>
      <c r="F3" s="12"/>
      <c r="G3" s="12"/>
      <c r="H3" s="12"/>
      <c r="I3" s="12"/>
      <c r="J3" s="12"/>
      <c r="K3" s="12"/>
      <c r="L3" s="11"/>
      <c r="M3" s="11"/>
      <c r="N3" s="11"/>
      <c r="O3" s="11"/>
    </row>
    <row r="4" spans="1:15" ht="15">
      <c r="A4" s="12"/>
      <c r="B4" s="13"/>
      <c r="C4" s="14"/>
      <c r="D4" s="12"/>
      <c r="E4" s="12"/>
      <c r="F4" s="12"/>
      <c r="G4" s="12"/>
      <c r="H4" s="12"/>
      <c r="I4" s="12"/>
      <c r="J4" s="12"/>
      <c r="K4" s="12"/>
      <c r="L4" s="11"/>
      <c r="M4" s="11"/>
      <c r="N4" s="11"/>
      <c r="O4" s="11"/>
    </row>
    <row r="5" spans="1:15" ht="15">
      <c r="A5" s="12"/>
      <c r="B5" s="13"/>
      <c r="C5" s="14"/>
      <c r="D5" s="12"/>
      <c r="E5" s="12"/>
      <c r="F5" s="12"/>
      <c r="G5" s="12"/>
      <c r="H5" s="12"/>
      <c r="I5" s="12"/>
      <c r="J5" s="12"/>
      <c r="K5" s="12"/>
      <c r="L5" s="11"/>
      <c r="M5" s="11"/>
      <c r="N5" s="11"/>
      <c r="O5" s="11"/>
    </row>
    <row r="6" spans="1:15" ht="15">
      <c r="A6" s="12"/>
      <c r="B6" s="13"/>
      <c r="C6" s="14"/>
      <c r="D6" s="12"/>
      <c r="E6" s="12"/>
      <c r="F6" s="12"/>
      <c r="G6" s="12"/>
      <c r="H6" s="12"/>
      <c r="I6" s="12"/>
      <c r="J6" s="12"/>
      <c r="K6" s="12"/>
      <c r="L6" s="11"/>
      <c r="M6" s="11"/>
      <c r="N6" s="11"/>
      <c r="O6" s="11"/>
    </row>
    <row r="7" spans="1:15" ht="50.1" customHeight="1">
      <c r="A7" s="12"/>
      <c r="B7" s="13"/>
      <c r="C7" s="14"/>
      <c r="D7" s="12"/>
      <c r="E7" s="12"/>
      <c r="F7" s="12"/>
      <c r="G7" s="12"/>
      <c r="H7" s="12"/>
      <c r="I7" s="12"/>
      <c r="J7" s="12"/>
      <c r="K7" s="12"/>
      <c r="L7" s="11"/>
      <c r="M7" s="11"/>
      <c r="N7" s="11"/>
      <c r="O7" s="11"/>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44" t="str">
        <f>+'3 - Conta AC + SS'!B9</f>
        <v>Período: janeiro a setembro</v>
      </c>
      <c r="C9" s="344"/>
      <c r="D9" s="3"/>
      <c r="E9" s="3"/>
      <c r="F9" s="3"/>
      <c r="G9" s="3"/>
      <c r="H9" s="3"/>
      <c r="I9" s="3"/>
      <c r="J9" s="3"/>
      <c r="K9" s="3"/>
      <c r="L9" s="3"/>
      <c r="M9" s="3"/>
      <c r="N9" s="3" t="str">
        <f>IF(Indice_index!$Z$1=1,"€ Milhões","€ Millions")</f>
        <v>€ Milhões</v>
      </c>
      <c r="O9" s="3"/>
    </row>
    <row r="10" spans="1:15" ht="26.85" customHeight="1">
      <c r="A10" s="15"/>
      <c r="B10" s="349"/>
      <c r="C10" s="152" t="str">
        <f>IF(Indice_index!$Z$1=1,"CGE","Final execution")</f>
        <v>CGE</v>
      </c>
      <c r="D10" s="352" t="str">
        <f>IF(Indice_index!$Z$1=1,"Execução Acumulada","Accumulated Execution")</f>
        <v>Execução Acumulada</v>
      </c>
      <c r="E10" s="353"/>
      <c r="F10" s="353"/>
      <c r="G10" s="353"/>
      <c r="H10" s="353"/>
      <c r="I10" s="353"/>
      <c r="J10" s="353"/>
      <c r="K10" s="353"/>
      <c r="L10" s="353"/>
      <c r="M10" s="353"/>
      <c r="N10" s="152" t="str">
        <f>IF(Indice_index!$Z$1=1,"Orçamento Inicial","Budget")</f>
        <v>Orçamento Inicial</v>
      </c>
      <c r="O10" s="15"/>
    </row>
    <row r="11" spans="1:15" ht="16.350000000000001" customHeight="1">
      <c r="A11" s="16"/>
      <c r="B11" s="350"/>
      <c r="C11" s="352">
        <v>2023</v>
      </c>
      <c r="D11" s="353"/>
      <c r="E11" s="353"/>
      <c r="F11" s="353"/>
      <c r="G11" s="353"/>
      <c r="H11" s="354"/>
      <c r="I11" s="352">
        <v>2024</v>
      </c>
      <c r="J11" s="353"/>
      <c r="K11" s="353"/>
      <c r="L11" s="353"/>
      <c r="M11" s="353"/>
      <c r="N11" s="354"/>
      <c r="O11" s="16"/>
    </row>
    <row r="12" spans="1:15" ht="36">
      <c r="A12" s="17"/>
      <c r="B12" s="351"/>
      <c r="C12" s="152" t="str">
        <f>IF(Indice_index!$Z$1=1,"Adm. Públicas","General Government")</f>
        <v>Adm. Públicas</v>
      </c>
      <c r="D12" s="152" t="str">
        <f>IF(Indice_index!$Z$1=1,"Estado","State")</f>
        <v>Estado</v>
      </c>
      <c r="E12" s="152" t="str">
        <f>IF(Indice_index!$Z$1=1,"Serviços e Fundos Autónomos","Autonomous Funds and Services")</f>
        <v>Serviços e Fundos Autónomos</v>
      </c>
      <c r="F12" s="152" t="str">
        <f>IF(Indice_index!$Z$1=1,"Adm. Local e Regional","Local and Regional Government")</f>
        <v>Adm. Local e Regional</v>
      </c>
      <c r="G12" s="152" t="str">
        <f>IF(Indice_index!$Z$1=1,"Segurança Social","Social Security")</f>
        <v>Segurança Social</v>
      </c>
      <c r="H12" s="152" t="str">
        <f>IF(Indice_index!$Z$1=1,"Adm. Públicas","General Government")</f>
        <v>Adm. Públicas</v>
      </c>
      <c r="I12" s="152" t="str">
        <f>IF(Indice_index!$Z$1=1,"Estado","State")</f>
        <v>Estado</v>
      </c>
      <c r="J12" s="152" t="str">
        <f>IF(Indice_index!$Z$1=1,"Serviços e Fundos Autónomos","Autonomous Funds and Services")</f>
        <v>Serviços e Fundos Autónomos</v>
      </c>
      <c r="K12" s="152" t="str">
        <f>IF(Indice_index!$Z$1=1,"Adm. Local e Regional","Local and Regional Government")</f>
        <v>Adm. Local e Regional</v>
      </c>
      <c r="L12" s="152" t="str">
        <f>IF(Indice_index!$Z$1=1,"Segurança Social","Social Security")</f>
        <v>Segurança Social</v>
      </c>
      <c r="M12" s="152" t="str">
        <f>IF(Indice_index!$Z$1=1,"Adm. Públicas","General Government")</f>
        <v>Adm. Públicas</v>
      </c>
      <c r="N12" s="152" t="str">
        <f>IF(Indice_index!$Z$1=1,"Adm. Públicas","General Government")</f>
        <v>Adm. Públicas</v>
      </c>
      <c r="O12" s="16"/>
    </row>
    <row r="13" spans="1:15" ht="14.1" customHeight="1">
      <c r="A13" s="161"/>
      <c r="B13" s="212" t="str">
        <f>IF(Indice_index!$Z$1=1,"Receita corrente","Current revenue")</f>
        <v>Receita corrente</v>
      </c>
      <c r="C13" s="161">
        <f t="shared" ref="C13:N13" si="0">C14+C17+C18+C21+C22</f>
        <v>111396.1226878264</v>
      </c>
      <c r="D13" s="161">
        <f t="shared" si="0"/>
        <v>46159.709944730006</v>
      </c>
      <c r="E13" s="161">
        <f t="shared" si="0"/>
        <v>26392.517460329986</v>
      </c>
      <c r="F13" s="161">
        <f t="shared" si="0"/>
        <v>9820.8016215592252</v>
      </c>
      <c r="G13" s="161">
        <f t="shared" si="0"/>
        <v>27438.334712419997</v>
      </c>
      <c r="H13" s="161">
        <f t="shared" si="0"/>
        <v>79900.787084699215</v>
      </c>
      <c r="I13" s="161">
        <f t="shared" si="0"/>
        <v>49327.449951130002</v>
      </c>
      <c r="J13" s="161">
        <f t="shared" si="0"/>
        <v>29960.156698679999</v>
      </c>
      <c r="K13" s="161">
        <f t="shared" si="0"/>
        <v>10932.518868795731</v>
      </c>
      <c r="L13" s="161">
        <f t="shared" si="0"/>
        <v>30475.477298409998</v>
      </c>
      <c r="M13" s="161">
        <f t="shared" si="0"/>
        <v>86317.632435515756</v>
      </c>
      <c r="N13" s="161">
        <f t="shared" si="0"/>
        <v>116815.56489482279</v>
      </c>
      <c r="O13" s="193"/>
    </row>
    <row r="14" spans="1:15" ht="14.1" customHeight="1">
      <c r="A14" s="5"/>
      <c r="B14" s="150" t="str">
        <f>IF(Indice_index!$Z$1=1,"Receita fiscal","Tax")</f>
        <v>Receita fiscal</v>
      </c>
      <c r="C14" s="5">
        <f t="shared" ref="C14:N14" si="1">C15+C16</f>
        <v>65878.228425143447</v>
      </c>
      <c r="D14" s="5">
        <f t="shared" si="1"/>
        <v>43082.046781170007</v>
      </c>
      <c r="E14" s="5">
        <f t="shared" si="1"/>
        <v>506.10666601999998</v>
      </c>
      <c r="F14" s="5">
        <f t="shared" si="1"/>
        <v>4336.1985038914718</v>
      </c>
      <c r="G14" s="5">
        <f t="shared" si="1"/>
        <v>174.33892043</v>
      </c>
      <c r="H14" s="5">
        <f t="shared" si="1"/>
        <v>48098.690871511484</v>
      </c>
      <c r="I14" s="5">
        <f t="shared" si="1"/>
        <v>45372.432163210004</v>
      </c>
      <c r="J14" s="5">
        <f t="shared" si="1"/>
        <v>584.33786442999997</v>
      </c>
      <c r="K14" s="5">
        <f t="shared" si="1"/>
        <v>4539.2035951545804</v>
      </c>
      <c r="L14" s="5">
        <f t="shared" si="1"/>
        <v>169.91868923000001</v>
      </c>
      <c r="M14" s="5">
        <f t="shared" si="1"/>
        <v>50665.892312024574</v>
      </c>
      <c r="N14" s="5">
        <f t="shared" si="1"/>
        <v>67266.56727213171</v>
      </c>
      <c r="O14" s="194"/>
    </row>
    <row r="15" spans="1:15" ht="14.1" customHeight="1">
      <c r="A15" s="5"/>
      <c r="B15" s="210" t="str">
        <f>IF(Indice_index!$Z$1=1,"Impostos diretos","Direct taxes")</f>
        <v>Impostos diretos</v>
      </c>
      <c r="C15" s="5">
        <v>31894.808999082725</v>
      </c>
      <c r="D15" s="5">
        <v>19844.960008370002</v>
      </c>
      <c r="E15" s="5">
        <v>0</v>
      </c>
      <c r="F15" s="5">
        <v>3428.7965637305942</v>
      </c>
      <c r="G15" s="5">
        <v>0</v>
      </c>
      <c r="H15" s="5">
        <v>23273.756572100596</v>
      </c>
      <c r="I15" s="5">
        <v>21407.024198309999</v>
      </c>
      <c r="J15" s="5">
        <v>0</v>
      </c>
      <c r="K15" s="5">
        <v>3521.539896280864</v>
      </c>
      <c r="L15" s="5">
        <v>0</v>
      </c>
      <c r="M15" s="5">
        <v>24928.564094590864</v>
      </c>
      <c r="N15" s="5">
        <v>31529.663227981648</v>
      </c>
      <c r="O15" s="194"/>
    </row>
    <row r="16" spans="1:15" ht="14.1" customHeight="1">
      <c r="A16" s="5"/>
      <c r="B16" s="210" t="str">
        <f>IF(Indice_index!$Z$1=1,"Impostos indiretos","Indirect taxes")</f>
        <v>Impostos indiretos</v>
      </c>
      <c r="C16" s="5">
        <v>33983.419426060718</v>
      </c>
      <c r="D16" s="5">
        <v>23237.086772800005</v>
      </c>
      <c r="E16" s="5">
        <v>506.10666601999998</v>
      </c>
      <c r="F16" s="5">
        <v>907.40194016087764</v>
      </c>
      <c r="G16" s="5">
        <v>174.33892043</v>
      </c>
      <c r="H16" s="5">
        <v>24824.934299410885</v>
      </c>
      <c r="I16" s="5">
        <v>23965.407964900001</v>
      </c>
      <c r="J16" s="5">
        <v>584.33786442999997</v>
      </c>
      <c r="K16" s="5">
        <v>1017.6636988737164</v>
      </c>
      <c r="L16" s="5">
        <v>169.91868923000001</v>
      </c>
      <c r="M16" s="5">
        <v>25737.328217433715</v>
      </c>
      <c r="N16" s="5">
        <v>35736.904044150069</v>
      </c>
      <c r="O16" s="194"/>
    </row>
    <row r="17" spans="2:14" ht="14.1" customHeight="1">
      <c r="B17" s="150" t="str">
        <f>IF(Indice_index!$Z$1=1,"Contribuições de Segurança Social","Social security contributions")</f>
        <v>Contribuições de Segurança Social</v>
      </c>
      <c r="C17" s="5">
        <v>29311.648942479998</v>
      </c>
      <c r="D17" s="5">
        <v>52.820154989999992</v>
      </c>
      <c r="E17" s="5">
        <v>2900.0191544300005</v>
      </c>
      <c r="F17" s="5">
        <v>0</v>
      </c>
      <c r="G17" s="5">
        <v>18320.654412569998</v>
      </c>
      <c r="H17" s="5">
        <v>21273.493721989998</v>
      </c>
      <c r="I17" s="5">
        <v>58.085472330000002</v>
      </c>
      <c r="J17" s="5">
        <v>3117.9758469500002</v>
      </c>
      <c r="K17" s="5">
        <v>0</v>
      </c>
      <c r="L17" s="5">
        <v>20177.280456740002</v>
      </c>
      <c r="M17" s="5">
        <v>23353.341776020003</v>
      </c>
      <c r="N17" s="5">
        <v>30558.166512</v>
      </c>
    </row>
    <row r="18" spans="2:14" ht="14.1" customHeight="1">
      <c r="B18" s="150" t="str">
        <f>IF(Indice_index!$Z$1=1,"Transferências correntes","Current transfers")</f>
        <v>Transferências correntes</v>
      </c>
      <c r="C18" s="5">
        <f>+C19+C20</f>
        <v>2824.5138870310257</v>
      </c>
      <c r="D18" s="5">
        <f>+D19+D20</f>
        <v>661.87337264999996</v>
      </c>
      <c r="E18" s="5">
        <f t="shared" ref="E18:M18" si="2">+E19+E20</f>
        <v>18504.234000859997</v>
      </c>
      <c r="F18" s="5">
        <f t="shared" si="2"/>
        <v>3856.1027310732525</v>
      </c>
      <c r="G18" s="5">
        <f t="shared" si="2"/>
        <v>8342.3175617599991</v>
      </c>
      <c r="H18" s="5">
        <f t="shared" si="2"/>
        <v>1818.1444741932523</v>
      </c>
      <c r="I18" s="5">
        <f t="shared" si="2"/>
        <v>765.86059468999997</v>
      </c>
      <c r="J18" s="5">
        <f t="shared" si="2"/>
        <v>21368.285611459996</v>
      </c>
      <c r="K18" s="5">
        <f t="shared" si="2"/>
        <v>4545.7573235520931</v>
      </c>
      <c r="L18" s="5">
        <f t="shared" si="2"/>
        <v>9284.8373434999994</v>
      </c>
      <c r="M18" s="5">
        <f t="shared" si="2"/>
        <v>2044.3096888920929</v>
      </c>
      <c r="N18" s="5">
        <f>+N19+N20</f>
        <v>5283.5512782900259</v>
      </c>
    </row>
    <row r="19" spans="2:14" ht="14.1" customHeight="1">
      <c r="B19" s="210" t="str">
        <f>IF(Indice_index!$Z$1=1,"Administrações Públicas","General Government subsectors")</f>
        <v>Administrações Públicas</v>
      </c>
      <c r="C19" s="5">
        <v>0</v>
      </c>
      <c r="D19" s="5">
        <v>525.85260382999991</v>
      </c>
      <c r="E19" s="5">
        <v>17656.699154809998</v>
      </c>
      <c r="F19" s="5">
        <v>3701.0096518800005</v>
      </c>
      <c r="G19" s="5">
        <v>7662.8217816299984</v>
      </c>
      <c r="H19" s="5">
        <v>0</v>
      </c>
      <c r="I19" s="5">
        <v>575.31696871999998</v>
      </c>
      <c r="J19" s="5">
        <v>20347.004029869997</v>
      </c>
      <c r="K19" s="5">
        <v>4373.7377140899998</v>
      </c>
      <c r="L19" s="5">
        <v>8624.3724716300003</v>
      </c>
      <c r="M19" s="5">
        <v>0</v>
      </c>
      <c r="N19" s="5">
        <v>0</v>
      </c>
    </row>
    <row r="20" spans="2:14" ht="14.1" customHeight="1">
      <c r="B20" s="210" t="str">
        <f>IF(Indice_index!$Z$1=1,"Outras","Others")</f>
        <v>Outras</v>
      </c>
      <c r="C20" s="5">
        <v>2824.5138870310257</v>
      </c>
      <c r="D20" s="5">
        <v>136.02076882000006</v>
      </c>
      <c r="E20" s="5">
        <v>847.53484605000028</v>
      </c>
      <c r="F20" s="5">
        <v>155.09307919325187</v>
      </c>
      <c r="G20" s="5">
        <v>679.49578012999996</v>
      </c>
      <c r="H20" s="5">
        <v>1818.1444741932523</v>
      </c>
      <c r="I20" s="5">
        <v>190.54362597000005</v>
      </c>
      <c r="J20" s="5">
        <v>1021.2815815899999</v>
      </c>
      <c r="K20" s="5">
        <v>172.01960946209311</v>
      </c>
      <c r="L20" s="5">
        <v>660.46487187000002</v>
      </c>
      <c r="M20" s="5">
        <v>2044.3096888920929</v>
      </c>
      <c r="N20" s="5">
        <v>5283.5512782900259</v>
      </c>
    </row>
    <row r="21" spans="2:14" ht="14.1" customHeight="1">
      <c r="B21" s="150" t="str">
        <f>IF(Indice_index!$Z$1=1,"Outras receitas correntes","Other current revenue")</f>
        <v>Outras receitas correntes</v>
      </c>
      <c r="C21" s="5">
        <v>13381.709714981927</v>
      </c>
      <c r="D21" s="5">
        <v>2362.9696275600004</v>
      </c>
      <c r="E21" s="5">
        <v>4469.1476517799947</v>
      </c>
      <c r="F21" s="5">
        <v>1616.9653860045009</v>
      </c>
      <c r="G21" s="5">
        <v>601.02381766000008</v>
      </c>
      <c r="H21" s="5">
        <v>8672.8953173644968</v>
      </c>
      <c r="I21" s="5">
        <v>2957.3557494400002</v>
      </c>
      <c r="J21" s="5">
        <v>4849.0247375100043</v>
      </c>
      <c r="K21" s="5">
        <v>1821.3946067290562</v>
      </c>
      <c r="L21" s="5">
        <v>843.44080894000012</v>
      </c>
      <c r="M21" s="5">
        <v>10013.676705429061</v>
      </c>
      <c r="N21" s="5">
        <v>13605.051838401065</v>
      </c>
    </row>
    <row r="22" spans="2:14" ht="14.1" customHeight="1">
      <c r="B22" s="150" t="str">
        <f>IF(Indice_index!$Z$1=1,"Diferenças de consolidação","Consolidation differences")</f>
        <v>Diferenças de consolidação</v>
      </c>
      <c r="C22" s="5">
        <v>2.1718189999999981E-2</v>
      </c>
      <c r="D22" s="5">
        <v>8.3600000000006586E-6</v>
      </c>
      <c r="E22" s="5">
        <v>13.009987239992823</v>
      </c>
      <c r="F22" s="5">
        <v>11.535000590000209</v>
      </c>
      <c r="G22" s="5">
        <v>0</v>
      </c>
      <c r="H22" s="5">
        <v>37.562699639986889</v>
      </c>
      <c r="I22" s="5">
        <v>173.71597146000005</v>
      </c>
      <c r="J22" s="5">
        <v>40.532638329999308</v>
      </c>
      <c r="K22" s="5">
        <v>26.163343360000226</v>
      </c>
      <c r="L22" s="5">
        <v>0</v>
      </c>
      <c r="M22" s="5">
        <v>240.41195314999959</v>
      </c>
      <c r="N22" s="5">
        <v>102.22799399999971</v>
      </c>
    </row>
    <row r="23" spans="2:14" ht="14.1" customHeight="1">
      <c r="B23" s="212" t="str">
        <f>IF(Indice_index!$Z$1=1,"Receita de capital","Capital revenue")</f>
        <v>Receita de capital</v>
      </c>
      <c r="C23" s="161">
        <f>C24+C25+C28+C29</f>
        <v>6658.9167230880876</v>
      </c>
      <c r="D23" s="161">
        <f>D24+D25+D28+D29</f>
        <v>76.712371850000011</v>
      </c>
      <c r="E23" s="161">
        <f>E24+E25+E28+E29</f>
        <v>5640.9129872499998</v>
      </c>
      <c r="F23" s="161">
        <f t="shared" ref="F23:M23" si="3">F24+F25+F28+F29</f>
        <v>1134.4867388954322</v>
      </c>
      <c r="G23" s="161">
        <f t="shared" si="3"/>
        <v>0.35409668</v>
      </c>
      <c r="H23" s="161">
        <f t="shared" si="3"/>
        <v>5251.5424672654317</v>
      </c>
      <c r="I23" s="161">
        <f t="shared" si="3"/>
        <v>264.54558115999998</v>
      </c>
      <c r="J23" s="161">
        <f t="shared" si="3"/>
        <v>2872.00899811</v>
      </c>
      <c r="K23" s="161">
        <f t="shared" si="3"/>
        <v>1474.688328497532</v>
      </c>
      <c r="L23" s="161">
        <f t="shared" si="3"/>
        <v>0.65549791999999996</v>
      </c>
      <c r="M23" s="161">
        <f t="shared" si="3"/>
        <v>2535.486919697531</v>
      </c>
      <c r="N23" s="161">
        <f>N24+N25+N28+N29</f>
        <v>5939.6534608760912</v>
      </c>
    </row>
    <row r="24" spans="2:14" ht="14.1" customHeight="1">
      <c r="B24" s="150" t="str">
        <f>IF(Indice_index!$Z$1=1,"Venda de bens de investimento","Sale of investment goods")</f>
        <v>Venda de bens de investimento</v>
      </c>
      <c r="C24" s="5">
        <v>230.0112273856378</v>
      </c>
      <c r="D24" s="5">
        <v>6.54669436</v>
      </c>
      <c r="E24" s="5">
        <v>130.72082867</v>
      </c>
      <c r="F24" s="5">
        <v>47.207433022465636</v>
      </c>
      <c r="G24" s="5">
        <v>0.34012648000000001</v>
      </c>
      <c r="H24" s="5">
        <v>184.81508253246565</v>
      </c>
      <c r="I24" s="5">
        <v>3.0555873899999995</v>
      </c>
      <c r="J24" s="5">
        <v>56.991796039999997</v>
      </c>
      <c r="K24" s="5">
        <v>74.364687744880229</v>
      </c>
      <c r="L24" s="5">
        <v>0.64746895999999998</v>
      </c>
      <c r="M24" s="5">
        <v>135.05954013488022</v>
      </c>
      <c r="N24" s="5">
        <v>409.15057655097132</v>
      </c>
    </row>
    <row r="25" spans="2:14" ht="14.1" customHeight="1">
      <c r="B25" s="150" t="str">
        <f>IF(Indice_index!$Z$1=1,"Transferências de capital","Capital transfers")</f>
        <v>Transferências de capital</v>
      </c>
      <c r="C25" s="5">
        <f>+C26+C27</f>
        <v>6338.9480462423098</v>
      </c>
      <c r="D25" s="5">
        <f t="shared" ref="D25:N25" si="4">+D26+D27</f>
        <v>64.705039710000008</v>
      </c>
      <c r="E25" s="5">
        <f t="shared" si="4"/>
        <v>5487.4900094000004</v>
      </c>
      <c r="F25" s="5">
        <f t="shared" si="4"/>
        <v>1069.6956031528134</v>
      </c>
      <c r="G25" s="5">
        <f t="shared" si="4"/>
        <v>0</v>
      </c>
      <c r="H25" s="5">
        <f t="shared" si="4"/>
        <v>5020.9669248528135</v>
      </c>
      <c r="I25" s="5">
        <f t="shared" si="4"/>
        <v>119.96858281999999</v>
      </c>
      <c r="J25" s="5">
        <f t="shared" si="4"/>
        <v>2797.79735523</v>
      </c>
      <c r="K25" s="5">
        <f t="shared" si="4"/>
        <v>1382.6425990380262</v>
      </c>
      <c r="L25" s="5">
        <f t="shared" si="4"/>
        <v>0</v>
      </c>
      <c r="M25" s="5">
        <f t="shared" si="4"/>
        <v>2223.9970510980256</v>
      </c>
      <c r="N25" s="5">
        <f t="shared" si="4"/>
        <v>5353.5646582767204</v>
      </c>
    </row>
    <row r="26" spans="2:14" ht="14.1" customHeight="1">
      <c r="B26" s="210" t="str">
        <f>IF(Indice_index!$Z$1=1,"Administrações Públicas","General Government subsectors")</f>
        <v>Administrações Públicas</v>
      </c>
      <c r="C26" s="5">
        <v>0</v>
      </c>
      <c r="D26" s="5">
        <v>6.7839358199999999</v>
      </c>
      <c r="E26" s="5">
        <v>1060.7574856700001</v>
      </c>
      <c r="F26" s="5">
        <v>533.38230591999991</v>
      </c>
      <c r="G26" s="5">
        <v>0</v>
      </c>
      <c r="H26" s="5">
        <v>0</v>
      </c>
      <c r="I26" s="5">
        <v>21.033747090000002</v>
      </c>
      <c r="J26" s="5">
        <v>1273.5257047600001</v>
      </c>
      <c r="K26" s="5">
        <v>781.85203414</v>
      </c>
      <c r="L26" s="5">
        <v>0</v>
      </c>
      <c r="M26" s="5">
        <v>0</v>
      </c>
      <c r="N26" s="5">
        <v>0</v>
      </c>
    </row>
    <row r="27" spans="2:14" ht="14.1" customHeight="1">
      <c r="B27" s="210" t="str">
        <f>IF(Indice_index!$Z$1=1,"Outras","Others")</f>
        <v>Outras</v>
      </c>
      <c r="C27" s="5">
        <v>6338.9480462423098</v>
      </c>
      <c r="D27" s="5">
        <v>57.921103890000005</v>
      </c>
      <c r="E27" s="5">
        <v>4426.7325237300001</v>
      </c>
      <c r="F27" s="5">
        <v>536.3132972328134</v>
      </c>
      <c r="G27" s="5">
        <v>0</v>
      </c>
      <c r="H27" s="5">
        <v>5020.9669248528135</v>
      </c>
      <c r="I27" s="5">
        <v>98.934835729999989</v>
      </c>
      <c r="J27" s="5">
        <v>1524.2716504699997</v>
      </c>
      <c r="K27" s="5">
        <v>600.7905648980261</v>
      </c>
      <c r="L27" s="5">
        <v>0</v>
      </c>
      <c r="M27" s="5">
        <v>2223.9970510980256</v>
      </c>
      <c r="N27" s="5">
        <v>5353.5646582767204</v>
      </c>
    </row>
    <row r="28" spans="2:14" ht="14.1" customHeight="1">
      <c r="B28" s="150" t="str">
        <f>IF(Indice_index!$Z$1=1,"Outras receitas de capital","Other capital revenue")</f>
        <v>Outras receitas de capital</v>
      </c>
      <c r="C28" s="5">
        <v>89.957449460140026</v>
      </c>
      <c r="D28" s="5">
        <v>5.4606377799999999</v>
      </c>
      <c r="E28" s="5">
        <v>22.702149179999999</v>
      </c>
      <c r="F28" s="5">
        <v>17.519358670152997</v>
      </c>
      <c r="G28" s="5">
        <v>1.39702E-2</v>
      </c>
      <c r="H28" s="5">
        <v>45.696115830152991</v>
      </c>
      <c r="I28" s="5">
        <v>141.52141095000002</v>
      </c>
      <c r="J28" s="5">
        <v>17.219846839999995</v>
      </c>
      <c r="K28" s="5">
        <v>16.546193984625408</v>
      </c>
      <c r="L28" s="5">
        <v>8.0289599999999999E-3</v>
      </c>
      <c r="M28" s="5">
        <v>175.29548073462541</v>
      </c>
      <c r="N28" s="5">
        <v>64.17235904840102</v>
      </c>
    </row>
    <row r="29" spans="2:14" ht="14.1" customHeight="1">
      <c r="B29" s="150" t="str">
        <f>IF(Indice_index!$Z$1=1,"Diferenças de consolidação","Consolidation differences")</f>
        <v>Diferenças de consolidação</v>
      </c>
      <c r="C29" s="5">
        <v>0</v>
      </c>
      <c r="D29" s="5">
        <v>0</v>
      </c>
      <c r="E29" s="5">
        <v>0</v>
      </c>
      <c r="F29" s="5">
        <v>6.4344050000002539E-2</v>
      </c>
      <c r="G29" s="5">
        <v>0</v>
      </c>
      <c r="H29" s="5">
        <v>6.4344050000002539E-2</v>
      </c>
      <c r="I29" s="5">
        <v>0</v>
      </c>
      <c r="J29" s="5">
        <v>0</v>
      </c>
      <c r="K29" s="5">
        <v>1.1348477300000042</v>
      </c>
      <c r="L29" s="5">
        <v>0</v>
      </c>
      <c r="M29" s="5">
        <v>1.1348477300000042</v>
      </c>
      <c r="N29" s="5">
        <v>112.76586699999939</v>
      </c>
    </row>
    <row r="30" spans="2:14" ht="14.1" customHeight="1">
      <c r="B30" s="18" t="str">
        <f>IF(Indice_index!$Z$1=1,"Receita efetiva","Effective revenue")</f>
        <v>Receita efetiva</v>
      </c>
      <c r="C30" s="19">
        <f t="shared" ref="C30:N30" si="5">C13+C23</f>
        <v>118055.03941091448</v>
      </c>
      <c r="D30" s="19">
        <f t="shared" si="5"/>
        <v>46236.422316580007</v>
      </c>
      <c r="E30" s="19">
        <f t="shared" si="5"/>
        <v>32033.430447579987</v>
      </c>
      <c r="F30" s="19">
        <f t="shared" si="5"/>
        <v>10955.288360454657</v>
      </c>
      <c r="G30" s="19">
        <f t="shared" si="5"/>
        <v>27438.688809099996</v>
      </c>
      <c r="H30" s="19">
        <f t="shared" si="5"/>
        <v>85152.329551964649</v>
      </c>
      <c r="I30" s="19">
        <f t="shared" si="5"/>
        <v>49591.995532289999</v>
      </c>
      <c r="J30" s="19">
        <f t="shared" si="5"/>
        <v>32832.165696789998</v>
      </c>
      <c r="K30" s="19">
        <f t="shared" si="5"/>
        <v>12407.207197293263</v>
      </c>
      <c r="L30" s="19">
        <f t="shared" si="5"/>
        <v>30476.132796329999</v>
      </c>
      <c r="M30" s="19">
        <f t="shared" si="5"/>
        <v>88853.11935521329</v>
      </c>
      <c r="N30" s="19">
        <f t="shared" si="5"/>
        <v>122755.21835569887</v>
      </c>
    </row>
    <row r="31" spans="2:14" ht="14.1" customHeight="1">
      <c r="B31" s="212" t="str">
        <f>IF(Indice_index!$Z$1=1,"Despesa corrente","Current expenditure")</f>
        <v>Despesa corrente</v>
      </c>
      <c r="C31" s="161">
        <f t="shared" ref="C31:N31" si="6">C32+C36+C37+C38+C41+C42+C43</f>
        <v>100768.807921157</v>
      </c>
      <c r="D31" s="161">
        <f t="shared" si="6"/>
        <v>42762.477122699995</v>
      </c>
      <c r="E31" s="161">
        <f t="shared" si="6"/>
        <v>24400.668837689987</v>
      </c>
      <c r="F31" s="161">
        <f t="shared" si="6"/>
        <v>8182.1062623636199</v>
      </c>
      <c r="G31" s="161">
        <f t="shared" si="6"/>
        <v>23501.3292573</v>
      </c>
      <c r="H31" s="161">
        <f t="shared" si="6"/>
        <v>68936.004825713608</v>
      </c>
      <c r="I31" s="161">
        <f t="shared" si="6"/>
        <v>48404.502808869991</v>
      </c>
      <c r="J31" s="161">
        <f t="shared" si="6"/>
        <v>27449.341245859996</v>
      </c>
      <c r="K31" s="161">
        <f t="shared" si="6"/>
        <v>9146.5823236119631</v>
      </c>
      <c r="L31" s="161">
        <f t="shared" si="6"/>
        <v>26062.394221620005</v>
      </c>
      <c r="M31" s="161">
        <f t="shared" si="6"/>
        <v>76684.850218461987</v>
      </c>
      <c r="N31" s="161">
        <f t="shared" si="6"/>
        <v>110392.58562388389</v>
      </c>
    </row>
    <row r="32" spans="2:14" ht="14.1" customHeight="1">
      <c r="B32" s="150" t="str">
        <f>IF(Indice_index!$Z$1=1,"Despesas com o pessoal","Compensation of employees")</f>
        <v>Despesas com o pessoal</v>
      </c>
      <c r="C32" s="5">
        <f>C33+C34+C35</f>
        <v>26177.665858350621</v>
      </c>
      <c r="D32" s="5">
        <f>D33+D34+D35</f>
        <v>7624.8893466899972</v>
      </c>
      <c r="E32" s="5">
        <f>E33+E34+E35</f>
        <v>6834.4581878899971</v>
      </c>
      <c r="F32" s="5">
        <f t="shared" ref="F32:M32" si="7">F33+F34+F35</f>
        <v>3967.7392385519906</v>
      </c>
      <c r="G32" s="5">
        <f t="shared" si="7"/>
        <v>228.75785070000001</v>
      </c>
      <c r="H32" s="5">
        <f t="shared" si="7"/>
        <v>18655.844623831985</v>
      </c>
      <c r="I32" s="5">
        <f t="shared" si="7"/>
        <v>8043.7860581900004</v>
      </c>
      <c r="J32" s="5">
        <f t="shared" si="7"/>
        <v>7560.5791754799993</v>
      </c>
      <c r="K32" s="5">
        <f t="shared" si="7"/>
        <v>4274.7970816591187</v>
      </c>
      <c r="L32" s="5">
        <f t="shared" si="7"/>
        <v>247.94424283000001</v>
      </c>
      <c r="M32" s="5">
        <f t="shared" si="7"/>
        <v>20127.106558159117</v>
      </c>
      <c r="N32" s="5">
        <f>N33+N34+N35</f>
        <v>27606.269119505316</v>
      </c>
    </row>
    <row r="33" spans="2:14" ht="14.1" customHeight="1">
      <c r="B33" s="210" t="str">
        <f>IF(Indice_index!$Z$1=1,"Remunerações certas e permanentes","Certain and permanent wages")</f>
        <v>Remunerações certas e permanentes</v>
      </c>
      <c r="C33" s="5">
        <v>18776.233438809351</v>
      </c>
      <c r="D33" s="5">
        <v>5486.253679899999</v>
      </c>
      <c r="E33" s="5">
        <v>4724.2333087299985</v>
      </c>
      <c r="F33" s="5">
        <v>2977.6954687309467</v>
      </c>
      <c r="G33" s="5">
        <v>183.78001807999999</v>
      </c>
      <c r="H33" s="5">
        <v>13371.962475440943</v>
      </c>
      <c r="I33" s="5">
        <v>5780.2008401500007</v>
      </c>
      <c r="J33" s="5">
        <v>5266.3082094000001</v>
      </c>
      <c r="K33" s="5">
        <v>3240.2155734229459</v>
      </c>
      <c r="L33" s="5">
        <v>198.83684092999999</v>
      </c>
      <c r="M33" s="5">
        <v>14485.561463902946</v>
      </c>
      <c r="N33" s="5">
        <v>20117.070131973742</v>
      </c>
    </row>
    <row r="34" spans="2:14" ht="14.1" customHeight="1">
      <c r="B34" s="210" t="str">
        <f>IF(Indice_index!$Z$1=1,"Abonos variáveis ou eventuais","Variable or contingent bonuses")</f>
        <v>Abonos variáveis ou eventuais</v>
      </c>
      <c r="C34" s="5">
        <v>1857.245173692349</v>
      </c>
      <c r="D34" s="5">
        <v>319.39272</v>
      </c>
      <c r="E34" s="5">
        <v>826.67296382999984</v>
      </c>
      <c r="F34" s="5">
        <v>209.21625209750411</v>
      </c>
      <c r="G34" s="5">
        <v>3.7671811499999999</v>
      </c>
      <c r="H34" s="5">
        <v>1359.049117077504</v>
      </c>
      <c r="I34" s="5">
        <v>341.96898300999999</v>
      </c>
      <c r="J34" s="5">
        <v>892.05628013</v>
      </c>
      <c r="K34" s="5">
        <v>249.1628826407721</v>
      </c>
      <c r="L34" s="5">
        <v>5.2050149299999999</v>
      </c>
      <c r="M34" s="5">
        <v>1488.393160710772</v>
      </c>
      <c r="N34" s="5">
        <v>1852.3265209367505</v>
      </c>
    </row>
    <row r="35" spans="2:14" ht="14.1" customHeight="1">
      <c r="B35" s="210" t="str">
        <f>IF(Indice_index!$Z$1=1,"Segurança Social","Social security")</f>
        <v>Segurança Social</v>
      </c>
      <c r="C35" s="5">
        <v>5544.1872458489206</v>
      </c>
      <c r="D35" s="5">
        <v>1819.2429467899979</v>
      </c>
      <c r="E35" s="5">
        <v>1283.5519153299997</v>
      </c>
      <c r="F35" s="5">
        <v>780.82751772354004</v>
      </c>
      <c r="G35" s="5">
        <v>41.210651470000002</v>
      </c>
      <c r="H35" s="5">
        <v>3924.8330313135375</v>
      </c>
      <c r="I35" s="5">
        <v>1921.6162350299996</v>
      </c>
      <c r="J35" s="5">
        <v>1402.214685949999</v>
      </c>
      <c r="K35" s="5">
        <v>785.41862559540095</v>
      </c>
      <c r="L35" s="5">
        <v>43.902386970000002</v>
      </c>
      <c r="M35" s="5">
        <v>4153.1519335453995</v>
      </c>
      <c r="N35" s="5">
        <v>5636.8724665948257</v>
      </c>
    </row>
    <row r="36" spans="2:14" ht="14.1" customHeight="1">
      <c r="B36" s="150" t="str">
        <f>IF(Indice_index!$Z$1=1,"Aquisição de bens e serviços","Purchase of goods and services")</f>
        <v>Aquisição de bens e serviços</v>
      </c>
      <c r="C36" s="5">
        <v>17343.706121536638</v>
      </c>
      <c r="D36" s="5">
        <v>939.7276700299999</v>
      </c>
      <c r="E36" s="5">
        <v>6993.0727761399885</v>
      </c>
      <c r="F36" s="5">
        <v>2702.8451298950922</v>
      </c>
      <c r="G36" s="5">
        <v>55.540717260000001</v>
      </c>
      <c r="H36" s="5">
        <v>10690.542574865081</v>
      </c>
      <c r="I36" s="5">
        <v>1155.3316225899998</v>
      </c>
      <c r="J36" s="5">
        <v>7512.8856634399945</v>
      </c>
      <c r="K36" s="5">
        <v>3112.292435890964</v>
      </c>
      <c r="L36" s="5">
        <v>62.472549270000002</v>
      </c>
      <c r="M36" s="5">
        <v>11842.199851510961</v>
      </c>
      <c r="N36" s="5">
        <v>19091.437114366567</v>
      </c>
    </row>
    <row r="37" spans="2:14" ht="14.1" customHeight="1">
      <c r="B37" s="150" t="str">
        <f>IF(Indice_index!$Z$1=1,"Juros e outros encargos","Interests and other charges")</f>
        <v>Juros e outros encargos</v>
      </c>
      <c r="C37" s="5">
        <v>6736.7605862957844</v>
      </c>
      <c r="D37" s="5">
        <v>4361.6617934400001</v>
      </c>
      <c r="E37" s="5">
        <v>116.04054592</v>
      </c>
      <c r="F37" s="5">
        <v>187.33566397204061</v>
      </c>
      <c r="G37" s="5">
        <v>4.8043320400000002</v>
      </c>
      <c r="H37" s="5">
        <v>4564.2890342220408</v>
      </c>
      <c r="I37" s="5">
        <v>4986.1744089899994</v>
      </c>
      <c r="J37" s="5">
        <v>167.22217661999997</v>
      </c>
      <c r="K37" s="5">
        <v>225.78132140021373</v>
      </c>
      <c r="L37" s="5">
        <v>5.4025475500000004</v>
      </c>
      <c r="M37" s="5">
        <v>5050.0575165602131</v>
      </c>
      <c r="N37" s="5">
        <v>7368.2883428855293</v>
      </c>
    </row>
    <row r="38" spans="2:14" ht="14.1" customHeight="1">
      <c r="B38" s="150" t="str">
        <f>IF(Indice_index!$Z$1=1,"Transferências correntes","Current transfers")</f>
        <v>Transferências correntes</v>
      </c>
      <c r="C38" s="5">
        <f>+C39+C40</f>
        <v>47307.806328656203</v>
      </c>
      <c r="D38" s="5">
        <f t="shared" ref="D38:N38" si="8">+D39+D40</f>
        <v>29736.322568299998</v>
      </c>
      <c r="E38" s="5">
        <f t="shared" si="8"/>
        <v>9642.5618262100015</v>
      </c>
      <c r="F38" s="5">
        <f t="shared" si="8"/>
        <v>838.17585278689501</v>
      </c>
      <c r="G38" s="5">
        <f t="shared" si="8"/>
        <v>22595.864387819998</v>
      </c>
      <c r="H38" s="5">
        <f t="shared" si="8"/>
        <v>33232.283688486896</v>
      </c>
      <c r="I38" s="5">
        <f t="shared" si="8"/>
        <v>33963.26217278</v>
      </c>
      <c r="J38" s="5">
        <f t="shared" si="8"/>
        <v>11352.553901800002</v>
      </c>
      <c r="K38" s="5">
        <f t="shared" si="8"/>
        <v>866.02066640699866</v>
      </c>
      <c r="L38" s="5">
        <f t="shared" si="8"/>
        <v>25334.080437450004</v>
      </c>
      <c r="M38" s="5">
        <f t="shared" si="8"/>
        <v>37527.128531277005</v>
      </c>
      <c r="N38" s="5">
        <f t="shared" si="8"/>
        <v>50851.029986491616</v>
      </c>
    </row>
    <row r="39" spans="2:14" ht="14.1" customHeight="1">
      <c r="B39" s="210" t="str">
        <f>IF(Indice_index!$Z$1=1,"Administrações Públicas","General Government subsectors")</f>
        <v>Administrações Públicas</v>
      </c>
      <c r="C39" s="5">
        <v>0</v>
      </c>
      <c r="D39" s="5">
        <v>27349.798758079996</v>
      </c>
      <c r="E39" s="5">
        <v>793.95020152999996</v>
      </c>
      <c r="F39" s="5">
        <v>117.29540025999999</v>
      </c>
      <c r="G39" s="5">
        <v>1319.5965867599998</v>
      </c>
      <c r="H39" s="5">
        <v>0</v>
      </c>
      <c r="I39" s="5">
        <v>31086.794265570003</v>
      </c>
      <c r="J39" s="5">
        <v>1201.5345704400002</v>
      </c>
      <c r="K39" s="5">
        <v>108.9048626</v>
      </c>
      <c r="L39" s="5">
        <v>1591.5549485500001</v>
      </c>
      <c r="M39" s="5">
        <v>0</v>
      </c>
      <c r="N39" s="5">
        <v>0</v>
      </c>
    </row>
    <row r="40" spans="2:14" ht="14.1" customHeight="1">
      <c r="B40" s="210" t="str">
        <f>IF(Indice_index!$Z$1=1,"Outras","Others")</f>
        <v>Outras</v>
      </c>
      <c r="C40" s="5">
        <v>47307.806328656203</v>
      </c>
      <c r="D40" s="5">
        <v>2386.5238102200001</v>
      </c>
      <c r="E40" s="5">
        <v>8848.6116246800011</v>
      </c>
      <c r="F40" s="5">
        <v>720.88045252689506</v>
      </c>
      <c r="G40" s="5">
        <v>21276.267801059999</v>
      </c>
      <c r="H40" s="5">
        <v>33232.283688486896</v>
      </c>
      <c r="I40" s="5">
        <v>2876.4679072100007</v>
      </c>
      <c r="J40" s="5">
        <v>10151.019331360001</v>
      </c>
      <c r="K40" s="5">
        <v>757.11580380699866</v>
      </c>
      <c r="L40" s="5">
        <v>23742.525488900003</v>
      </c>
      <c r="M40" s="5">
        <v>37527.128531277005</v>
      </c>
      <c r="N40" s="5">
        <v>50851.029986491616</v>
      </c>
    </row>
    <row r="41" spans="2:14" ht="14.1" customHeight="1">
      <c r="B41" s="150" t="str">
        <f>IF(Indice_index!$Z$1=1,"Subsídios","Subsidies")</f>
        <v>Subsídios</v>
      </c>
      <c r="C41" s="5">
        <v>1982.825181670217</v>
      </c>
      <c r="D41" s="5">
        <v>51.556262789999998</v>
      </c>
      <c r="E41" s="5">
        <v>578.09387239000012</v>
      </c>
      <c r="F41" s="5">
        <v>384.11447306157851</v>
      </c>
      <c r="G41" s="5">
        <v>610.97177685999998</v>
      </c>
      <c r="H41" s="5">
        <v>1400.9976970015784</v>
      </c>
      <c r="I41" s="5">
        <v>170.52653848999998</v>
      </c>
      <c r="J41" s="5">
        <v>518.06512657999997</v>
      </c>
      <c r="K41" s="5">
        <v>526.55901709562647</v>
      </c>
      <c r="L41" s="5">
        <v>405.33850921999999</v>
      </c>
      <c r="M41" s="5">
        <v>1293.4306960156264</v>
      </c>
      <c r="N41" s="5">
        <v>2827.0454459291959</v>
      </c>
    </row>
    <row r="42" spans="2:14" ht="14.1" customHeight="1">
      <c r="B42" s="150" t="str">
        <f>IF(Indice_index!$Z$1=1,"Outras despesas correntes","Other current expenditures")</f>
        <v>Outras despesas correntes</v>
      </c>
      <c r="C42" s="5">
        <v>821.48370484751695</v>
      </c>
      <c r="D42" s="5">
        <v>45.377771919999979</v>
      </c>
      <c r="E42" s="5">
        <v>200.51902126999997</v>
      </c>
      <c r="F42" s="5">
        <v>101.89588517602289</v>
      </c>
      <c r="G42" s="5">
        <v>5.3901926199999997</v>
      </c>
      <c r="H42" s="5">
        <v>353.18287098602281</v>
      </c>
      <c r="I42" s="5">
        <v>85.33415176000004</v>
      </c>
      <c r="J42" s="5">
        <v>338.03520193999992</v>
      </c>
      <c r="K42" s="5">
        <v>141.12747819904322</v>
      </c>
      <c r="L42" s="5">
        <v>7.1559353000000003</v>
      </c>
      <c r="M42" s="5">
        <v>571.6527671990433</v>
      </c>
      <c r="N42" s="5">
        <v>2621.460526705675</v>
      </c>
    </row>
    <row r="43" spans="2:14" ht="14.1" customHeight="1">
      <c r="B43" s="150" t="str">
        <f>IF(Indice_index!$Z$1=1,"Diferenças de consolidação","Consolidation differences")</f>
        <v>Diferenças de consolidação</v>
      </c>
      <c r="C43" s="5">
        <v>398.5601398000112</v>
      </c>
      <c r="D43" s="5">
        <v>2.9417095299999971</v>
      </c>
      <c r="E43" s="5">
        <v>35.922607869999865</v>
      </c>
      <c r="F43" s="5">
        <v>1.8920000000000002E-5</v>
      </c>
      <c r="G43" s="5">
        <v>0</v>
      </c>
      <c r="H43" s="5">
        <v>38.864336319999865</v>
      </c>
      <c r="I43" s="5">
        <v>8.7856070000000036E-2</v>
      </c>
      <c r="J43" s="5">
        <v>0</v>
      </c>
      <c r="K43" s="5">
        <v>4.3229599999999998E-3</v>
      </c>
      <c r="L43" s="5">
        <v>0</v>
      </c>
      <c r="M43" s="5">
        <v>273.27429774001405</v>
      </c>
      <c r="N43" s="5">
        <v>27.055088000000069</v>
      </c>
    </row>
    <row r="44" spans="2:14" ht="14.1" customHeight="1">
      <c r="B44" s="212" t="str">
        <f>IF(Indice_index!$Z$1=1,"Despesa de capital","Capital expenditure")</f>
        <v>Despesa de capital</v>
      </c>
      <c r="C44" s="161">
        <f t="shared" ref="C44:N44" si="9">C45+C46+C49+C50</f>
        <v>9699.4134836107314</v>
      </c>
      <c r="D44" s="161">
        <f t="shared" si="9"/>
        <v>1769.8395496900002</v>
      </c>
      <c r="E44" s="161">
        <f t="shared" si="9"/>
        <v>3475.8041890599998</v>
      </c>
      <c r="F44" s="161">
        <f t="shared" si="9"/>
        <v>2187.6077014092234</v>
      </c>
      <c r="G44" s="161">
        <f t="shared" si="9"/>
        <v>51.296196260000002</v>
      </c>
      <c r="H44" s="161">
        <f t="shared" si="9"/>
        <v>5883.6239090092231</v>
      </c>
      <c r="I44" s="161">
        <f t="shared" si="9"/>
        <v>2676.0563084700002</v>
      </c>
      <c r="J44" s="161">
        <f t="shared" si="9"/>
        <v>3499.6210150299994</v>
      </c>
      <c r="K44" s="161">
        <f t="shared" si="9"/>
        <v>2258.4344880337871</v>
      </c>
      <c r="L44" s="161">
        <f t="shared" si="9"/>
        <v>105.40301721</v>
      </c>
      <c r="M44" s="161">
        <f t="shared" si="9"/>
        <v>6463.1033427537859</v>
      </c>
      <c r="N44" s="161">
        <f t="shared" si="9"/>
        <v>13991.733183900085</v>
      </c>
    </row>
    <row r="45" spans="2:14" ht="14.1" customHeight="1">
      <c r="B45" s="150" t="str">
        <f>IF(Indice_index!$Z$1=1,"Investimentos","Investments")</f>
        <v>Investimentos</v>
      </c>
      <c r="C45" s="5">
        <v>7386.0840393418939</v>
      </c>
      <c r="D45" s="5">
        <v>218.64120877999997</v>
      </c>
      <c r="E45" s="5">
        <v>2246.4568807800001</v>
      </c>
      <c r="F45" s="5">
        <v>1878.1522768264356</v>
      </c>
      <c r="G45" s="5">
        <v>27.851989110000002</v>
      </c>
      <c r="H45" s="5">
        <v>4371.1023554964349</v>
      </c>
      <c r="I45" s="5">
        <v>376.77046168999999</v>
      </c>
      <c r="J45" s="5">
        <v>2198.9208369399998</v>
      </c>
      <c r="K45" s="5">
        <v>1919.2311732926557</v>
      </c>
      <c r="L45" s="5">
        <v>39.495837649999999</v>
      </c>
      <c r="M45" s="5">
        <v>4534.4183095726548</v>
      </c>
      <c r="N45" s="5">
        <v>11180.328397544581</v>
      </c>
    </row>
    <row r="46" spans="2:14" ht="14.1" customHeight="1">
      <c r="B46" s="150" t="str">
        <f>IF(Indice_index!$Z$1=1,"Transferências de capital","Capital transfers")</f>
        <v>Transferências de capital</v>
      </c>
      <c r="C46" s="5">
        <f>+C47+C48</f>
        <v>1870.2005030240687</v>
      </c>
      <c r="D46" s="5">
        <f t="shared" ref="D46:N46" si="10">+D47+D48</f>
        <v>1548.4677492100002</v>
      </c>
      <c r="E46" s="5">
        <f t="shared" si="10"/>
        <v>1043.7282781499998</v>
      </c>
      <c r="F46" s="5">
        <f t="shared" si="10"/>
        <v>299.81012794248153</v>
      </c>
      <c r="G46" s="5">
        <f t="shared" si="10"/>
        <v>23.444207149999997</v>
      </c>
      <c r="H46" s="5">
        <f t="shared" si="10"/>
        <v>1263.3181405824816</v>
      </c>
      <c r="I46" s="5">
        <f t="shared" si="10"/>
        <v>2296.0268791500002</v>
      </c>
      <c r="J46" s="5">
        <f t="shared" si="10"/>
        <v>1123.7951069199999</v>
      </c>
      <c r="K46" s="5">
        <f t="shared" si="10"/>
        <v>316.44125202838029</v>
      </c>
      <c r="L46" s="5">
        <f t="shared" si="10"/>
        <v>65.907179560000003</v>
      </c>
      <c r="M46" s="5">
        <f t="shared" si="10"/>
        <v>1267.7246750383802</v>
      </c>
      <c r="N46" s="5">
        <f t="shared" si="10"/>
        <v>2533.5543116468098</v>
      </c>
    </row>
    <row r="47" spans="2:14" ht="14.1" customHeight="1">
      <c r="B47" s="210" t="str">
        <f>IF(Indice_index!$Z$1=1,"Administrações Públicas","General Government subsectors")</f>
        <v>Administrações Públicas</v>
      </c>
      <c r="C47" s="5">
        <v>0</v>
      </c>
      <c r="D47" s="5">
        <v>1512.4759749500001</v>
      </c>
      <c r="E47" s="5">
        <v>130.08105457999997</v>
      </c>
      <c r="F47" s="5">
        <v>9.5751923399999974</v>
      </c>
      <c r="G47" s="5">
        <v>0</v>
      </c>
      <c r="H47" s="5">
        <v>0</v>
      </c>
      <c r="I47" s="5">
        <v>2263.6136451100001</v>
      </c>
      <c r="J47" s="5">
        <v>263.42550344</v>
      </c>
      <c r="K47" s="5">
        <v>7.4065940699999997</v>
      </c>
      <c r="L47" s="5">
        <v>0</v>
      </c>
      <c r="M47" s="5">
        <v>0</v>
      </c>
      <c r="N47" s="5">
        <v>0</v>
      </c>
    </row>
    <row r="48" spans="2:14" ht="14.1" customHeight="1">
      <c r="B48" s="210" t="str">
        <f>IF(Indice_index!$Z$1=1,"Outras","Others")</f>
        <v>Outras</v>
      </c>
      <c r="C48" s="5">
        <v>1870.2005030240687</v>
      </c>
      <c r="D48" s="5">
        <v>35.99177426</v>
      </c>
      <c r="E48" s="5">
        <v>913.64722356999982</v>
      </c>
      <c r="F48" s="5">
        <v>290.23493560248153</v>
      </c>
      <c r="G48" s="5">
        <v>23.444207149999997</v>
      </c>
      <c r="H48" s="5">
        <v>1263.3181405824816</v>
      </c>
      <c r="I48" s="5">
        <v>32.413234040000006</v>
      </c>
      <c r="J48" s="5">
        <v>860.36960347999991</v>
      </c>
      <c r="K48" s="5">
        <v>309.03465795838031</v>
      </c>
      <c r="L48" s="5">
        <v>65.907179560000003</v>
      </c>
      <c r="M48" s="5">
        <v>1267.7246750383802</v>
      </c>
      <c r="N48" s="5">
        <v>2533.5543116468098</v>
      </c>
    </row>
    <row r="49" spans="2:14" ht="14.1" customHeight="1">
      <c r="B49" s="150" t="str">
        <f>IF(Indice_index!$Z$1=1,"Outras despesas de capital","Other capital expenditures")</f>
        <v>Outras despesas de capital</v>
      </c>
      <c r="C49" s="5">
        <v>313.5492897847696</v>
      </c>
      <c r="D49" s="5">
        <v>0.92638989999999999</v>
      </c>
      <c r="E49" s="5">
        <v>160.01362170999997</v>
      </c>
      <c r="F49" s="5">
        <v>9.6452966403064497</v>
      </c>
      <c r="G49" s="5">
        <v>0</v>
      </c>
      <c r="H49" s="5">
        <v>170.58530825030641</v>
      </c>
      <c r="I49" s="5">
        <v>1.3809637100000001</v>
      </c>
      <c r="J49" s="5">
        <v>134.26415324000001</v>
      </c>
      <c r="K49" s="5">
        <v>22.762062712751117</v>
      </c>
      <c r="L49" s="5">
        <v>0</v>
      </c>
      <c r="M49" s="5">
        <v>158.40717966275113</v>
      </c>
      <c r="N49" s="5">
        <v>277.85047470869313</v>
      </c>
    </row>
    <row r="50" spans="2:14" ht="14.1" customHeight="1">
      <c r="B50" s="150" t="str">
        <f>IF(Indice_index!$Z$1=1,"Diferenças de consolidação","Consolidation differences")</f>
        <v>Diferenças de consolidação</v>
      </c>
      <c r="C50" s="5">
        <v>129.57965146000015</v>
      </c>
      <c r="D50" s="5">
        <v>1.8042018000000013</v>
      </c>
      <c r="E50" s="5">
        <v>25.60540841999989</v>
      </c>
      <c r="F50" s="5">
        <v>0</v>
      </c>
      <c r="G50" s="5">
        <v>0</v>
      </c>
      <c r="H50" s="5">
        <v>78.618104680000002</v>
      </c>
      <c r="I50" s="5">
        <v>1.8780039199999976</v>
      </c>
      <c r="J50" s="5">
        <v>42.640917929999887</v>
      </c>
      <c r="K50" s="5">
        <v>0</v>
      </c>
      <c r="L50" s="5">
        <v>0</v>
      </c>
      <c r="M50" s="5">
        <v>502.55317847999947</v>
      </c>
      <c r="N50" s="5">
        <v>0</v>
      </c>
    </row>
    <row r="51" spans="2:14" ht="14.1" customHeight="1">
      <c r="B51" s="18" t="str">
        <f>IF(Indice_index!$Z$1=1,"Despesa efetiva","Effective expenditure")</f>
        <v>Despesa efetiva</v>
      </c>
      <c r="C51" s="19">
        <f t="shared" ref="C51:N51" si="11">C31+C44</f>
        <v>110468.22140476773</v>
      </c>
      <c r="D51" s="19">
        <f t="shared" si="11"/>
        <v>44532.316672389992</v>
      </c>
      <c r="E51" s="19">
        <f t="shared" si="11"/>
        <v>27876.473026749987</v>
      </c>
      <c r="F51" s="19">
        <f t="shared" si="11"/>
        <v>10369.713963772843</v>
      </c>
      <c r="G51" s="19">
        <f t="shared" si="11"/>
        <v>23552.625453559998</v>
      </c>
      <c r="H51" s="19">
        <f t="shared" si="11"/>
        <v>74819.628734722835</v>
      </c>
      <c r="I51" s="19">
        <f t="shared" si="11"/>
        <v>51080.559117339988</v>
      </c>
      <c r="J51" s="19">
        <f t="shared" si="11"/>
        <v>30948.962260889995</v>
      </c>
      <c r="K51" s="19">
        <f t="shared" si="11"/>
        <v>11405.01681164575</v>
      </c>
      <c r="L51" s="19">
        <f t="shared" si="11"/>
        <v>26167.797238830004</v>
      </c>
      <c r="M51" s="19">
        <f t="shared" si="11"/>
        <v>83147.953561215778</v>
      </c>
      <c r="N51" s="19">
        <f t="shared" si="11"/>
        <v>124384.31880778397</v>
      </c>
    </row>
    <row r="52" spans="2:14" ht="14.1" customHeight="1">
      <c r="B52" s="18" t="str">
        <f>IF(Indice_index!$Z$1=1,"Saldo global","Overall balance")</f>
        <v>Saldo global</v>
      </c>
      <c r="C52" s="19">
        <f t="shared" ref="C52:N52" si="12">+C30-C51</f>
        <v>7586.8180061467574</v>
      </c>
      <c r="D52" s="19">
        <f t="shared" si="12"/>
        <v>1704.1056441900146</v>
      </c>
      <c r="E52" s="19">
        <f t="shared" si="12"/>
        <v>4156.95742083</v>
      </c>
      <c r="F52" s="19">
        <f t="shared" si="12"/>
        <v>585.5743966818136</v>
      </c>
      <c r="G52" s="19">
        <f t="shared" si="12"/>
        <v>3886.0633555399982</v>
      </c>
      <c r="H52" s="19">
        <f t="shared" si="12"/>
        <v>10332.700817241814</v>
      </c>
      <c r="I52" s="19">
        <f t="shared" si="12"/>
        <v>-1488.5635850499893</v>
      </c>
      <c r="J52" s="19">
        <f t="shared" si="12"/>
        <v>1883.2034359000027</v>
      </c>
      <c r="K52" s="19">
        <f t="shared" si="12"/>
        <v>1002.1903856475128</v>
      </c>
      <c r="L52" s="19">
        <f t="shared" si="12"/>
        <v>4308.335557499995</v>
      </c>
      <c r="M52" s="19">
        <f t="shared" si="12"/>
        <v>5705.1657939975121</v>
      </c>
      <c r="N52" s="19">
        <f t="shared" si="12"/>
        <v>-1629.1004520850984</v>
      </c>
    </row>
    <row r="53" spans="2:14" ht="14.1" customHeight="1">
      <c r="B53" s="150" t="str">
        <f>IF(Indice_index!$Z$1=1,"Despesa primária","Primary expenditure")</f>
        <v>Despesa primária</v>
      </c>
      <c r="C53" s="5">
        <f t="shared" ref="C53:N53" si="13">C51-C37</f>
        <v>103731.46081847194</v>
      </c>
      <c r="D53" s="5">
        <f t="shared" si="13"/>
        <v>40170.654878949994</v>
      </c>
      <c r="E53" s="5">
        <f t="shared" si="13"/>
        <v>27760.432480829986</v>
      </c>
      <c r="F53" s="5">
        <f t="shared" si="13"/>
        <v>10182.378299800803</v>
      </c>
      <c r="G53" s="5">
        <f t="shared" si="13"/>
        <v>23547.821121519999</v>
      </c>
      <c r="H53" s="5">
        <f t="shared" si="13"/>
        <v>70255.339700500801</v>
      </c>
      <c r="I53" s="5">
        <f t="shared" si="13"/>
        <v>46094.384708349986</v>
      </c>
      <c r="J53" s="5">
        <f t="shared" si="13"/>
        <v>30781.740084269997</v>
      </c>
      <c r="K53" s="5">
        <f t="shared" si="13"/>
        <v>11179.235490245535</v>
      </c>
      <c r="L53" s="5">
        <f t="shared" si="13"/>
        <v>26162.394691280006</v>
      </c>
      <c r="M53" s="5">
        <f t="shared" si="13"/>
        <v>78097.896044655557</v>
      </c>
      <c r="N53" s="5">
        <f t="shared" si="13"/>
        <v>117016.03046489845</v>
      </c>
    </row>
    <row r="54" spans="2:14" ht="14.1" customHeight="1">
      <c r="B54" s="150" t="str">
        <f>IF(Indice_index!$Z$1=1,"Saldo corrente","Current balance")</f>
        <v>Saldo corrente</v>
      </c>
      <c r="C54" s="5">
        <f t="shared" ref="C54:N54" si="14">C13-C31</f>
        <v>10627.314766669399</v>
      </c>
      <c r="D54" s="5">
        <f t="shared" si="14"/>
        <v>3397.2328220300114</v>
      </c>
      <c r="E54" s="5">
        <f t="shared" si="14"/>
        <v>1991.8486226399982</v>
      </c>
      <c r="F54" s="5">
        <f t="shared" si="14"/>
        <v>1638.6953591956053</v>
      </c>
      <c r="G54" s="5">
        <f t="shared" si="14"/>
        <v>3937.0054551199974</v>
      </c>
      <c r="H54" s="5">
        <f t="shared" si="14"/>
        <v>10964.782258985608</v>
      </c>
      <c r="I54" s="5">
        <f t="shared" si="14"/>
        <v>922.94714226001088</v>
      </c>
      <c r="J54" s="5">
        <f t="shared" si="14"/>
        <v>2510.815452820003</v>
      </c>
      <c r="K54" s="5">
        <f t="shared" si="14"/>
        <v>1785.9365451837675</v>
      </c>
      <c r="L54" s="5">
        <f t="shared" si="14"/>
        <v>4413.0830767899934</v>
      </c>
      <c r="M54" s="5">
        <f t="shared" si="14"/>
        <v>9632.7822170537693</v>
      </c>
      <c r="N54" s="5">
        <f t="shared" si="14"/>
        <v>6422.9792709389003</v>
      </c>
    </row>
    <row r="55" spans="2:14" ht="14.1" customHeight="1">
      <c r="B55" s="150" t="str">
        <f>IF(Indice_index!$Z$1=1,"Saldo de capital","Capital balance")</f>
        <v>Saldo de capital</v>
      </c>
      <c r="C55" s="5">
        <f t="shared" ref="C55:N55" si="15">C23-C44</f>
        <v>-3040.4967605226439</v>
      </c>
      <c r="D55" s="5">
        <f t="shared" si="15"/>
        <v>-1693.1271778400003</v>
      </c>
      <c r="E55" s="5">
        <f t="shared" si="15"/>
        <v>2165.10879819</v>
      </c>
      <c r="F55" s="5">
        <f t="shared" si="15"/>
        <v>-1053.1209625137913</v>
      </c>
      <c r="G55" s="5">
        <f t="shared" si="15"/>
        <v>-50.942099580000004</v>
      </c>
      <c r="H55" s="5">
        <f t="shared" si="15"/>
        <v>-632.0814417437914</v>
      </c>
      <c r="I55" s="5">
        <f t="shared" si="15"/>
        <v>-2411.5107273100002</v>
      </c>
      <c r="J55" s="5">
        <f t="shared" si="15"/>
        <v>-627.61201691999941</v>
      </c>
      <c r="K55" s="5">
        <f t="shared" si="15"/>
        <v>-783.74615953625516</v>
      </c>
      <c r="L55" s="5">
        <f t="shared" si="15"/>
        <v>-104.74751929</v>
      </c>
      <c r="M55" s="5">
        <f t="shared" si="15"/>
        <v>-3927.6164230562549</v>
      </c>
      <c r="N55" s="5">
        <f t="shared" si="15"/>
        <v>-8052.0797230239941</v>
      </c>
    </row>
    <row r="56" spans="2:14" ht="14.1" customHeight="1">
      <c r="B56" s="211" t="str">
        <f>IF(Indice_index!$Z$1=1,"Saldo primário","Primary balance")</f>
        <v>Saldo primário</v>
      </c>
      <c r="C56" s="20">
        <f t="shared" ref="C56:N56" si="16">C30-C53</f>
        <v>14323.578592442544</v>
      </c>
      <c r="D56" s="20">
        <f t="shared" si="16"/>
        <v>6065.7674376300129</v>
      </c>
      <c r="E56" s="20">
        <f t="shared" si="16"/>
        <v>4272.9979667500011</v>
      </c>
      <c r="F56" s="20">
        <f t="shared" si="16"/>
        <v>772.91006065385409</v>
      </c>
      <c r="G56" s="20">
        <f t="shared" si="16"/>
        <v>3890.8676875799974</v>
      </c>
      <c r="H56" s="20">
        <f t="shared" si="16"/>
        <v>14896.989851463848</v>
      </c>
      <c r="I56" s="20">
        <f t="shared" si="16"/>
        <v>3497.6108239400128</v>
      </c>
      <c r="J56" s="20">
        <f t="shared" si="16"/>
        <v>2050.4256125200009</v>
      </c>
      <c r="K56" s="20">
        <f t="shared" si="16"/>
        <v>1227.9717070477273</v>
      </c>
      <c r="L56" s="20">
        <f t="shared" si="16"/>
        <v>4313.7381050499935</v>
      </c>
      <c r="M56" s="20">
        <f t="shared" si="16"/>
        <v>10755.223310557732</v>
      </c>
      <c r="N56" s="20">
        <f t="shared" si="16"/>
        <v>5739.1878908004292</v>
      </c>
    </row>
    <row r="57" spans="2:14" ht="14.1" customHeight="1">
      <c r="B57" s="10" t="str">
        <f>IF(Indice_index!$Z$1=1,"Notas:","Notes:")</f>
        <v>Notas:</v>
      </c>
      <c r="C57" s="10"/>
      <c r="D57" s="10"/>
      <c r="E57" s="10"/>
      <c r="F57" s="10"/>
      <c r="G57" s="10"/>
      <c r="H57" s="10"/>
      <c r="I57" s="10"/>
      <c r="J57" s="10"/>
      <c r="K57" s="10"/>
      <c r="L57" s="10"/>
      <c r="M57" s="10"/>
      <c r="N57" s="10"/>
    </row>
    <row r="58" spans="2:14" ht="13.5" customHeight="1">
      <c r="B58" s="346"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46"/>
      <c r="D58" s="346"/>
      <c r="E58" s="346"/>
      <c r="F58" s="346"/>
      <c r="G58" s="346"/>
      <c r="H58" s="346"/>
      <c r="I58" s="346"/>
      <c r="J58" s="346"/>
      <c r="K58" s="346"/>
      <c r="L58" s="346"/>
      <c r="M58" s="346"/>
      <c r="N58" s="346"/>
    </row>
    <row r="59" spans="2:14" ht="13.5" customHeight="1">
      <c r="B59" s="195" t="str">
        <f>IF(Indice_index!$Z$1=1,"Fonte: Direção-Geral do Orçamento.","Source: Budget General Directorate.")</f>
        <v>Fonte: Direção-Geral do Orçamento.</v>
      </c>
      <c r="C59" s="195"/>
      <c r="D59" s="195"/>
      <c r="E59" s="195"/>
      <c r="F59" s="195"/>
      <c r="G59" s="195"/>
      <c r="H59" s="195"/>
      <c r="I59" s="195"/>
      <c r="J59" s="195"/>
      <c r="K59" s="195"/>
      <c r="L59" s="195"/>
      <c r="M59" s="195"/>
      <c r="N59" s="195"/>
    </row>
    <row r="60" spans="2:14" ht="15">
      <c r="B60" s="23"/>
      <c r="C60" s="22"/>
      <c r="D60" s="22"/>
      <c r="E60" s="22"/>
      <c r="F60" s="22"/>
      <c r="G60" s="22"/>
      <c r="H60" s="22"/>
      <c r="I60" s="22"/>
      <c r="J60" s="22"/>
      <c r="K60" s="22"/>
      <c r="L60" s="22"/>
      <c r="M60" s="22"/>
      <c r="N60" s="22"/>
    </row>
    <row r="61" spans="2:14" ht="15">
      <c r="B61" s="344" t="str">
        <f>+'3 - Conta AC + SS'!B9</f>
        <v>Período: janeiro a setembro</v>
      </c>
      <c r="C61" s="344"/>
      <c r="D61" s="3"/>
      <c r="E61" s="3"/>
      <c r="F61" s="3"/>
      <c r="G61" s="3"/>
      <c r="H61" s="3"/>
      <c r="I61" s="3"/>
      <c r="J61" s="3"/>
      <c r="K61" s="3"/>
      <c r="L61" s="3"/>
      <c r="M61" s="3"/>
      <c r="N61" s="3"/>
    </row>
    <row r="62" spans="2:14" ht="16.350000000000001" customHeight="1">
      <c r="B62" s="347"/>
      <c r="C62" s="348"/>
      <c r="D62" s="357" t="str">
        <f>IF(Indice_index!$Z$1=1,"Variação Homóloga Absoluta","YOY Variation")</f>
        <v>Variação Homóloga Absoluta</v>
      </c>
      <c r="E62" s="358"/>
      <c r="F62" s="358"/>
      <c r="G62" s="358"/>
      <c r="H62" s="359"/>
      <c r="I62" s="357" t="str">
        <f>IF(Indice_index!$Z$1=1,"Variação Homóloga Relativa (%)","Relative YOY Variation")</f>
        <v>Variação Homóloga Relativa (%)</v>
      </c>
      <c r="J62" s="358"/>
      <c r="K62" s="358"/>
      <c r="L62" s="358"/>
      <c r="M62" s="359"/>
      <c r="N62" s="22"/>
    </row>
    <row r="63" spans="2:14" ht="36" customHeight="1">
      <c r="B63" s="347"/>
      <c r="C63" s="348"/>
      <c r="D63" s="24" t="str">
        <f>IF(Indice_index!$Z$1=1,"Estado","State")</f>
        <v>Estado</v>
      </c>
      <c r="E63" s="24" t="str">
        <f>IF(Indice_index!$Z$1=1,"Serviços e Fundos Autónomos","Autonomous Funds and Services")</f>
        <v>Serviços e Fundos Autónomos</v>
      </c>
      <c r="F63" s="24" t="str">
        <f>IF(Indice_index!$Z$1=1,"Adm. Local e Regional","Local and Regional Government")</f>
        <v>Adm. Local e Regional</v>
      </c>
      <c r="G63" s="24" t="str">
        <f>IF(Indice_index!$Z$1=1,"Segurança Social","Social Security")</f>
        <v>Segurança Social</v>
      </c>
      <c r="H63" s="24" t="str">
        <f>IF(Indice_index!$Z$1=1,"Adm. Públicas","General Government")</f>
        <v>Adm. Públicas</v>
      </c>
      <c r="I63" s="24" t="str">
        <f>IF(Indice_index!$Z$1=1,"Estado","State")</f>
        <v>Estado</v>
      </c>
      <c r="J63" s="24" t="str">
        <f>IF(Indice_index!$Z$1=1,"Serviços e Fundos Autónomos","Autonomous Funds and Services")</f>
        <v>Serviços e Fundos Autónomos</v>
      </c>
      <c r="K63" s="24" t="str">
        <f>IF(Indice_index!$Z$1=1,"Adm. Local e Regional","Local and Regional Government")</f>
        <v>Adm. Local e Regional</v>
      </c>
      <c r="L63" s="24" t="str">
        <f>IF(Indice_index!$Z$1=1,"Segurança Social","Social Security")</f>
        <v>Segurança Social</v>
      </c>
      <c r="M63" s="24" t="str">
        <f>IF(Indice_index!$Z$1=1,"Adm. Públicas","General Government")</f>
        <v>Adm. Públicas</v>
      </c>
      <c r="N63" s="22"/>
    </row>
    <row r="64" spans="2:14" ht="14.1" customHeight="1">
      <c r="B64" s="360" t="str">
        <f>IF(Indice_index!$Z$1=1,"Receita corrente","Current revenue")</f>
        <v>Receita corrente</v>
      </c>
      <c r="C64" s="361"/>
      <c r="D64" s="161">
        <f t="shared" ref="D64:H79" si="17">I13-D13</f>
        <v>3167.7400063999958</v>
      </c>
      <c r="E64" s="161">
        <f t="shared" si="17"/>
        <v>3567.6392383500133</v>
      </c>
      <c r="F64" s="161">
        <f t="shared" si="17"/>
        <v>1111.7172472365055</v>
      </c>
      <c r="G64" s="161">
        <f t="shared" si="17"/>
        <v>3037.142585990001</v>
      </c>
      <c r="H64" s="161">
        <f t="shared" si="17"/>
        <v>6416.8453508165403</v>
      </c>
      <c r="I64" s="161">
        <f t="shared" ref="I64:M72" si="18">IF(IFERROR((I13-D13)/D13*100,"")&gt;500,"-",IFERROR((I13-D13)/D13*100,""))</f>
        <v>6.8625647998935317</v>
      </c>
      <c r="J64" s="161">
        <f t="shared" si="18"/>
        <v>13.517616285420495</v>
      </c>
      <c r="K64" s="161">
        <f t="shared" si="18"/>
        <v>11.320025493601211</v>
      </c>
      <c r="L64" s="161">
        <f t="shared" si="18"/>
        <v>11.068975642371017</v>
      </c>
      <c r="M64" s="161">
        <f t="shared" si="18"/>
        <v>8.0310164454504473</v>
      </c>
      <c r="N64" s="196"/>
    </row>
    <row r="65" spans="2:14" ht="14.1" customHeight="1">
      <c r="B65" s="355" t="str">
        <f>IF(Indice_index!$Z$1=1,"Receita Fiscal","Tax")</f>
        <v>Receita Fiscal</v>
      </c>
      <c r="C65" s="356"/>
      <c r="D65" s="5">
        <f t="shared" si="17"/>
        <v>2290.3853820399963</v>
      </c>
      <c r="E65" s="5">
        <f t="shared" si="17"/>
        <v>78.23119840999999</v>
      </c>
      <c r="F65" s="5">
        <f t="shared" si="17"/>
        <v>203.00509126310862</v>
      </c>
      <c r="G65" s="5">
        <f t="shared" si="17"/>
        <v>-4.4202311999999893</v>
      </c>
      <c r="H65" s="5">
        <f t="shared" si="17"/>
        <v>2567.2014405130903</v>
      </c>
      <c r="I65" s="5">
        <f t="shared" si="18"/>
        <v>5.3163337240538473</v>
      </c>
      <c r="J65" s="5">
        <f t="shared" si="18"/>
        <v>15.457452679927458</v>
      </c>
      <c r="K65" s="5">
        <f t="shared" si="18"/>
        <v>4.6816374084563712</v>
      </c>
      <c r="L65" s="5">
        <f t="shared" si="18"/>
        <v>-2.535424212274382</v>
      </c>
      <c r="M65" s="5">
        <f t="shared" si="18"/>
        <v>5.3373623980140916</v>
      </c>
      <c r="N65" s="22"/>
    </row>
    <row r="66" spans="2:14" ht="14.1" customHeight="1">
      <c r="B66" s="362" t="str">
        <f>IF(Indice_index!$Z$1=1,"Impostos diretos","Direct taxes")</f>
        <v>Impostos diretos</v>
      </c>
      <c r="C66" s="363"/>
      <c r="D66" s="5">
        <f t="shared" si="17"/>
        <v>1562.0641899399961</v>
      </c>
      <c r="E66" s="5">
        <f t="shared" si="17"/>
        <v>0</v>
      </c>
      <c r="F66" s="5">
        <f t="shared" si="17"/>
        <v>92.74333255026977</v>
      </c>
      <c r="G66" s="5">
        <f t="shared" si="17"/>
        <v>0</v>
      </c>
      <c r="H66" s="5">
        <f t="shared" si="17"/>
        <v>1654.8075224902677</v>
      </c>
      <c r="I66" s="5">
        <f t="shared" si="18"/>
        <v>7.8713395707583427</v>
      </c>
      <c r="J66" s="5" t="str">
        <f t="shared" si="18"/>
        <v>-</v>
      </c>
      <c r="K66" s="5">
        <f t="shared" si="18"/>
        <v>2.7048362545418354</v>
      </c>
      <c r="L66" s="5" t="str">
        <f t="shared" si="18"/>
        <v>-</v>
      </c>
      <c r="M66" s="5">
        <f t="shared" si="18"/>
        <v>7.1101866059472645</v>
      </c>
      <c r="N66" s="22"/>
    </row>
    <row r="67" spans="2:14" ht="14.1" customHeight="1">
      <c r="B67" s="362" t="str">
        <f>IF(Indice_index!$Z$1=1,"Impostos indiretos","Indirect taxes")</f>
        <v>Impostos indiretos</v>
      </c>
      <c r="C67" s="363"/>
      <c r="D67" s="5">
        <f t="shared" si="17"/>
        <v>728.32119209999655</v>
      </c>
      <c r="E67" s="5">
        <f t="shared" si="17"/>
        <v>78.23119840999999</v>
      </c>
      <c r="F67" s="5">
        <f t="shared" si="17"/>
        <v>110.26175871283874</v>
      </c>
      <c r="G67" s="5">
        <f t="shared" si="17"/>
        <v>-4.4202311999999893</v>
      </c>
      <c r="H67" s="5">
        <f t="shared" si="17"/>
        <v>912.39391802282989</v>
      </c>
      <c r="I67" s="5">
        <f t="shared" si="18"/>
        <v>3.1343050840285511</v>
      </c>
      <c r="J67" s="5">
        <f t="shared" si="18"/>
        <v>15.457452679927458</v>
      </c>
      <c r="K67" s="5">
        <f t="shared" si="18"/>
        <v>12.151369071713678</v>
      </c>
      <c r="L67" s="5">
        <f t="shared" si="18"/>
        <v>-2.535424212274382</v>
      </c>
      <c r="M67" s="5">
        <f t="shared" si="18"/>
        <v>3.6753125185289282</v>
      </c>
      <c r="N67" s="22"/>
    </row>
    <row r="68" spans="2:14" ht="14.1" customHeight="1">
      <c r="B68" s="355" t="str">
        <f>IF(Indice_index!$Z$1=1,"Contribuições de Segurança Social","Social security contributions")</f>
        <v>Contribuições de Segurança Social</v>
      </c>
      <c r="C68" s="356"/>
      <c r="D68" s="5">
        <f t="shared" si="17"/>
        <v>5.2653173400000099</v>
      </c>
      <c r="E68" s="5">
        <f t="shared" si="17"/>
        <v>217.95669251999971</v>
      </c>
      <c r="F68" s="5">
        <f t="shared" si="17"/>
        <v>0</v>
      </c>
      <c r="G68" s="5">
        <f t="shared" si="17"/>
        <v>1856.6260441700033</v>
      </c>
      <c r="H68" s="5">
        <f t="shared" si="17"/>
        <v>2079.8480540300043</v>
      </c>
      <c r="I68" s="5">
        <f t="shared" si="18"/>
        <v>9.9683867663713777</v>
      </c>
      <c r="J68" s="5">
        <f t="shared" si="18"/>
        <v>7.5156983769246564</v>
      </c>
      <c r="K68" s="5" t="str">
        <f t="shared" si="18"/>
        <v>-</v>
      </c>
      <c r="L68" s="5">
        <f t="shared" si="18"/>
        <v>10.134059637608535</v>
      </c>
      <c r="M68" s="5">
        <f t="shared" si="18"/>
        <v>9.7767112502076028</v>
      </c>
      <c r="N68" s="196"/>
    </row>
    <row r="69" spans="2:14" ht="14.1" customHeight="1">
      <c r="B69" s="355" t="str">
        <f>IF(Indice_index!$Z$1=1,"Transferências correntes","Current transfers")</f>
        <v>Transferências correntes</v>
      </c>
      <c r="C69" s="356"/>
      <c r="D69" s="5">
        <f t="shared" si="17"/>
        <v>103.98722204000001</v>
      </c>
      <c r="E69" s="5">
        <f t="shared" si="17"/>
        <v>2864.0516105999995</v>
      </c>
      <c r="F69" s="5">
        <f t="shared" si="17"/>
        <v>689.65459247884064</v>
      </c>
      <c r="G69" s="5">
        <f t="shared" si="17"/>
        <v>942.51978174000033</v>
      </c>
      <c r="H69" s="5">
        <f t="shared" si="17"/>
        <v>226.1652146988406</v>
      </c>
      <c r="I69" s="5">
        <f t="shared" si="18"/>
        <v>15.711044791491963</v>
      </c>
      <c r="J69" s="5">
        <f t="shared" si="18"/>
        <v>15.477817727915086</v>
      </c>
      <c r="K69" s="5">
        <f t="shared" si="18"/>
        <v>17.884756723970682</v>
      </c>
      <c r="L69" s="5">
        <f t="shared" si="18"/>
        <v>11.298056862044875</v>
      </c>
      <c r="M69" s="5">
        <f t="shared" si="18"/>
        <v>12.439342302497424</v>
      </c>
      <c r="N69" s="196"/>
    </row>
    <row r="70" spans="2:14" ht="14.1" customHeight="1">
      <c r="B70" s="362" t="str">
        <f>IF(Indice_index!$Z$1=1,"Administrações Públicas","General Government subsectors")</f>
        <v>Administrações Públicas</v>
      </c>
      <c r="C70" s="363"/>
      <c r="D70" s="5">
        <f t="shared" si="17"/>
        <v>49.46436489000007</v>
      </c>
      <c r="E70" s="5">
        <f t="shared" si="17"/>
        <v>2690.3048750599992</v>
      </c>
      <c r="F70" s="5">
        <f t="shared" si="17"/>
        <v>672.72806220999928</v>
      </c>
      <c r="G70" s="5">
        <f t="shared" si="17"/>
        <v>961.55069000000185</v>
      </c>
      <c r="H70" s="5">
        <f t="shared" si="17"/>
        <v>0</v>
      </c>
      <c r="I70" s="5">
        <f t="shared" si="18"/>
        <v>9.4065075516847951</v>
      </c>
      <c r="J70" s="5">
        <f t="shared" si="18"/>
        <v>15.236737350917101</v>
      </c>
      <c r="K70" s="5">
        <f t="shared" si="18"/>
        <v>18.176879432569809</v>
      </c>
      <c r="L70" s="5">
        <f t="shared" si="18"/>
        <v>12.548258558030373</v>
      </c>
      <c r="M70" s="5" t="str">
        <f t="shared" si="18"/>
        <v>-</v>
      </c>
      <c r="N70" s="196"/>
    </row>
    <row r="71" spans="2:14" ht="14.1" customHeight="1">
      <c r="B71" s="362" t="str">
        <f>IF(Indice_index!$Z$1=1,"Outras","Others")</f>
        <v>Outras</v>
      </c>
      <c r="C71" s="363"/>
      <c r="D71" s="5">
        <f t="shared" si="17"/>
        <v>54.522857149999993</v>
      </c>
      <c r="E71" s="5">
        <f t="shared" si="17"/>
        <v>173.74673553999958</v>
      </c>
      <c r="F71" s="5">
        <f t="shared" si="17"/>
        <v>16.926530268841248</v>
      </c>
      <c r="G71" s="5">
        <f t="shared" si="17"/>
        <v>-19.030908259999933</v>
      </c>
      <c r="H71" s="5">
        <f t="shared" si="17"/>
        <v>226.1652146988406</v>
      </c>
      <c r="I71" s="5">
        <f t="shared" si="18"/>
        <v>40.084214802631763</v>
      </c>
      <c r="J71" s="5">
        <f t="shared" si="18"/>
        <v>20.500246845278312</v>
      </c>
      <c r="K71" s="5">
        <f t="shared" si="18"/>
        <v>10.913788259855327</v>
      </c>
      <c r="L71" s="5">
        <f t="shared" si="18"/>
        <v>-2.8007397273841748</v>
      </c>
      <c r="M71" s="5">
        <f t="shared" si="18"/>
        <v>12.439342302497424</v>
      </c>
      <c r="N71" s="196"/>
    </row>
    <row r="72" spans="2:14" ht="14.1" customHeight="1">
      <c r="B72" s="355" t="str">
        <f>IF(Indice_index!$Z$1=1,"Outras receitas correntes","Other current revenue")</f>
        <v>Outras receitas correntes</v>
      </c>
      <c r="C72" s="356"/>
      <c r="D72" s="5">
        <f t="shared" si="17"/>
        <v>594.38612187999979</v>
      </c>
      <c r="E72" s="5">
        <f t="shared" si="17"/>
        <v>379.87708573000964</v>
      </c>
      <c r="F72" s="5">
        <f t="shared" si="17"/>
        <v>204.42922072455531</v>
      </c>
      <c r="G72" s="5">
        <f t="shared" si="17"/>
        <v>242.41699128000005</v>
      </c>
      <c r="H72" s="5">
        <f t="shared" si="17"/>
        <v>1340.7813880645645</v>
      </c>
      <c r="I72" s="5">
        <f t="shared" si="18"/>
        <v>25.154200669678612</v>
      </c>
      <c r="J72" s="5">
        <f t="shared" si="18"/>
        <v>8.4999896026865507</v>
      </c>
      <c r="K72" s="5">
        <f t="shared" si="18"/>
        <v>12.642770370595075</v>
      </c>
      <c r="L72" s="5">
        <f t="shared" si="18"/>
        <v>40.334007431488459</v>
      </c>
      <c r="M72" s="5">
        <f t="shared" si="18"/>
        <v>15.45944392272451</v>
      </c>
      <c r="N72" s="196"/>
    </row>
    <row r="73" spans="2:14" ht="14.1" customHeight="1">
      <c r="B73" s="355" t="str">
        <f>IF(Indice_index!$Z$1=1,"Diferenças de consolidação","Consolidation differences")</f>
        <v>Diferenças de consolidação</v>
      </c>
      <c r="C73" s="356"/>
      <c r="D73" s="5">
        <f t="shared" si="17"/>
        <v>173.71596310000004</v>
      </c>
      <c r="E73" s="5">
        <f t="shared" si="17"/>
        <v>27.522651090006484</v>
      </c>
      <c r="F73" s="5">
        <f t="shared" si="17"/>
        <v>14.628342770000017</v>
      </c>
      <c r="G73" s="5">
        <f t="shared" si="17"/>
        <v>0</v>
      </c>
      <c r="H73" s="5">
        <f t="shared" si="17"/>
        <v>202.84925351001272</v>
      </c>
      <c r="I73" s="5" t="s">
        <v>4</v>
      </c>
      <c r="J73" s="5" t="s">
        <v>4</v>
      </c>
      <c r="K73" s="5" t="s">
        <v>4</v>
      </c>
      <c r="L73" s="5" t="s">
        <v>4</v>
      </c>
      <c r="M73" s="5" t="s">
        <v>4</v>
      </c>
      <c r="N73" s="196"/>
    </row>
    <row r="74" spans="2:14" ht="14.1" customHeight="1">
      <c r="B74" s="360" t="str">
        <f>IF(Indice_index!$Z$1=1,"Receita de capital","Capital revenue")</f>
        <v>Receita de capital</v>
      </c>
      <c r="C74" s="361"/>
      <c r="D74" s="161">
        <f t="shared" si="17"/>
        <v>187.83320930999997</v>
      </c>
      <c r="E74" s="161">
        <f t="shared" si="17"/>
        <v>-2768.9039891399998</v>
      </c>
      <c r="F74" s="161">
        <f t="shared" si="17"/>
        <v>340.20158960209983</v>
      </c>
      <c r="G74" s="161">
        <f t="shared" si="17"/>
        <v>0.30140123999999996</v>
      </c>
      <c r="H74" s="161">
        <f t="shared" si="17"/>
        <v>-2716.0555475679007</v>
      </c>
      <c r="I74" s="161">
        <f t="shared" ref="I74:M79" si="19">IF(IFERROR((I23-D23)/D23*100,"")&gt;500,"-",IFERROR((I23-D23)/D23*100,""))</f>
        <v>244.85386747952566</v>
      </c>
      <c r="J74" s="161">
        <f t="shared" si="19"/>
        <v>-49.086096442162415</v>
      </c>
      <c r="K74" s="161">
        <f t="shared" si="19"/>
        <v>29.987268950656009</v>
      </c>
      <c r="L74" s="161">
        <f t="shared" si="19"/>
        <v>85.118346774671821</v>
      </c>
      <c r="M74" s="161">
        <f t="shared" si="19"/>
        <v>-51.7191961123414</v>
      </c>
      <c r="N74" s="196"/>
    </row>
    <row r="75" spans="2:14" ht="14.1" customHeight="1">
      <c r="B75" s="355" t="str">
        <f>IF(Indice_index!$Z$1=1,"Venda de bens de investimento","Sale of investment goods")</f>
        <v>Venda de bens de investimento</v>
      </c>
      <c r="C75" s="356"/>
      <c r="D75" s="5">
        <f t="shared" si="17"/>
        <v>-3.4911069700000006</v>
      </c>
      <c r="E75" s="5">
        <f t="shared" si="17"/>
        <v>-73.729032630000006</v>
      </c>
      <c r="F75" s="5">
        <f t="shared" si="17"/>
        <v>27.157254722414592</v>
      </c>
      <c r="G75" s="5">
        <f t="shared" si="17"/>
        <v>0.30734247999999997</v>
      </c>
      <c r="H75" s="5">
        <f t="shared" si="17"/>
        <v>-49.75554239758543</v>
      </c>
      <c r="I75" s="5">
        <f t="shared" si="19"/>
        <v>-53.326255634148779</v>
      </c>
      <c r="J75" s="5">
        <f t="shared" si="19"/>
        <v>-56.401901196729924</v>
      </c>
      <c r="K75" s="5">
        <f t="shared" si="19"/>
        <v>57.527497225893796</v>
      </c>
      <c r="L75" s="5">
        <f t="shared" si="19"/>
        <v>90.361232680266454</v>
      </c>
      <c r="M75" s="5">
        <f t="shared" si="19"/>
        <v>-26.921797569657279</v>
      </c>
      <c r="N75" s="196"/>
    </row>
    <row r="76" spans="2:14" ht="14.1" customHeight="1">
      <c r="B76" s="355" t="str">
        <f>IF(Indice_index!$Z$1=1,"Transferências de capital","Capital transfers")</f>
        <v>Transferências de capital</v>
      </c>
      <c r="C76" s="356"/>
      <c r="D76" s="5">
        <f t="shared" si="17"/>
        <v>55.263543109999986</v>
      </c>
      <c r="E76" s="5">
        <f t="shared" si="17"/>
        <v>-2689.6926541700004</v>
      </c>
      <c r="F76" s="5">
        <f t="shared" si="17"/>
        <v>312.9469958852128</v>
      </c>
      <c r="G76" s="5">
        <f t="shared" si="17"/>
        <v>0</v>
      </c>
      <c r="H76" s="5">
        <f t="shared" si="17"/>
        <v>-2796.9698737547878</v>
      </c>
      <c r="I76" s="5">
        <f t="shared" si="19"/>
        <v>85.408406142217615</v>
      </c>
      <c r="J76" s="5">
        <f t="shared" si="19"/>
        <v>-49.014989540984885</v>
      </c>
      <c r="K76" s="5">
        <f t="shared" si="19"/>
        <v>29.255705544907823</v>
      </c>
      <c r="L76" s="5" t="str">
        <f t="shared" si="19"/>
        <v>-</v>
      </c>
      <c r="M76" s="5">
        <f t="shared" si="19"/>
        <v>-55.705801603876914</v>
      </c>
      <c r="N76" s="196"/>
    </row>
    <row r="77" spans="2:14" ht="14.1" customHeight="1">
      <c r="B77" s="362" t="str">
        <f>IF(Indice_index!$Z$1=1,"Administrações Públicas","General Government subsectors")</f>
        <v>Administrações Públicas</v>
      </c>
      <c r="C77" s="363"/>
      <c r="D77" s="5">
        <f t="shared" si="17"/>
        <v>14.249811270000002</v>
      </c>
      <c r="E77" s="5">
        <f t="shared" si="17"/>
        <v>212.76821909</v>
      </c>
      <c r="F77" s="5">
        <f t="shared" si="17"/>
        <v>248.46972822000009</v>
      </c>
      <c r="G77" s="5">
        <f t="shared" si="17"/>
        <v>0</v>
      </c>
      <c r="H77" s="5">
        <f t="shared" si="17"/>
        <v>0</v>
      </c>
      <c r="I77" s="5">
        <f t="shared" si="19"/>
        <v>210.05227124922894</v>
      </c>
      <c r="J77" s="5">
        <f t="shared" si="19"/>
        <v>20.058139769394177</v>
      </c>
      <c r="K77" s="5">
        <f t="shared" si="19"/>
        <v>46.583796549349202</v>
      </c>
      <c r="L77" s="5" t="str">
        <f t="shared" si="19"/>
        <v>-</v>
      </c>
      <c r="M77" s="5" t="str">
        <f t="shared" si="19"/>
        <v>-</v>
      </c>
      <c r="N77" s="196"/>
    </row>
    <row r="78" spans="2:14" ht="14.1" customHeight="1">
      <c r="B78" s="362" t="str">
        <f>IF(Indice_index!$Z$1=1,"Outras","Others")</f>
        <v>Outras</v>
      </c>
      <c r="C78" s="363"/>
      <c r="D78" s="5">
        <f t="shared" si="17"/>
        <v>41.013731839999984</v>
      </c>
      <c r="E78" s="5">
        <f t="shared" si="17"/>
        <v>-2902.4608732600004</v>
      </c>
      <c r="F78" s="5">
        <f t="shared" si="17"/>
        <v>64.477267665212707</v>
      </c>
      <c r="G78" s="5">
        <f t="shared" si="17"/>
        <v>0</v>
      </c>
      <c r="H78" s="5">
        <f t="shared" si="17"/>
        <v>-2796.9698737547878</v>
      </c>
      <c r="I78" s="5">
        <f t="shared" si="19"/>
        <v>70.809651552723508</v>
      </c>
      <c r="J78" s="5">
        <f t="shared" si="19"/>
        <v>-65.566664751055797</v>
      </c>
      <c r="K78" s="5">
        <f t="shared" si="19"/>
        <v>12.022313822516161</v>
      </c>
      <c r="L78" s="5" t="str">
        <f t="shared" si="19"/>
        <v>-</v>
      </c>
      <c r="M78" s="5">
        <f t="shared" si="19"/>
        <v>-55.705801603876914</v>
      </c>
      <c r="N78" s="196"/>
    </row>
    <row r="79" spans="2:14" ht="14.1" customHeight="1">
      <c r="B79" s="355" t="str">
        <f>IF(Indice_index!$Z$1=1,"Outras receitas de capital","Other capital revenue")</f>
        <v>Outras receitas de capital</v>
      </c>
      <c r="C79" s="356"/>
      <c r="D79" s="5">
        <f t="shared" si="17"/>
        <v>136.06077317</v>
      </c>
      <c r="E79" s="5">
        <f t="shared" si="17"/>
        <v>-5.4823023400000039</v>
      </c>
      <c r="F79" s="5">
        <f t="shared" si="17"/>
        <v>-0.97316468552758906</v>
      </c>
      <c r="G79" s="5">
        <f t="shared" si="17"/>
        <v>-5.9412400000000004E-3</v>
      </c>
      <c r="H79" s="5">
        <f t="shared" si="17"/>
        <v>129.59936490447242</v>
      </c>
      <c r="I79" s="5" t="str">
        <f t="shared" si="19"/>
        <v>-</v>
      </c>
      <c r="J79" s="5">
        <f t="shared" si="19"/>
        <v>-24.148825278752767</v>
      </c>
      <c r="K79" s="5">
        <f t="shared" si="19"/>
        <v>-5.5547962904916677</v>
      </c>
      <c r="L79" s="5">
        <f t="shared" si="19"/>
        <v>-42.52795235572863</v>
      </c>
      <c r="M79" s="5">
        <f t="shared" si="19"/>
        <v>283.61133665315845</v>
      </c>
      <c r="N79" s="196"/>
    </row>
    <row r="80" spans="2:14" ht="14.1" customHeight="1">
      <c r="B80" s="364" t="str">
        <f>IF(Indice_index!$Z$1=1,"Diferenças de consolidação","Consolidation differences")</f>
        <v>Diferenças de consolidação</v>
      </c>
      <c r="C80" s="365"/>
      <c r="D80" s="5">
        <f t="shared" ref="D80:H95" si="20">I29-D29</f>
        <v>0</v>
      </c>
      <c r="E80" s="5">
        <f t="shared" si="20"/>
        <v>0</v>
      </c>
      <c r="F80" s="5">
        <f t="shared" si="20"/>
        <v>1.0705036800000016</v>
      </c>
      <c r="G80" s="5">
        <f t="shared" si="20"/>
        <v>0</v>
      </c>
      <c r="H80" s="5">
        <f t="shared" si="20"/>
        <v>1.0705036800000016</v>
      </c>
      <c r="I80" s="5" t="s">
        <v>4</v>
      </c>
      <c r="J80" s="5" t="s">
        <v>4</v>
      </c>
      <c r="K80" s="5" t="s">
        <v>4</v>
      </c>
      <c r="L80" s="5" t="s">
        <v>4</v>
      </c>
      <c r="M80" s="5" t="s">
        <v>4</v>
      </c>
      <c r="N80" s="196"/>
    </row>
    <row r="81" spans="2:14" ht="14.1" customHeight="1">
      <c r="B81" s="366" t="str">
        <f>IF(Indice_index!$Z$1=1,"Receita efetiva","Effective revenue")</f>
        <v>Receita efetiva</v>
      </c>
      <c r="C81" s="367"/>
      <c r="D81" s="26">
        <f t="shared" si="20"/>
        <v>3355.5732157099919</v>
      </c>
      <c r="E81" s="26">
        <f t="shared" si="20"/>
        <v>798.73524921001081</v>
      </c>
      <c r="F81" s="26">
        <f t="shared" si="20"/>
        <v>1451.9188368386058</v>
      </c>
      <c r="G81" s="26">
        <f t="shared" si="20"/>
        <v>3037.4439872300027</v>
      </c>
      <c r="H81" s="26">
        <f t="shared" si="20"/>
        <v>3700.789803248641</v>
      </c>
      <c r="I81" s="26">
        <f t="shared" ref="I81:M93" si="21">IF(IFERROR((I30-D30)/D30*100,"")&gt;500,"-",IFERROR((I30-D30)/D30*100,""))</f>
        <v>7.2574240124688689</v>
      </c>
      <c r="J81" s="26">
        <f t="shared" si="21"/>
        <v>2.4934427504324703</v>
      </c>
      <c r="K81" s="26">
        <f t="shared" si="21"/>
        <v>13.253132086231545</v>
      </c>
      <c r="L81" s="26">
        <f t="shared" si="21"/>
        <v>11.069931250587453</v>
      </c>
      <c r="M81" s="27">
        <f t="shared" si="21"/>
        <v>4.3460816899791501</v>
      </c>
      <c r="N81" s="25"/>
    </row>
    <row r="82" spans="2:14" ht="14.1" customHeight="1">
      <c r="B82" s="360" t="str">
        <f>IF(Indice_index!$Z$1=1,"Despesa corrente","Current expenditure")</f>
        <v>Despesa corrente</v>
      </c>
      <c r="C82" s="361"/>
      <c r="D82" s="161">
        <f t="shared" si="20"/>
        <v>5642.0256861699963</v>
      </c>
      <c r="E82" s="161">
        <f t="shared" si="20"/>
        <v>3048.6724081700086</v>
      </c>
      <c r="F82" s="161">
        <f t="shared" si="20"/>
        <v>964.47606124834329</v>
      </c>
      <c r="G82" s="161">
        <f t="shared" si="20"/>
        <v>2561.0649643200049</v>
      </c>
      <c r="H82" s="161">
        <f t="shared" si="20"/>
        <v>7748.8453927483788</v>
      </c>
      <c r="I82" s="161">
        <f t="shared" si="21"/>
        <v>13.193870107152863</v>
      </c>
      <c r="J82" s="161">
        <f t="shared" si="21"/>
        <v>12.494216566149777</v>
      </c>
      <c r="K82" s="161">
        <f t="shared" si="21"/>
        <v>11.787625708123334</v>
      </c>
      <c r="L82" s="161">
        <f t="shared" si="21"/>
        <v>10.897532374788907</v>
      </c>
      <c r="M82" s="161">
        <f t="shared" si="21"/>
        <v>11.240636025164612</v>
      </c>
      <c r="N82" s="196"/>
    </row>
    <row r="83" spans="2:14" ht="14.1" customHeight="1">
      <c r="B83" s="355" t="str">
        <f>IF(Indice_index!$Z$1=1,"Despesas com o pessoal","Compensation of employees")</f>
        <v>Despesas com o pessoal</v>
      </c>
      <c r="C83" s="356"/>
      <c r="D83" s="5">
        <f t="shared" si="20"/>
        <v>418.89671150000322</v>
      </c>
      <c r="E83" s="5">
        <f t="shared" si="20"/>
        <v>726.12098759000219</v>
      </c>
      <c r="F83" s="5">
        <f t="shared" si="20"/>
        <v>307.05784310712806</v>
      </c>
      <c r="G83" s="5">
        <f t="shared" si="20"/>
        <v>19.186392130000002</v>
      </c>
      <c r="H83" s="5">
        <f t="shared" si="20"/>
        <v>1471.2619343271326</v>
      </c>
      <c r="I83" s="5">
        <f t="shared" si="21"/>
        <v>5.4938070895658093</v>
      </c>
      <c r="J83" s="5">
        <f t="shared" si="21"/>
        <v>10.62441187915406</v>
      </c>
      <c r="K83" s="5">
        <f t="shared" si="21"/>
        <v>7.7388614686076869</v>
      </c>
      <c r="L83" s="5">
        <f t="shared" si="21"/>
        <v>8.3872059784132258</v>
      </c>
      <c r="M83" s="5">
        <f t="shared" si="21"/>
        <v>7.8863324818200038</v>
      </c>
      <c r="N83" s="196"/>
    </row>
    <row r="84" spans="2:14" ht="14.1" customHeight="1">
      <c r="B84" s="362" t="str">
        <f>IF(Indice_index!$Z$1=1,"Remunerações certas e permanentes","Certain and permanent wages")</f>
        <v>Remunerações certas e permanentes</v>
      </c>
      <c r="C84" s="363"/>
      <c r="D84" s="5">
        <f t="shared" si="20"/>
        <v>293.94716025000162</v>
      </c>
      <c r="E84" s="5">
        <f t="shared" si="20"/>
        <v>542.07490067000163</v>
      </c>
      <c r="F84" s="5">
        <f t="shared" si="20"/>
        <v>262.52010469199922</v>
      </c>
      <c r="G84" s="5">
        <f t="shared" si="20"/>
        <v>15.056822850000003</v>
      </c>
      <c r="H84" s="5">
        <f t="shared" si="20"/>
        <v>1113.598988462003</v>
      </c>
      <c r="I84" s="5">
        <f t="shared" si="21"/>
        <v>5.3578849502883275</v>
      </c>
      <c r="J84" s="5">
        <f t="shared" si="21"/>
        <v>11.474346528743434</v>
      </c>
      <c r="K84" s="5">
        <f t="shared" si="21"/>
        <v>8.8162173549561036</v>
      </c>
      <c r="L84" s="5">
        <f t="shared" si="21"/>
        <v>8.1928508916816654</v>
      </c>
      <c r="M84" s="5">
        <f t="shared" si="21"/>
        <v>8.3278650423021165</v>
      </c>
      <c r="N84" s="196"/>
    </row>
    <row r="85" spans="2:14" ht="14.1" customHeight="1">
      <c r="B85" s="362" t="str">
        <f>IF(Indice_index!$Z$1=1,"Abonos variáveis ou eventuais","Variable or contingent bonuses")</f>
        <v>Abonos variáveis ou eventuais</v>
      </c>
      <c r="C85" s="363"/>
      <c r="D85" s="5">
        <f t="shared" si="20"/>
        <v>22.576263009999991</v>
      </c>
      <c r="E85" s="5">
        <f t="shared" si="20"/>
        <v>65.38331630000016</v>
      </c>
      <c r="F85" s="5">
        <f t="shared" si="20"/>
        <v>39.946630543267986</v>
      </c>
      <c r="G85" s="5">
        <f t="shared" si="20"/>
        <v>1.4378337800000001</v>
      </c>
      <c r="H85" s="5">
        <f t="shared" si="20"/>
        <v>129.34404363326803</v>
      </c>
      <c r="I85" s="5">
        <f t="shared" si="21"/>
        <v>7.0684964297245063</v>
      </c>
      <c r="J85" s="5">
        <f t="shared" si="21"/>
        <v>7.9092118843559795</v>
      </c>
      <c r="K85" s="5">
        <f t="shared" si="21"/>
        <v>19.093464366549821</v>
      </c>
      <c r="L85" s="5">
        <f t="shared" si="21"/>
        <v>38.167365007122108</v>
      </c>
      <c r="M85" s="5">
        <f t="shared" si="21"/>
        <v>9.5172456983312834</v>
      </c>
      <c r="N85" s="196"/>
    </row>
    <row r="86" spans="2:14" ht="14.1" customHeight="1">
      <c r="B86" s="362" t="str">
        <f>IF(Indice_index!$Z$1=1,"Segurança social","Social security")</f>
        <v>Segurança social</v>
      </c>
      <c r="C86" s="363"/>
      <c r="D86" s="5">
        <f t="shared" si="20"/>
        <v>102.37328824000178</v>
      </c>
      <c r="E86" s="5">
        <f t="shared" si="20"/>
        <v>118.66277061999926</v>
      </c>
      <c r="F86" s="5">
        <f t="shared" si="20"/>
        <v>4.5911078718609133</v>
      </c>
      <c r="G86" s="5">
        <f t="shared" si="20"/>
        <v>2.6917355000000001</v>
      </c>
      <c r="H86" s="5">
        <f t="shared" si="20"/>
        <v>228.31890223186201</v>
      </c>
      <c r="I86" s="5">
        <f t="shared" si="21"/>
        <v>5.6272466753622172</v>
      </c>
      <c r="J86" s="5">
        <f t="shared" si="21"/>
        <v>9.2448750379910578</v>
      </c>
      <c r="K86" s="5">
        <f t="shared" si="21"/>
        <v>0.58797977372083876</v>
      </c>
      <c r="L86" s="5">
        <f t="shared" si="21"/>
        <v>6.5316499593788144</v>
      </c>
      <c r="M86" s="5">
        <f t="shared" si="21"/>
        <v>5.8172895613714743</v>
      </c>
      <c r="N86" s="196"/>
    </row>
    <row r="87" spans="2:14" ht="14.1" customHeight="1">
      <c r="B87" s="355" t="str">
        <f>IF(Indice_index!$Z$1=1,"Aquisição de bens e serviços","Purchase of goods and services")</f>
        <v>Aquisição de bens e serviços</v>
      </c>
      <c r="C87" s="356"/>
      <c r="D87" s="5">
        <f t="shared" si="20"/>
        <v>215.60395255999993</v>
      </c>
      <c r="E87" s="5">
        <f t="shared" si="20"/>
        <v>519.81288730000597</v>
      </c>
      <c r="F87" s="5">
        <f t="shared" si="20"/>
        <v>409.44730599587183</v>
      </c>
      <c r="G87" s="5">
        <f t="shared" si="20"/>
        <v>6.9318320100000008</v>
      </c>
      <c r="H87" s="5">
        <f t="shared" si="20"/>
        <v>1151.6572766458794</v>
      </c>
      <c r="I87" s="5">
        <f t="shared" si="21"/>
        <v>22.943237645978538</v>
      </c>
      <c r="J87" s="5">
        <f t="shared" si="21"/>
        <v>7.4332543638553474</v>
      </c>
      <c r="K87" s="5">
        <f t="shared" si="21"/>
        <v>15.148752011986865</v>
      </c>
      <c r="L87" s="5">
        <f t="shared" si="21"/>
        <v>12.480631061263326</v>
      </c>
      <c r="M87" s="5">
        <f t="shared" si="21"/>
        <v>10.772673777602105</v>
      </c>
      <c r="N87" s="196"/>
    </row>
    <row r="88" spans="2:14" ht="14.1" customHeight="1">
      <c r="B88" s="355" t="str">
        <f>IF(Indice_index!$Z$1=1,"Juros e outros encargos","Interests and other charges")</f>
        <v>Juros e outros encargos</v>
      </c>
      <c r="C88" s="356"/>
      <c r="D88" s="5">
        <f t="shared" si="20"/>
        <v>624.51261554999928</v>
      </c>
      <c r="E88" s="5">
        <f t="shared" si="20"/>
        <v>51.181630699999971</v>
      </c>
      <c r="F88" s="5">
        <f t="shared" si="20"/>
        <v>38.445657428173121</v>
      </c>
      <c r="G88" s="5">
        <f t="shared" si="20"/>
        <v>0.59821551000000017</v>
      </c>
      <c r="H88" s="5">
        <f t="shared" si="20"/>
        <v>485.76848233817236</v>
      </c>
      <c r="I88" s="5">
        <f t="shared" si="21"/>
        <v>14.318226518371391</v>
      </c>
      <c r="J88" s="5">
        <f t="shared" si="21"/>
        <v>44.10667865634251</v>
      </c>
      <c r="K88" s="5">
        <f t="shared" si="21"/>
        <v>20.522337612079589</v>
      </c>
      <c r="L88" s="5">
        <f t="shared" si="21"/>
        <v>12.451585465354309</v>
      </c>
      <c r="M88" s="5">
        <f t="shared" si="21"/>
        <v>10.642807208219867</v>
      </c>
      <c r="N88" s="196"/>
    </row>
    <row r="89" spans="2:14" ht="14.1" customHeight="1">
      <c r="B89" s="355" t="str">
        <f>IF(Indice_index!$Z$1=1,"Transferências correntes","Current transfers")</f>
        <v>Transferências correntes</v>
      </c>
      <c r="C89" s="356"/>
      <c r="D89" s="5">
        <f t="shared" si="20"/>
        <v>4226.9396044800014</v>
      </c>
      <c r="E89" s="5">
        <f t="shared" si="20"/>
        <v>1709.9920755900002</v>
      </c>
      <c r="F89" s="5">
        <f t="shared" si="20"/>
        <v>27.84481362010365</v>
      </c>
      <c r="G89" s="5">
        <f t="shared" si="20"/>
        <v>2738.2160496300057</v>
      </c>
      <c r="H89" s="5">
        <f t="shared" si="20"/>
        <v>4294.8448427901094</v>
      </c>
      <c r="I89" s="5">
        <f t="shared" si="21"/>
        <v>14.21473551334849</v>
      </c>
      <c r="J89" s="5">
        <f t="shared" si="21"/>
        <v>17.733794259342702</v>
      </c>
      <c r="K89" s="5">
        <f t="shared" si="21"/>
        <v>3.3220729907120288</v>
      </c>
      <c r="L89" s="5">
        <f t="shared" si="21"/>
        <v>12.118217752740652</v>
      </c>
      <c r="M89" s="5">
        <f t="shared" si="21"/>
        <v>12.923712625497446</v>
      </c>
      <c r="N89" s="196"/>
    </row>
    <row r="90" spans="2:14" ht="14.1" customHeight="1">
      <c r="B90" s="362" t="str">
        <f>IF(Indice_index!$Z$1=1,"Administrações Públicas","General Government subsectors")</f>
        <v>Administrações Públicas</v>
      </c>
      <c r="C90" s="363"/>
      <c r="D90" s="5">
        <f t="shared" si="20"/>
        <v>3736.9955074900063</v>
      </c>
      <c r="E90" s="5">
        <f t="shared" si="20"/>
        <v>407.58436891000019</v>
      </c>
      <c r="F90" s="5">
        <f t="shared" si="20"/>
        <v>-8.3905376599999926</v>
      </c>
      <c r="G90" s="5">
        <f t="shared" si="20"/>
        <v>271.95836179000025</v>
      </c>
      <c r="H90" s="5">
        <f t="shared" si="20"/>
        <v>0</v>
      </c>
      <c r="I90" s="5">
        <f t="shared" si="21"/>
        <v>13.663703855904899</v>
      </c>
      <c r="J90" s="5">
        <f t="shared" si="21"/>
        <v>51.336263675549851</v>
      </c>
      <c r="K90" s="5">
        <f t="shared" si="21"/>
        <v>-7.1533390409183228</v>
      </c>
      <c r="L90" s="5">
        <f t="shared" si="21"/>
        <v>20.609204700789544</v>
      </c>
      <c r="M90" s="5" t="str">
        <f t="shared" si="21"/>
        <v>-</v>
      </c>
      <c r="N90" s="196"/>
    </row>
    <row r="91" spans="2:14" ht="14.1" customHeight="1">
      <c r="B91" s="362" t="str">
        <f>IF(Indice_index!$Z$1=1,"Outras","Others")</f>
        <v>Outras</v>
      </c>
      <c r="C91" s="363"/>
      <c r="D91" s="5">
        <f t="shared" si="20"/>
        <v>489.94409699000062</v>
      </c>
      <c r="E91" s="5">
        <f t="shared" si="20"/>
        <v>1302.40770668</v>
      </c>
      <c r="F91" s="5">
        <f t="shared" si="20"/>
        <v>36.2353512801036</v>
      </c>
      <c r="G91" s="5">
        <f t="shared" si="20"/>
        <v>2466.2576878400032</v>
      </c>
      <c r="H91" s="5">
        <f t="shared" si="20"/>
        <v>4294.8448427901094</v>
      </c>
      <c r="I91" s="5">
        <f t="shared" si="21"/>
        <v>20.52961277368674</v>
      </c>
      <c r="J91" s="5">
        <f t="shared" si="21"/>
        <v>14.718780323089387</v>
      </c>
      <c r="K91" s="5">
        <f t="shared" si="21"/>
        <v>5.0265409684904316</v>
      </c>
      <c r="L91" s="5">
        <f t="shared" si="21"/>
        <v>11.591589798080717</v>
      </c>
      <c r="M91" s="5">
        <f t="shared" si="21"/>
        <v>12.923712625497446</v>
      </c>
      <c r="N91" s="196"/>
    </row>
    <row r="92" spans="2:14" ht="14.1" customHeight="1">
      <c r="B92" s="355" t="str">
        <f>IF(Indice_index!$Z$1=1,"Subsídios","Subsidies")</f>
        <v>Subsídios</v>
      </c>
      <c r="C92" s="356"/>
      <c r="D92" s="5">
        <f t="shared" si="20"/>
        <v>118.97027569999997</v>
      </c>
      <c r="E92" s="5">
        <f t="shared" si="20"/>
        <v>-60.028745810000146</v>
      </c>
      <c r="F92" s="5">
        <f t="shared" si="20"/>
        <v>142.44454403404796</v>
      </c>
      <c r="G92" s="5">
        <f t="shared" si="20"/>
        <v>-205.63326763999999</v>
      </c>
      <c r="H92" s="5">
        <f t="shared" si="20"/>
        <v>-107.56700098595206</v>
      </c>
      <c r="I92" s="5">
        <f t="shared" si="21"/>
        <v>230.75814510565297</v>
      </c>
      <c r="J92" s="5">
        <f t="shared" si="21"/>
        <v>-10.383909720721428</v>
      </c>
      <c r="K92" s="5">
        <f t="shared" si="21"/>
        <v>37.083878381019055</v>
      </c>
      <c r="L92" s="5">
        <f t="shared" si="21"/>
        <v>-33.656753949719587</v>
      </c>
      <c r="M92" s="5">
        <f t="shared" si="21"/>
        <v>-7.6778856393673909</v>
      </c>
      <c r="N92" s="196"/>
    </row>
    <row r="93" spans="2:14" ht="14.1" customHeight="1">
      <c r="B93" s="355" t="str">
        <f>IF(Indice_index!$Z$1=1,"Outras despesas correntes","Other current expenditures")</f>
        <v>Outras despesas correntes</v>
      </c>
      <c r="C93" s="356"/>
      <c r="D93" s="5">
        <f t="shared" si="20"/>
        <v>39.956379840000061</v>
      </c>
      <c r="E93" s="5">
        <f t="shared" si="20"/>
        <v>137.51618066999995</v>
      </c>
      <c r="F93" s="5">
        <f t="shared" si="20"/>
        <v>39.231593023020338</v>
      </c>
      <c r="G93" s="5">
        <f t="shared" si="20"/>
        <v>1.7657426800000007</v>
      </c>
      <c r="H93" s="5">
        <f t="shared" si="20"/>
        <v>218.46989621302049</v>
      </c>
      <c r="I93" s="5">
        <f t="shared" si="21"/>
        <v>88.052758320620697</v>
      </c>
      <c r="J93" s="5">
        <f t="shared" si="21"/>
        <v>68.580117636238441</v>
      </c>
      <c r="K93" s="5">
        <f t="shared" si="21"/>
        <v>38.501646023535322</v>
      </c>
      <c r="L93" s="5">
        <f t="shared" si="21"/>
        <v>32.758433779310856</v>
      </c>
      <c r="M93" s="5">
        <f t="shared" si="21"/>
        <v>61.857443879736294</v>
      </c>
      <c r="N93" s="196"/>
    </row>
    <row r="94" spans="2:14" ht="14.1" customHeight="1">
      <c r="B94" s="355" t="str">
        <f>IF(Indice_index!$Z$1=1,"Diferenças de consolidação","Consolidation differences")</f>
        <v>Diferenças de consolidação</v>
      </c>
      <c r="C94" s="356"/>
      <c r="D94" s="5">
        <f t="shared" si="20"/>
        <v>-2.8538534599999972</v>
      </c>
      <c r="E94" s="5">
        <f t="shared" si="20"/>
        <v>-35.922607869999865</v>
      </c>
      <c r="F94" s="5">
        <f t="shared" si="20"/>
        <v>4.3040399999999994E-3</v>
      </c>
      <c r="G94" s="5">
        <f t="shared" si="20"/>
        <v>0</v>
      </c>
      <c r="H94" s="5">
        <f t="shared" si="20"/>
        <v>234.40996142001418</v>
      </c>
      <c r="I94" s="5" t="s">
        <v>4</v>
      </c>
      <c r="J94" s="5" t="s">
        <v>4</v>
      </c>
      <c r="K94" s="5" t="s">
        <v>4</v>
      </c>
      <c r="L94" s="5" t="s">
        <v>4</v>
      </c>
      <c r="M94" s="5" t="s">
        <v>4</v>
      </c>
      <c r="N94" s="196"/>
    </row>
    <row r="95" spans="2:14" ht="14.1" customHeight="1">
      <c r="B95" s="360" t="str">
        <f>IF(Indice_index!$Z$1=1,"Despesa de capital","Capital expenditure")</f>
        <v>Despesa de capital</v>
      </c>
      <c r="C95" s="361"/>
      <c r="D95" s="161">
        <f t="shared" si="20"/>
        <v>906.21675877999996</v>
      </c>
      <c r="E95" s="161">
        <f t="shared" si="20"/>
        <v>23.816825969999627</v>
      </c>
      <c r="F95" s="161">
        <f t="shared" si="20"/>
        <v>70.826786624563738</v>
      </c>
      <c r="G95" s="161">
        <f t="shared" si="20"/>
        <v>54.106820949999999</v>
      </c>
      <c r="H95" s="161">
        <f t="shared" si="20"/>
        <v>579.47943374456281</v>
      </c>
      <c r="I95" s="161">
        <f t="shared" ref="I95:M100" si="22">IF(IFERROR((I44-D44)/D44*100,"")&gt;500,"-",IFERROR((I44-D44)/D44*100,""))</f>
        <v>51.203328512956446</v>
      </c>
      <c r="J95" s="161">
        <f t="shared" si="22"/>
        <v>0.68521771292417577</v>
      </c>
      <c r="K95" s="161">
        <f t="shared" si="22"/>
        <v>3.2376365551711217</v>
      </c>
      <c r="L95" s="161">
        <f t="shared" si="22"/>
        <v>105.47920683193361</v>
      </c>
      <c r="M95" s="161">
        <f t="shared" si="22"/>
        <v>9.8490223492572735</v>
      </c>
      <c r="N95" s="196"/>
    </row>
    <row r="96" spans="2:14" ht="14.1" customHeight="1">
      <c r="B96" s="355" t="str">
        <f>IF(Indice_index!$Z$1=1,"Investimentos","Investments")</f>
        <v>Investimentos</v>
      </c>
      <c r="C96" s="356"/>
      <c r="D96" s="5">
        <f t="shared" ref="D96:H107" si="23">I45-D45</f>
        <v>158.12925291000002</v>
      </c>
      <c r="E96" s="5">
        <f t="shared" si="23"/>
        <v>-47.536043840000275</v>
      </c>
      <c r="F96" s="5">
        <f t="shared" si="23"/>
        <v>41.078896466220158</v>
      </c>
      <c r="G96" s="5">
        <f t="shared" si="23"/>
        <v>11.643848539999997</v>
      </c>
      <c r="H96" s="5">
        <f t="shared" si="23"/>
        <v>163.3159540762199</v>
      </c>
      <c r="I96" s="5">
        <f t="shared" si="22"/>
        <v>72.323627276096886</v>
      </c>
      <c r="J96" s="5">
        <f t="shared" si="22"/>
        <v>-2.116045237578525</v>
      </c>
      <c r="K96" s="5">
        <f t="shared" si="22"/>
        <v>2.187197330752769</v>
      </c>
      <c r="L96" s="5">
        <f t="shared" si="22"/>
        <v>41.80616506064689</v>
      </c>
      <c r="M96" s="5">
        <f t="shared" si="22"/>
        <v>3.7362646946681206</v>
      </c>
      <c r="N96" s="196"/>
    </row>
    <row r="97" spans="2:14" ht="14.1" customHeight="1">
      <c r="B97" s="355" t="str">
        <f>IF(Indice_index!$Z$1=1,"Transferências de capital","Capital transfers")</f>
        <v>Transferências de capital</v>
      </c>
      <c r="C97" s="356"/>
      <c r="D97" s="5">
        <f t="shared" si="23"/>
        <v>747.55912994000005</v>
      </c>
      <c r="E97" s="5">
        <f t="shared" si="23"/>
        <v>80.066828770000029</v>
      </c>
      <c r="F97" s="5">
        <f t="shared" si="23"/>
        <v>16.631124085898762</v>
      </c>
      <c r="G97" s="5">
        <f t="shared" si="23"/>
        <v>42.462972410000006</v>
      </c>
      <c r="H97" s="5">
        <f t="shared" si="23"/>
        <v>4.4065344558985089</v>
      </c>
      <c r="I97" s="5">
        <f t="shared" si="22"/>
        <v>48.277345803384733</v>
      </c>
      <c r="J97" s="5">
        <f t="shared" si="22"/>
        <v>7.6712330638313118</v>
      </c>
      <c r="K97" s="5">
        <f t="shared" si="22"/>
        <v>5.5472189015207114</v>
      </c>
      <c r="L97" s="5">
        <f t="shared" si="22"/>
        <v>181.12351651866382</v>
      </c>
      <c r="M97" s="5">
        <f t="shared" si="22"/>
        <v>0.34880639439458822</v>
      </c>
      <c r="N97" s="196"/>
    </row>
    <row r="98" spans="2:14" ht="14.1" customHeight="1">
      <c r="B98" s="362" t="str">
        <f>IF(Indice_index!$Z$1=1,"Administrações Públicas","General Government subsectors")</f>
        <v>Administrações Públicas</v>
      </c>
      <c r="C98" s="363"/>
      <c r="D98" s="5">
        <f t="shared" si="23"/>
        <v>751.13767015999997</v>
      </c>
      <c r="E98" s="5">
        <f t="shared" si="23"/>
        <v>133.34444886000003</v>
      </c>
      <c r="F98" s="5">
        <f t="shared" si="23"/>
        <v>-2.1685982699999977</v>
      </c>
      <c r="G98" s="5">
        <f t="shared" si="23"/>
        <v>0</v>
      </c>
      <c r="H98" s="5">
        <f t="shared" si="23"/>
        <v>0</v>
      </c>
      <c r="I98" s="5">
        <f t="shared" si="22"/>
        <v>49.662783581394166</v>
      </c>
      <c r="J98" s="5">
        <f t="shared" si="22"/>
        <v>102.50873910158305</v>
      </c>
      <c r="K98" s="5">
        <f t="shared" si="22"/>
        <v>-22.6480909520821</v>
      </c>
      <c r="L98" s="5" t="str">
        <f t="shared" si="22"/>
        <v>-</v>
      </c>
      <c r="M98" s="5" t="str">
        <f t="shared" si="22"/>
        <v>-</v>
      </c>
      <c r="N98" s="196"/>
    </row>
    <row r="99" spans="2:14" ht="14.1" customHeight="1">
      <c r="B99" s="362" t="str">
        <f>IF(Indice_index!$Z$1=1,"Outras","Others")</f>
        <v>Outras</v>
      </c>
      <c r="C99" s="363"/>
      <c r="D99" s="5">
        <f t="shared" si="23"/>
        <v>-3.5785402199999936</v>
      </c>
      <c r="E99" s="5">
        <f t="shared" si="23"/>
        <v>-53.277620089999914</v>
      </c>
      <c r="F99" s="5">
        <f t="shared" si="23"/>
        <v>18.79972235589878</v>
      </c>
      <c r="G99" s="5">
        <f t="shared" si="23"/>
        <v>42.462972410000006</v>
      </c>
      <c r="H99" s="5">
        <f t="shared" si="23"/>
        <v>4.4065344558985089</v>
      </c>
      <c r="I99" s="5">
        <f t="shared" si="22"/>
        <v>-9.9426613263049326</v>
      </c>
      <c r="J99" s="5">
        <f t="shared" si="22"/>
        <v>-5.8313119895250249</v>
      </c>
      <c r="K99" s="5">
        <f t="shared" si="22"/>
        <v>6.4774153796728671</v>
      </c>
      <c r="L99" s="5">
        <f t="shared" si="22"/>
        <v>181.12351651866382</v>
      </c>
      <c r="M99" s="5">
        <f t="shared" si="22"/>
        <v>0.34880639439458822</v>
      </c>
      <c r="N99" s="196"/>
    </row>
    <row r="100" spans="2:14" ht="14.1" customHeight="1">
      <c r="B100" s="355" t="str">
        <f>IF(Indice_index!$Z$1=1,"Outras despesas de capital","Other capital expenditures")</f>
        <v>Outras despesas de capital</v>
      </c>
      <c r="C100" s="356"/>
      <c r="D100" s="5">
        <f t="shared" si="23"/>
        <v>0.45457381000000008</v>
      </c>
      <c r="E100" s="5">
        <f t="shared" si="23"/>
        <v>-25.749468469999954</v>
      </c>
      <c r="F100" s="5">
        <f t="shared" si="23"/>
        <v>13.116766072444667</v>
      </c>
      <c r="G100" s="5">
        <f t="shared" si="23"/>
        <v>0</v>
      </c>
      <c r="H100" s="5">
        <f t="shared" si="23"/>
        <v>-12.178128587555278</v>
      </c>
      <c r="I100" s="5">
        <f t="shared" si="22"/>
        <v>49.069383204631237</v>
      </c>
      <c r="J100" s="5">
        <f t="shared" si="22"/>
        <v>-16.092047786198414</v>
      </c>
      <c r="K100" s="5">
        <f t="shared" si="22"/>
        <v>135.99131847984222</v>
      </c>
      <c r="L100" s="5" t="str">
        <f t="shared" si="22"/>
        <v>-</v>
      </c>
      <c r="M100" s="5">
        <f t="shared" si="22"/>
        <v>-7.1390254603203225</v>
      </c>
      <c r="N100" s="196"/>
    </row>
    <row r="101" spans="2:14" ht="14.1" customHeight="1">
      <c r="B101" s="355" t="str">
        <f>IF(Indice_index!$Z$1=1,"Diferenças de consolidação","Consolidation differences")</f>
        <v>Diferenças de consolidação</v>
      </c>
      <c r="C101" s="356"/>
      <c r="D101" s="5">
        <f t="shared" si="23"/>
        <v>7.3802119999996307E-2</v>
      </c>
      <c r="E101" s="5">
        <f t="shared" si="23"/>
        <v>17.035509509999997</v>
      </c>
      <c r="F101" s="5">
        <f t="shared" si="23"/>
        <v>0</v>
      </c>
      <c r="G101" s="5">
        <f t="shared" si="23"/>
        <v>0</v>
      </c>
      <c r="H101" s="5">
        <f t="shared" si="23"/>
        <v>423.93507379999949</v>
      </c>
      <c r="I101" s="5" t="s">
        <v>4</v>
      </c>
      <c r="J101" s="5" t="s">
        <v>4</v>
      </c>
      <c r="K101" s="5" t="s">
        <v>4</v>
      </c>
      <c r="L101" s="5" t="s">
        <v>4</v>
      </c>
      <c r="M101" s="5" t="s">
        <v>4</v>
      </c>
      <c r="N101" s="196"/>
    </row>
    <row r="102" spans="2:14" ht="14.1" customHeight="1">
      <c r="B102" s="366" t="str">
        <f>IF(Indice_index!$Z$1=1,"Despesa efetiva","Effective expenditure")</f>
        <v>Despesa efetiva</v>
      </c>
      <c r="C102" s="367"/>
      <c r="D102" s="26">
        <f t="shared" si="23"/>
        <v>6548.2424449499958</v>
      </c>
      <c r="E102" s="26">
        <f t="shared" si="23"/>
        <v>3072.4892341400082</v>
      </c>
      <c r="F102" s="26">
        <f t="shared" si="23"/>
        <v>1035.3028478729066</v>
      </c>
      <c r="G102" s="26">
        <f t="shared" si="23"/>
        <v>2615.1717852700058</v>
      </c>
      <c r="H102" s="26">
        <f t="shared" si="23"/>
        <v>8328.3248264929425</v>
      </c>
      <c r="I102" s="26">
        <f>IF(IFERROR((I51-D51)/D51*100,"")&gt;500,"-",IFERROR((I51-D51)/D51*100,""))</f>
        <v>14.704472918225479</v>
      </c>
      <c r="J102" s="26">
        <f>IF(IFERROR((J51-E51)/E51*100,"")&gt;500,"-",IFERROR((J51-E51)/E51*100,""))</f>
        <v>11.02180046662172</v>
      </c>
      <c r="K102" s="26">
        <f>IF(IFERROR((K51-F51)/F51*100,"")&gt;500,"-",IFERROR((K51-F51)/F51*100,""))</f>
        <v>9.9839094066605227</v>
      </c>
      <c r="L102" s="26">
        <f>IF(IFERROR((L51-G51)/G51*100,"")&gt;500,"-",IFERROR((L51-G51)/G51*100,""))</f>
        <v>11.103525551435798</v>
      </c>
      <c r="M102" s="27">
        <f>IF(IFERROR((M51-H51)/H51*100,"")&gt;500,"-",IFERROR((M51-H51)/H51*100,""))</f>
        <v>11.131203091131985</v>
      </c>
      <c r="N102" s="25"/>
    </row>
    <row r="103" spans="2:14" ht="14.1" customHeight="1">
      <c r="B103" s="366" t="str">
        <f>IF(Indice_index!$Z$1=1,"Saldo global","Overall balance")</f>
        <v>Saldo global</v>
      </c>
      <c r="C103" s="367"/>
      <c r="D103" s="26">
        <f t="shared" si="23"/>
        <v>-3192.6692292400039</v>
      </c>
      <c r="E103" s="26">
        <f t="shared" si="23"/>
        <v>-2273.7539849299974</v>
      </c>
      <c r="F103" s="26">
        <f t="shared" si="23"/>
        <v>416.61598896569922</v>
      </c>
      <c r="G103" s="26">
        <f t="shared" si="23"/>
        <v>422.27220195999689</v>
      </c>
      <c r="H103" s="26">
        <f t="shared" si="23"/>
        <v>-4627.5350232443016</v>
      </c>
      <c r="I103" s="26"/>
      <c r="J103" s="26"/>
      <c r="K103" s="26"/>
      <c r="L103" s="26"/>
      <c r="M103" s="27"/>
      <c r="N103" s="25"/>
    </row>
    <row r="104" spans="2:14" ht="14.1" customHeight="1">
      <c r="B104" s="355" t="str">
        <f>IF(Indice_index!$Z$1=1,"Despesa primária","Primary expenditure")</f>
        <v>Despesa primária</v>
      </c>
      <c r="C104" s="356"/>
      <c r="D104" s="5">
        <f t="shared" si="23"/>
        <v>5923.729829399992</v>
      </c>
      <c r="E104" s="5">
        <f t="shared" si="23"/>
        <v>3021.307603440011</v>
      </c>
      <c r="F104" s="5">
        <f t="shared" si="23"/>
        <v>996.85719044473262</v>
      </c>
      <c r="G104" s="5">
        <f t="shared" si="23"/>
        <v>2614.5735697600066</v>
      </c>
      <c r="H104" s="5">
        <f t="shared" si="23"/>
        <v>7842.5563441547565</v>
      </c>
      <c r="I104" s="5">
        <f>IF(IFERROR((I53-D53)/D53*100,"")&gt;500,"-",IFERROR((I53-D53)/D53*100,""))</f>
        <v>14.746410899325699</v>
      </c>
      <c r="J104" s="5">
        <f>IF(IFERROR((J53-E53)/E53*100,"")&gt;500,"-",IFERROR((J53-E53)/E53*100,""))</f>
        <v>10.883503365901738</v>
      </c>
      <c r="K104" s="5">
        <f>IF(IFERROR((K53-F53)/F53*100,"")&gt;500,"-",IFERROR((K53-F53)/F53*100,""))</f>
        <v>9.7900231271532512</v>
      </c>
      <c r="L104" s="5">
        <f>IF(IFERROR((L53-G53)/G53*100,"")&gt;500,"-",IFERROR((L53-G53)/G53*100,""))</f>
        <v>11.103250514208243</v>
      </c>
      <c r="M104" s="5">
        <f>IF(IFERROR((M53-H53)/H53*100,"")&gt;500,"-",IFERROR((M53-H53)/H53*100,""))</f>
        <v>11.162932778615335</v>
      </c>
      <c r="N104" s="196"/>
    </row>
    <row r="105" spans="2:14" ht="14.1" customHeight="1">
      <c r="B105" s="355" t="str">
        <f>IF(Indice_index!$Z$1=1,"Saldo corrente","Current balance")</f>
        <v>Saldo corrente</v>
      </c>
      <c r="C105" s="356"/>
      <c r="D105" s="5">
        <f t="shared" si="23"/>
        <v>-2474.2856797700006</v>
      </c>
      <c r="E105" s="5">
        <f t="shared" si="23"/>
        <v>518.96683018000476</v>
      </c>
      <c r="F105" s="5">
        <f t="shared" si="23"/>
        <v>147.24118598816221</v>
      </c>
      <c r="G105" s="5">
        <f t="shared" si="23"/>
        <v>476.07762166999601</v>
      </c>
      <c r="H105" s="5">
        <f t="shared" si="23"/>
        <v>-1332.0000419318385</v>
      </c>
      <c r="I105" s="5"/>
      <c r="J105" s="5"/>
      <c r="K105" s="5"/>
      <c r="L105" s="5"/>
      <c r="M105" s="5"/>
      <c r="N105" s="196"/>
    </row>
    <row r="106" spans="2:14" ht="14.1" customHeight="1">
      <c r="B106" s="355" t="str">
        <f>IF(Indice_index!$Z$1=1,"Saldo de capital","Capital balance")</f>
        <v>Saldo de capital</v>
      </c>
      <c r="C106" s="356"/>
      <c r="D106" s="5">
        <f t="shared" si="23"/>
        <v>-718.38354946999993</v>
      </c>
      <c r="E106" s="5">
        <f t="shared" si="23"/>
        <v>-2792.7208151099994</v>
      </c>
      <c r="F106" s="5">
        <f t="shared" si="23"/>
        <v>269.37480297753609</v>
      </c>
      <c r="G106" s="5">
        <f t="shared" si="23"/>
        <v>-53.805419709999995</v>
      </c>
      <c r="H106" s="5">
        <f t="shared" si="23"/>
        <v>-3295.5349813124635</v>
      </c>
      <c r="I106" s="5"/>
      <c r="J106" s="5"/>
      <c r="K106" s="5"/>
      <c r="L106" s="5"/>
      <c r="M106" s="5"/>
      <c r="N106" s="196"/>
    </row>
    <row r="107" spans="2:14" ht="14.1" customHeight="1">
      <c r="B107" s="368" t="str">
        <f>IF(Indice_index!$Z$1=1,"Saldo primário","Primary balance")</f>
        <v>Saldo primário</v>
      </c>
      <c r="C107" s="369"/>
      <c r="D107" s="20">
        <f t="shared" si="23"/>
        <v>-2568.1566136900001</v>
      </c>
      <c r="E107" s="20">
        <f t="shared" si="23"/>
        <v>-2222.5723542300002</v>
      </c>
      <c r="F107" s="20">
        <f t="shared" si="23"/>
        <v>455.06164639387316</v>
      </c>
      <c r="G107" s="20">
        <f t="shared" si="23"/>
        <v>422.87041746999603</v>
      </c>
      <c r="H107" s="20">
        <f t="shared" si="23"/>
        <v>-4141.7665409061156</v>
      </c>
      <c r="I107" s="20"/>
      <c r="J107" s="20"/>
      <c r="K107" s="20"/>
      <c r="L107" s="20"/>
      <c r="M107" s="20"/>
      <c r="N107" s="196"/>
    </row>
    <row r="108" spans="2:14" ht="15">
      <c r="B108" s="10" t="str">
        <f>IF(Indice_index!$Z$1=1,"Fonte: Direção-Geral do Orçamento.","Source: Budget General Directorate")</f>
        <v>Fonte: Direção-Geral do Orçamento.</v>
      </c>
      <c r="C108" s="10"/>
      <c r="D108" s="10"/>
      <c r="E108" s="10"/>
      <c r="F108" s="10"/>
      <c r="G108" s="10"/>
      <c r="H108" s="10"/>
      <c r="I108" s="10"/>
      <c r="J108" s="10"/>
      <c r="K108" s="10"/>
      <c r="L108" s="10"/>
      <c r="M108" s="10"/>
      <c r="N108" s="196"/>
    </row>
    <row r="109" spans="2:14" ht="14.85" customHeight="1"/>
  </sheetData>
  <mergeCells count="54">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58:N58"/>
    <mergeCell ref="B61:C61"/>
    <mergeCell ref="B62:C63"/>
    <mergeCell ref="B9:C9"/>
    <mergeCell ref="B10:B12"/>
    <mergeCell ref="D10:M10"/>
    <mergeCell ref="C11:H11"/>
    <mergeCell ref="I11:N11"/>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2:M52"/>
  <sheetViews>
    <sheetView showGridLines="0" zoomScaleNormal="100" workbookViewId="0"/>
  </sheetViews>
  <sheetFormatPr defaultRowHeight="15"/>
  <cols>
    <col min="1" max="1" width="9.5703125" style="21" customWidth="1"/>
    <col min="2" max="2" width="35.5703125" style="166" customWidth="1"/>
    <col min="3" max="4" width="9.5703125" style="166" customWidth="1"/>
    <col min="5" max="7" width="9.42578125" style="166"/>
    <col min="8" max="8" width="2.5703125" style="166" customWidth="1"/>
    <col min="9" max="10" width="9.5703125" style="166" customWidth="1"/>
    <col min="11" max="13" width="9.42578125" style="166"/>
  </cols>
  <sheetData>
    <row r="2" spans="2:12">
      <c r="B2" s="13"/>
      <c r="C2" s="14"/>
      <c r="D2" s="12"/>
      <c r="E2" s="12"/>
      <c r="F2" s="12"/>
      <c r="G2" s="12"/>
      <c r="H2" s="12"/>
      <c r="I2" s="12"/>
      <c r="J2" s="12"/>
      <c r="K2" s="12"/>
      <c r="L2" s="11"/>
    </row>
    <row r="3" spans="2:12">
      <c r="B3" s="13"/>
      <c r="C3" s="14"/>
      <c r="D3" s="12"/>
      <c r="E3" s="12"/>
      <c r="F3" s="12"/>
      <c r="G3" s="12"/>
      <c r="H3" s="12"/>
      <c r="I3" s="12"/>
      <c r="J3" s="12"/>
      <c r="K3" s="12"/>
      <c r="L3" s="11"/>
    </row>
    <row r="4" spans="2:12">
      <c r="B4" s="13"/>
      <c r="C4" s="14"/>
      <c r="D4" s="12"/>
      <c r="E4" s="12"/>
      <c r="F4" s="12"/>
      <c r="G4" s="12"/>
      <c r="H4" s="12"/>
      <c r="I4" s="12"/>
      <c r="J4" s="12"/>
      <c r="K4" s="12"/>
      <c r="L4" s="11"/>
    </row>
    <row r="5" spans="2:12">
      <c r="B5" s="13"/>
      <c r="C5" s="14"/>
      <c r="D5" s="12"/>
      <c r="E5" s="12"/>
      <c r="F5" s="12"/>
      <c r="G5" s="12"/>
      <c r="H5" s="12"/>
      <c r="I5" s="12"/>
      <c r="J5" s="12"/>
      <c r="K5" s="12"/>
      <c r="L5" s="11"/>
    </row>
    <row r="6" spans="2:12">
      <c r="B6" s="13"/>
      <c r="C6" s="14"/>
      <c r="D6" s="12"/>
      <c r="E6" s="12"/>
      <c r="F6" s="12"/>
      <c r="G6" s="12"/>
      <c r="H6" s="12"/>
      <c r="I6" s="12"/>
      <c r="J6" s="12"/>
      <c r="K6" s="12"/>
      <c r="L6" s="11"/>
    </row>
    <row r="7" spans="2:12" ht="50.1" customHeight="1">
      <c r="B7" s="13"/>
      <c r="C7" s="14"/>
      <c r="D7" s="12"/>
      <c r="E7" s="12"/>
      <c r="F7" s="12"/>
      <c r="G7" s="12"/>
      <c r="H7" s="12"/>
      <c r="I7" s="12"/>
      <c r="J7" s="12"/>
      <c r="K7" s="12"/>
      <c r="L7" s="11"/>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70" t="s">
        <v>448</v>
      </c>
      <c r="J9" s="370"/>
      <c r="K9" s="370"/>
      <c r="L9" s="370"/>
    </row>
    <row r="10" spans="2:12">
      <c r="B10" s="3" t="str">
        <f>+'2 - Conta Consol AP'!B9:C9</f>
        <v>Período: janeiro a setembro</v>
      </c>
      <c r="C10" s="3"/>
      <c r="D10" s="3"/>
      <c r="E10" s="3"/>
      <c r="F10" s="3"/>
      <c r="G10" s="3"/>
      <c r="H10" s="3"/>
      <c r="I10" s="3"/>
      <c r="J10" s="3"/>
      <c r="K10" s="3"/>
      <c r="L10" s="3" t="s">
        <v>449</v>
      </c>
    </row>
    <row r="11" spans="2:12" ht="30.75" customHeight="1">
      <c r="B11" s="371"/>
      <c r="C11" s="372" t="str">
        <f>IF(Indice_index!$Z$1=1,"Execução Acumulada","Accumulated Execution")</f>
        <v>Execução Acumulada</v>
      </c>
      <c r="D11" s="373"/>
      <c r="E11" s="374" t="str">
        <f>IF(Indice_index!$Z$1=1,"Variação Homóloga Acumulada","YOY Change Rate")</f>
        <v>Variação Homóloga Acumulada</v>
      </c>
      <c r="F11" s="375"/>
      <c r="G11" s="376" t="s">
        <v>540</v>
      </c>
      <c r="H11" s="167"/>
      <c r="I11" s="372" t="str">
        <f>IF(Indice_index!$Z$1=1,"Execução Acumulada","Accumulated Execution")</f>
        <v>Execução Acumulada</v>
      </c>
      <c r="J11" s="373"/>
      <c r="K11" s="374" t="str">
        <f>IF(Indice_index!$Z$1=1,"Variação Homóloga Acumulada","YOY Change Rate")</f>
        <v>Variação Homóloga Acumulada</v>
      </c>
      <c r="L11" s="375"/>
    </row>
    <row r="12" spans="2:12" ht="24">
      <c r="B12" s="371"/>
      <c r="C12" s="24">
        <v>2023</v>
      </c>
      <c r="D12" s="24">
        <v>2024</v>
      </c>
      <c r="E12" s="24" t="s">
        <v>450</v>
      </c>
      <c r="F12" s="24" t="str">
        <f>IF(Indice_index!$Z$1=1,"Relativa (%)","Relative change (%)")</f>
        <v>Relativa (%)</v>
      </c>
      <c r="G12" s="376"/>
      <c r="I12" s="24">
        <v>2023</v>
      </c>
      <c r="J12" s="24">
        <v>2024</v>
      </c>
      <c r="K12" s="24" t="s">
        <v>450</v>
      </c>
      <c r="L12" s="24" t="str">
        <f>IF(Indice_index!$Z$1=1,"Relativa (%)","Relative change (%)")</f>
        <v>Relativa (%)</v>
      </c>
    </row>
    <row r="13" spans="2:12">
      <c r="B13" s="212" t="str">
        <f>IF(Indice_index!$Z$1=1,"Receita corrente","Current revenue")</f>
        <v>Receita corrente</v>
      </c>
      <c r="C13" s="161">
        <f>+C14+C17+C18+C19+C20</f>
        <v>79900.787084699215</v>
      </c>
      <c r="D13" s="161">
        <f>+D14+D17+D18+D19+D20</f>
        <v>86317.632435515756</v>
      </c>
      <c r="E13" s="161">
        <f t="shared" ref="E13:E44" si="0">+D13-C13</f>
        <v>6416.8453508165403</v>
      </c>
      <c r="F13" s="161">
        <f t="shared" ref="F13:F19" si="1">IF(IFERROR((D13-C13)/C13*100,"")&gt;500,"-",IFERROR((D13-C13)/C13*100,""))</f>
        <v>8.0310164454504473</v>
      </c>
      <c r="G13" s="161">
        <f t="shared" ref="G13:G19" si="2">IFERROR((D13-C13)/$C$26*100,"")</f>
        <v>7.5357249585293236</v>
      </c>
      <c r="H13" s="169"/>
      <c r="I13" s="161">
        <f>+I14+I17+I18+I19+I20</f>
        <v>74037.109908429993</v>
      </c>
      <c r="J13" s="161">
        <f>+J14+J17+J18+J19+J20</f>
        <v>79921.65076121001</v>
      </c>
      <c r="K13" s="161">
        <f t="shared" ref="K13:K44" si="3">+J13-I13</f>
        <v>5884.5408527800173</v>
      </c>
      <c r="L13" s="161">
        <f t="shared" ref="L13:L19" si="4">IF(IFERROR((J13-I13)/I13*100,"")&gt;500,"-",IFERROR((J13-I13)/I13*100,""))</f>
        <v>7.9480963803936833</v>
      </c>
    </row>
    <row r="14" spans="2:12">
      <c r="B14" s="150" t="str">
        <f>IF(Indice_index!$Z$1=1,"Receita fiscal","Tax")</f>
        <v>Receita fiscal</v>
      </c>
      <c r="C14" s="5">
        <f>+C15+C16</f>
        <v>48098.690871511484</v>
      </c>
      <c r="D14" s="5">
        <f>+D15+D16</f>
        <v>50665.892312024574</v>
      </c>
      <c r="E14" s="5">
        <f t="shared" si="0"/>
        <v>2567.2014405130903</v>
      </c>
      <c r="F14" s="5">
        <f t="shared" si="1"/>
        <v>5.3373623980140916</v>
      </c>
      <c r="G14" s="5">
        <f t="shared" si="2"/>
        <v>3.0148340673949998</v>
      </c>
      <c r="H14" s="169"/>
      <c r="I14" s="5">
        <f>+I15+I16</f>
        <v>43762.492367619998</v>
      </c>
      <c r="J14" s="5">
        <f>+J15+J16</f>
        <v>46126.688716870005</v>
      </c>
      <c r="K14" s="5">
        <f t="shared" si="3"/>
        <v>2364.1963492500072</v>
      </c>
      <c r="L14" s="5">
        <f t="shared" si="4"/>
        <v>5.4023347879502479</v>
      </c>
    </row>
    <row r="15" spans="2:12">
      <c r="B15" s="210" t="str">
        <f>IF(Indice_index!$Z$1=1,"Impostos diretos","Direct taxes")</f>
        <v>Impostos diretos</v>
      </c>
      <c r="C15" s="5">
        <f>+'2 - Conta Consol AP'!H15</f>
        <v>23273.756572100596</v>
      </c>
      <c r="D15" s="5">
        <f>+'2 - Conta Consol AP'!M15</f>
        <v>24928.564094590864</v>
      </c>
      <c r="E15" s="5">
        <f t="shared" si="0"/>
        <v>1654.8075224902677</v>
      </c>
      <c r="F15" s="5">
        <f t="shared" si="1"/>
        <v>7.1101866059472645</v>
      </c>
      <c r="G15" s="5">
        <f t="shared" si="2"/>
        <v>1.9433496783906692</v>
      </c>
      <c r="H15" s="169"/>
      <c r="I15" s="5">
        <f>+'3 - Conta AC + SS'!E14</f>
        <v>19844.960008369999</v>
      </c>
      <c r="J15" s="5">
        <f>+'3 - Conta AC + SS'!F14</f>
        <v>21407.024198310002</v>
      </c>
      <c r="K15" s="5">
        <f t="shared" si="3"/>
        <v>1562.0641899400034</v>
      </c>
      <c r="L15" s="5">
        <f t="shared" si="4"/>
        <v>7.87133957075838</v>
      </c>
    </row>
    <row r="16" spans="2:12">
      <c r="B16" s="210" t="str">
        <f>IF(Indice_index!$Z$1=1,"Impostos indiretos","Indirect taxes")</f>
        <v>Impostos indiretos</v>
      </c>
      <c r="C16" s="5">
        <f>+'2 - Conta Consol AP'!H16</f>
        <v>24824.934299410885</v>
      </c>
      <c r="D16" s="5">
        <f>+'2 - Conta Consol AP'!M16</f>
        <v>25737.328217433715</v>
      </c>
      <c r="E16" s="5">
        <f t="shared" si="0"/>
        <v>912.39391802282989</v>
      </c>
      <c r="F16" s="5">
        <f t="shared" si="1"/>
        <v>3.6753125185289282</v>
      </c>
      <c r="G16" s="5">
        <f t="shared" si="2"/>
        <v>1.0714843890043393</v>
      </c>
      <c r="H16" s="169"/>
      <c r="I16" s="5">
        <f>+'3 - Conta AC + SS'!E15</f>
        <v>23917.532359249999</v>
      </c>
      <c r="J16" s="5">
        <f>+'3 - Conta AC + SS'!F15</f>
        <v>24719.664518559999</v>
      </c>
      <c r="K16" s="5">
        <f t="shared" si="3"/>
        <v>802.13215931000013</v>
      </c>
      <c r="L16" s="5">
        <f t="shared" si="4"/>
        <v>3.3537412943011198</v>
      </c>
    </row>
    <row r="17" spans="2:12">
      <c r="B17" s="150" t="str">
        <f>IF(Indice_index!$Z$1=1,"Contribuições de Segurança Social","Social security contributions")</f>
        <v>Contribuições de Segurança Social</v>
      </c>
      <c r="C17" s="5">
        <f>+'2 - Conta Consol AP'!H17</f>
        <v>21273.493721989998</v>
      </c>
      <c r="D17" s="5">
        <f>+'2 - Conta Consol AP'!M17</f>
        <v>23353.341776020003</v>
      </c>
      <c r="E17" s="5">
        <f t="shared" si="0"/>
        <v>2079.8480540300043</v>
      </c>
      <c r="F17" s="5">
        <f t="shared" si="1"/>
        <v>9.7767112502076028</v>
      </c>
      <c r="G17" s="5">
        <f t="shared" si="2"/>
        <v>2.4425028240252269</v>
      </c>
      <c r="H17" s="169"/>
      <c r="I17" s="5">
        <f>+'3 - Conta AC + SS'!E16</f>
        <v>21273.493721989995</v>
      </c>
      <c r="J17" s="5">
        <f>+'3 - Conta AC + SS'!F16</f>
        <v>23353.341776020003</v>
      </c>
      <c r="K17" s="5">
        <f t="shared" si="3"/>
        <v>2079.8480540300079</v>
      </c>
      <c r="L17" s="5">
        <f t="shared" si="4"/>
        <v>9.7767112502076223</v>
      </c>
    </row>
    <row r="18" spans="2:12">
      <c r="B18" s="150" t="str">
        <f>IF(Indice_index!$Z$1=1,"Transferências correntes","Current transfers")</f>
        <v>Transferências correntes</v>
      </c>
      <c r="C18" s="5">
        <f>+'2 - Conta Consol AP'!H18</f>
        <v>1818.1444741932523</v>
      </c>
      <c r="D18" s="5">
        <f>+'2 - Conta Consol AP'!M18</f>
        <v>2044.3096888920929</v>
      </c>
      <c r="E18" s="5">
        <f t="shared" si="0"/>
        <v>226.1652146988406</v>
      </c>
      <c r="F18" s="5">
        <f t="shared" si="1"/>
        <v>12.439342302497424</v>
      </c>
      <c r="G18" s="5">
        <f t="shared" si="2"/>
        <v>0.26560073680758445</v>
      </c>
      <c r="H18" s="169"/>
      <c r="I18" s="5">
        <f>+'3 - Conta AC + SS'!E17</f>
        <v>1800.6692676199998</v>
      </c>
      <c r="J18" s="5">
        <f>+'3 - Conta AC + SS'!F17</f>
        <v>2000.7932453900003</v>
      </c>
      <c r="K18" s="5">
        <f t="shared" si="3"/>
        <v>200.12397777000047</v>
      </c>
      <c r="L18" s="5">
        <f t="shared" si="4"/>
        <v>11.113866458914497</v>
      </c>
    </row>
    <row r="19" spans="2:12">
      <c r="B19" s="150" t="str">
        <f>IF(Indice_index!$Z$1=1,"Outras receitas correntes","Other current revenue")</f>
        <v>Outras receitas correntes</v>
      </c>
      <c r="C19" s="5">
        <f>+'2 - Conta Consol AP'!H21</f>
        <v>8672.8953173644968</v>
      </c>
      <c r="D19" s="5">
        <f>+'2 - Conta Consol AP'!M21</f>
        <v>10013.676705429061</v>
      </c>
      <c r="E19" s="5">
        <f t="shared" si="0"/>
        <v>1340.7813880645645</v>
      </c>
      <c r="F19" s="5">
        <f t="shared" si="1"/>
        <v>15.45944392272451</v>
      </c>
      <c r="G19" s="5">
        <f t="shared" si="2"/>
        <v>1.5745680653943186</v>
      </c>
      <c r="H19" s="169"/>
      <c r="I19" s="5">
        <f>+'3 - Conta AC + SS'!E20</f>
        <v>7082.7962200600023</v>
      </c>
      <c r="J19" s="5">
        <f>+'3 - Conta AC + SS'!F20</f>
        <v>8226.5784131399996</v>
      </c>
      <c r="K19" s="5">
        <f t="shared" si="3"/>
        <v>1143.7821930799973</v>
      </c>
      <c r="L19" s="5">
        <f t="shared" si="4"/>
        <v>16.148737836626729</v>
      </c>
    </row>
    <row r="20" spans="2:12">
      <c r="B20" s="150" t="str">
        <f>IF(Indice_index!$Z$1=1,"Diferenças de consolidação","Consolidation differences")</f>
        <v>Diferenças de consolidação</v>
      </c>
      <c r="C20" s="5">
        <f>+'2 - Conta Consol AP'!H22</f>
        <v>37.562699639986889</v>
      </c>
      <c r="D20" s="5">
        <f>+'2 - Conta Consol AP'!M22</f>
        <v>240.41195314999959</v>
      </c>
      <c r="E20" s="5">
        <f t="shared" si="0"/>
        <v>202.84925351001272</v>
      </c>
      <c r="F20" s="5"/>
      <c r="G20" s="5"/>
      <c r="H20" s="169"/>
      <c r="I20" s="5">
        <f>+'3 - Conta AC + SS'!E21</f>
        <v>117.65833114000476</v>
      </c>
      <c r="J20" s="5">
        <f>+'3 - Conta AC + SS'!F21</f>
        <v>214.24860978999851</v>
      </c>
      <c r="K20" s="5">
        <f t="shared" si="3"/>
        <v>96.590278649993749</v>
      </c>
      <c r="L20" s="5"/>
    </row>
    <row r="21" spans="2:12">
      <c r="B21" s="212" t="str">
        <f>IF(Indice_index!$Z$1=1,"Receita de capital","Capital revenue")</f>
        <v>Receita de capital</v>
      </c>
      <c r="C21" s="161">
        <f>+C22+C23+C24+C25</f>
        <v>5251.5424672654317</v>
      </c>
      <c r="D21" s="161">
        <f>+D22+D23+D24+D25</f>
        <v>2535.486919697531</v>
      </c>
      <c r="E21" s="161">
        <f t="shared" si="0"/>
        <v>-2716.0555475679007</v>
      </c>
      <c r="F21" s="161">
        <f>IF(IFERROR((D21-C21)/C21*100,"")&gt;500,"-",IFERROR((D21-C21)/C21*100,""))</f>
        <v>-51.7191961123414</v>
      </c>
      <c r="G21" s="161">
        <f>IFERROR((D21-C21)/$C$26*100,"")</f>
        <v>-3.1896432685501734</v>
      </c>
      <c r="H21" s="169"/>
      <c r="I21" s="161">
        <f>+I22+I23+I24+I25</f>
        <v>4657.2978678199988</v>
      </c>
      <c r="J21" s="161">
        <f>+J22+J23+J24+J25</f>
        <v>1846.9059726000003</v>
      </c>
      <c r="K21" s="161">
        <f t="shared" si="3"/>
        <v>-2810.3918952199983</v>
      </c>
      <c r="L21" s="161">
        <f>IF(IFERROR((J21-I21)/I21*100,"")&gt;500,"-",IFERROR((J21-I21)/I21*100,""))</f>
        <v>-60.343829726645652</v>
      </c>
    </row>
    <row r="22" spans="2:12">
      <c r="B22" s="150" t="str">
        <f>IF(Indice_index!$Z$1=1,"Venda de bens de investimento","Sale of investment goods")</f>
        <v>Venda de bens de investimento</v>
      </c>
      <c r="C22" s="5">
        <f>+'2 - Conta Consol AP'!H24</f>
        <v>184.81508253246565</v>
      </c>
      <c r="D22" s="5">
        <f>+'2 - Conta Consol AP'!M24</f>
        <v>135.05954013488022</v>
      </c>
      <c r="E22" s="5">
        <f t="shared" si="0"/>
        <v>-49.75554239758543</v>
      </c>
      <c r="F22" s="5">
        <f>IF(IFERROR((D22-C22)/C22*100,"")&gt;500,"-",IFERROR((D22-C22)/C22*100,""))</f>
        <v>-26.921797569657279</v>
      </c>
      <c r="G22" s="5">
        <f>IFERROR((D22-C22)/$C$26*100,"")</f>
        <v>-5.8431216925453403E-2</v>
      </c>
      <c r="H22" s="169"/>
      <c r="I22" s="5">
        <f>+'3 - Conta AC + SS'!E23</f>
        <v>137.60764951000002</v>
      </c>
      <c r="J22" s="5">
        <f>+'3 - Conta AC + SS'!F23</f>
        <v>60.694852389999987</v>
      </c>
      <c r="K22" s="5">
        <f t="shared" si="3"/>
        <v>-76.912797120000022</v>
      </c>
      <c r="L22" s="5">
        <f>IF(IFERROR((J22-I22)/I22*100,"")&gt;500,"-",IFERROR((J22-I22)/I22*100,""))</f>
        <v>-55.892820925199175</v>
      </c>
    </row>
    <row r="23" spans="2:12">
      <c r="B23" s="150" t="str">
        <f>IF(Indice_index!$Z$1=1,"Transferências de capital","Capital transfers")</f>
        <v>Transferências de capital</v>
      </c>
      <c r="C23" s="5">
        <f>+'2 - Conta Consol AP'!H25</f>
        <v>5020.9669248528135</v>
      </c>
      <c r="D23" s="5">
        <f>+'2 - Conta Consol AP'!M25</f>
        <v>2223.9970510980256</v>
      </c>
      <c r="E23" s="5">
        <f t="shared" si="0"/>
        <v>-2796.9698737547878</v>
      </c>
      <c r="F23" s="5">
        <f>IF(IFERROR((D23-C23)/C23*100,"")&gt;500,"-",IFERROR((D23-C23)/C23*100,""))</f>
        <v>-55.705801603876914</v>
      </c>
      <c r="G23" s="5">
        <f>IFERROR((D23-C23)/$C$26*100,"")</f>
        <v>-3.2846663015225235</v>
      </c>
      <c r="H23" s="169"/>
      <c r="I23" s="5">
        <f>+'3 - Conta AC + SS'!E24</f>
        <v>4491.1643745999991</v>
      </c>
      <c r="J23" s="5">
        <f>+'3 - Conta AC + SS'!F24</f>
        <v>1627.2588834600001</v>
      </c>
      <c r="K23" s="5">
        <f t="shared" si="3"/>
        <v>-2863.905491139999</v>
      </c>
      <c r="L23" s="5">
        <f>IF(IFERROR((J23-I23)/I23*100,"")&gt;500,"-",IFERROR((J23-I23)/I23*100,""))</f>
        <v>-63.767550066458426</v>
      </c>
    </row>
    <row r="24" spans="2:12">
      <c r="B24" s="150" t="str">
        <f>IF(Indice_index!$Z$1=1,"Outras receitas de capital","Other capital revenue")</f>
        <v>Outras receitas de capital</v>
      </c>
      <c r="C24" s="5">
        <f>+'2 - Conta Consol AP'!H28</f>
        <v>45.696115830152991</v>
      </c>
      <c r="D24" s="5">
        <f>+'2 - Conta Consol AP'!M28</f>
        <v>175.29548073462541</v>
      </c>
      <c r="E24" s="5">
        <f t="shared" si="0"/>
        <v>129.59936490447242</v>
      </c>
      <c r="F24" s="5">
        <f>IF(IFERROR((D24-C24)/C24*100,"")&gt;500,"-",IFERROR((D24-C24)/C24*100,""))</f>
        <v>283.61133665315845</v>
      </c>
      <c r="G24" s="5">
        <f>IFERROR((D24-C24)/$C$26*100,"")</f>
        <v>0.15219708678126503</v>
      </c>
      <c r="H24" s="169"/>
      <c r="I24" s="5">
        <f>+'3 - Conta AC + SS'!E27</f>
        <v>28.176757159999998</v>
      </c>
      <c r="J24" s="5">
        <f>+'3 - Conta AC + SS'!F27</f>
        <v>158.74928674999995</v>
      </c>
      <c r="K24" s="5">
        <f t="shared" si="3"/>
        <v>130.57252958999996</v>
      </c>
      <c r="L24" s="5">
        <f>IF(IFERROR((J24-I24)/I24*100,"")&gt;500,"-",IFERROR((J24-I24)/I24*100,""))</f>
        <v>463.40509963070559</v>
      </c>
    </row>
    <row r="25" spans="2:12">
      <c r="B25" s="150" t="str">
        <f>IF(Indice_index!$Z$1=1,"Diferenças de consolidação","Consolidation differences")</f>
        <v>Diferenças de consolidação</v>
      </c>
      <c r="C25" s="5">
        <f>+'2 - Conta Consol AP'!H29</f>
        <v>6.4344050000002539E-2</v>
      </c>
      <c r="D25" s="5">
        <f>+'2 - Conta Consol AP'!M29</f>
        <v>1.1348477300000042</v>
      </c>
      <c r="E25" s="5">
        <f t="shared" si="0"/>
        <v>1.0705036800000016</v>
      </c>
      <c r="F25" s="5"/>
      <c r="G25" s="5"/>
      <c r="H25" s="169"/>
      <c r="I25" s="5">
        <f>+'3 - Conta AC + SS'!E28</f>
        <v>0.34908655</v>
      </c>
      <c r="J25" s="5">
        <f>+'3 - Conta AC + SS'!F28</f>
        <v>0.20294999999999999</v>
      </c>
      <c r="K25" s="5">
        <f t="shared" si="3"/>
        <v>-0.14613655</v>
      </c>
      <c r="L25" s="5"/>
    </row>
    <row r="26" spans="2:12">
      <c r="B26" s="18" t="str">
        <f>IF(Indice_index!$Z$1=1,"Receita efetiva","Effective revenue")</f>
        <v>Receita efetiva</v>
      </c>
      <c r="C26" s="19">
        <f>+C13+C21</f>
        <v>85152.329551964649</v>
      </c>
      <c r="D26" s="170">
        <f>+D13+D21</f>
        <v>88853.11935521329</v>
      </c>
      <c r="E26" s="170">
        <f t="shared" si="0"/>
        <v>3700.789803248641</v>
      </c>
      <c r="F26" s="170">
        <f>IF(IFERROR((D26-C26)/C26*100,"")&gt;500,"-",IFERROR((D26-C26)/C26*100,""))</f>
        <v>4.3460816899791501</v>
      </c>
      <c r="G26" s="170"/>
      <c r="H26" s="169"/>
      <c r="I26" s="19">
        <f>+I13+I21</f>
        <v>78694.407776249995</v>
      </c>
      <c r="J26" s="170">
        <f>+J13+J21</f>
        <v>81768.556733810008</v>
      </c>
      <c r="K26" s="170">
        <f t="shared" si="3"/>
        <v>3074.1489575600135</v>
      </c>
      <c r="L26" s="170">
        <f t="shared" ref="L26:L36" si="5">IF(IFERROR((J26-I26)/I26*100,"")&gt;500,"-",IFERROR((J26-I26)/I26*100,""))</f>
        <v>3.9064389000812749</v>
      </c>
    </row>
    <row r="27" spans="2:12">
      <c r="B27" s="212" t="str">
        <f>IF(Indice_index!$Z$1=1,"Despesa corrente","Current expenditure")</f>
        <v>Despesa corrente</v>
      </c>
      <c r="C27" s="161">
        <f>+C28+C32+C33+C34+C35+C36+C37</f>
        <v>68936.004825713608</v>
      </c>
      <c r="D27" s="161">
        <f>+D28+D32+D33+D34+D35+D36+D37</f>
        <v>76684.850218461987</v>
      </c>
      <c r="E27" s="161">
        <f t="shared" si="0"/>
        <v>7748.8453927483788</v>
      </c>
      <c r="F27" s="161">
        <f t="shared" ref="F27:F36" si="6">IF(IFERROR((D27-C27)/C27*100,"")&gt;500,"-",IFERROR((D27-C27)/C27*100,""))</f>
        <v>11.240636025164612</v>
      </c>
      <c r="G27" s="161">
        <f t="shared" ref="G27:G36" si="7">IFERROR((D27-C27)/$C$43*100,"")</f>
        <v>10.356701207676855</v>
      </c>
      <c r="H27" s="169"/>
      <c r="I27" s="161">
        <f>+I28+I32+I33+I34+I35+I36+I37</f>
        <v>64711.023008640019</v>
      </c>
      <c r="J27" s="161">
        <f>+J28+J32+J33+J34+J35+J36+J37</f>
        <v>72074.805089340021</v>
      </c>
      <c r="K27" s="161">
        <f t="shared" si="3"/>
        <v>7363.7820807000026</v>
      </c>
      <c r="L27" s="161">
        <f t="shared" si="5"/>
        <v>11.379486428018319</v>
      </c>
    </row>
    <row r="28" spans="2:12">
      <c r="B28" s="150" t="str">
        <f>IF(Indice_index!$Z$1=1,"Despesas com o pessoal","Compensation of employees")</f>
        <v>Despesas com o pessoal</v>
      </c>
      <c r="C28" s="5">
        <f>+C29+C30+C31</f>
        <v>18655.844623831985</v>
      </c>
      <c r="D28" s="5">
        <f>+D29+D30+D31</f>
        <v>20127.106558159117</v>
      </c>
      <c r="E28" s="5">
        <f t="shared" si="0"/>
        <v>1471.2619343271326</v>
      </c>
      <c r="F28" s="5">
        <f t="shared" si="6"/>
        <v>7.8863324818200038</v>
      </c>
      <c r="G28" s="5">
        <f t="shared" si="7"/>
        <v>1.9664117013244931</v>
      </c>
      <c r="H28" s="169"/>
      <c r="I28" s="5">
        <f>+I29+I30+I31</f>
        <v>14688.105385280007</v>
      </c>
      <c r="J28" s="5">
        <f>+J29+J30+J31</f>
        <v>15852.309476500002</v>
      </c>
      <c r="K28" s="5">
        <f t="shared" si="3"/>
        <v>1164.2040912199955</v>
      </c>
      <c r="L28" s="5">
        <f t="shared" si="5"/>
        <v>7.9261692415873259</v>
      </c>
    </row>
    <row r="29" spans="2:12">
      <c r="B29" s="210" t="str">
        <f>IF(Indice_index!$Z$1=1,"Remunerações certas e permanentes","Certain and permanent wages")</f>
        <v>Remunerações certas e permanentes</v>
      </c>
      <c r="C29" s="5">
        <f>+'2 - Conta Consol AP'!H33</f>
        <v>13371.962475440943</v>
      </c>
      <c r="D29" s="5">
        <f>+'2 - Conta Consol AP'!M33</f>
        <v>14485.561463902946</v>
      </c>
      <c r="E29" s="5">
        <f t="shared" si="0"/>
        <v>1113.598988462003</v>
      </c>
      <c r="F29" s="5">
        <f t="shared" si="6"/>
        <v>8.3278650423021165</v>
      </c>
      <c r="G29" s="5">
        <f t="shared" si="7"/>
        <v>1.4883781265613203</v>
      </c>
      <c r="H29" s="169"/>
      <c r="I29" s="5">
        <f>+'3 - Conta AC + SS'!E32</f>
        <v>10394.26700671001</v>
      </c>
      <c r="J29" s="5">
        <f>+'3 - Conta AC + SS'!F32</f>
        <v>11245.345890480005</v>
      </c>
      <c r="K29" s="5">
        <f t="shared" si="3"/>
        <v>851.07888376999472</v>
      </c>
      <c r="L29" s="5">
        <f t="shared" si="5"/>
        <v>8.1879644155819893</v>
      </c>
    </row>
    <row r="30" spans="2:12">
      <c r="B30" s="210" t="str">
        <f>IF(Indice_index!$Z$1=1,"Abonos variáveis ou eventuais","Variable or contingent bonuses")</f>
        <v>Abonos variáveis ou eventuais</v>
      </c>
      <c r="C30" s="5">
        <f>+'2 - Conta Consol AP'!H34</f>
        <v>1359.049117077504</v>
      </c>
      <c r="D30" s="5">
        <f>+'2 - Conta Consol AP'!M34</f>
        <v>1488.393160710772</v>
      </c>
      <c r="E30" s="5">
        <f t="shared" si="0"/>
        <v>129.34404363326803</v>
      </c>
      <c r="F30" s="5">
        <f t="shared" si="6"/>
        <v>9.5172456983312834</v>
      </c>
      <c r="G30" s="5">
        <f t="shared" si="7"/>
        <v>0.17287447935870484</v>
      </c>
      <c r="H30" s="169"/>
      <c r="I30" s="5">
        <f>+'3 - Conta AC + SS'!E33</f>
        <v>1149.8328649799989</v>
      </c>
      <c r="J30" s="5">
        <f>+'3 - Conta AC + SS'!F33</f>
        <v>1239.2302780699997</v>
      </c>
      <c r="K30" s="5">
        <f t="shared" si="3"/>
        <v>89.397413090000782</v>
      </c>
      <c r="L30" s="5">
        <f t="shared" si="5"/>
        <v>7.7748180464084955</v>
      </c>
    </row>
    <row r="31" spans="2:12">
      <c r="B31" s="210" t="str">
        <f>IF(Indice_index!$Z$1=1,"Segurança Social","Social security")</f>
        <v>Segurança Social</v>
      </c>
      <c r="C31" s="5">
        <f>+'2 - Conta Consol AP'!H35</f>
        <v>3924.8330313135375</v>
      </c>
      <c r="D31" s="5">
        <f>+'2 - Conta Consol AP'!M35</f>
        <v>4153.1519335453995</v>
      </c>
      <c r="E31" s="5">
        <f t="shared" si="0"/>
        <v>228.31890223186201</v>
      </c>
      <c r="F31" s="5">
        <f t="shared" si="6"/>
        <v>5.8172895613714743</v>
      </c>
      <c r="G31" s="5">
        <f t="shared" si="7"/>
        <v>0.30515909540446856</v>
      </c>
      <c r="H31" s="169"/>
      <c r="I31" s="5">
        <f>+'3 - Conta AC + SS'!E34</f>
        <v>3144.0055135899993</v>
      </c>
      <c r="J31" s="5">
        <f>+'3 - Conta AC + SS'!F34</f>
        <v>3367.7333079499995</v>
      </c>
      <c r="K31" s="5">
        <f t="shared" si="3"/>
        <v>223.72779436000019</v>
      </c>
      <c r="L31" s="5">
        <f t="shared" si="5"/>
        <v>7.1160115143861642</v>
      </c>
    </row>
    <row r="32" spans="2:12">
      <c r="B32" s="150" t="str">
        <f>IF(Indice_index!$Z$1=1,"Aquisição de bens e serviços","Purchase of goods and services")</f>
        <v>Aquisição de bens e serviços</v>
      </c>
      <c r="C32" s="5">
        <f>+'2 - Conta Consol AP'!H36</f>
        <v>10690.542574865081</v>
      </c>
      <c r="D32" s="5">
        <f>+'2 - Conta Consol AP'!M36</f>
        <v>11842.199851510961</v>
      </c>
      <c r="E32" s="5">
        <f t="shared" si="0"/>
        <v>1151.6572766458794</v>
      </c>
      <c r="F32" s="5">
        <f t="shared" si="6"/>
        <v>10.772673777602105</v>
      </c>
      <c r="G32" s="5">
        <f t="shared" si="7"/>
        <v>1.5392448427258902</v>
      </c>
      <c r="H32" s="169"/>
      <c r="I32" s="5">
        <f>+'3 - Conta AC + SS'!E35</f>
        <v>7987.6974449700001</v>
      </c>
      <c r="J32" s="5">
        <f>+'3 - Conta AC + SS'!F35</f>
        <v>8729.9074156199968</v>
      </c>
      <c r="K32" s="5">
        <f t="shared" si="3"/>
        <v>742.20997064999665</v>
      </c>
      <c r="L32" s="5">
        <f t="shared" si="5"/>
        <v>9.2919139184143731</v>
      </c>
    </row>
    <row r="33" spans="2:12">
      <c r="B33" s="150" t="str">
        <f>IF(Indice_index!$Z$1=1,"Juros e outros encargos","Interests and other charges")</f>
        <v>Juros e outros encargos</v>
      </c>
      <c r="C33" s="5">
        <f>+'2 - Conta Consol AP'!H37</f>
        <v>4564.2890342220408</v>
      </c>
      <c r="D33" s="5">
        <f>+'2 - Conta Consol AP'!M37</f>
        <v>5050.0575165602131</v>
      </c>
      <c r="E33" s="5">
        <f t="shared" si="0"/>
        <v>485.76848233817236</v>
      </c>
      <c r="F33" s="5">
        <f t="shared" si="6"/>
        <v>10.642807208219867</v>
      </c>
      <c r="G33" s="5">
        <f t="shared" si="7"/>
        <v>0.64925273027014285</v>
      </c>
      <c r="H33" s="169"/>
      <c r="I33" s="5">
        <f>+'3 - Conta AC + SS'!E36</f>
        <v>4403.995885389998</v>
      </c>
      <c r="J33" s="5">
        <f>+'3 - Conta AC + SS'!F36</f>
        <v>4858.5824946399998</v>
      </c>
      <c r="K33" s="5">
        <f t="shared" si="3"/>
        <v>454.58660925000186</v>
      </c>
      <c r="L33" s="5">
        <f t="shared" si="5"/>
        <v>10.322139735826427</v>
      </c>
    </row>
    <row r="34" spans="2:12">
      <c r="B34" s="150" t="str">
        <f>IF(Indice_index!$Z$1=1,"Transferências correntes","Current transfers")</f>
        <v>Transferências correntes</v>
      </c>
      <c r="C34" s="5">
        <f>+'2 - Conta Consol AP'!H38</f>
        <v>33232.283688486896</v>
      </c>
      <c r="D34" s="5">
        <f>+'2 - Conta Consol AP'!M38</f>
        <v>37527.128531277005</v>
      </c>
      <c r="E34" s="5">
        <f t="shared" si="0"/>
        <v>4294.8448427901094</v>
      </c>
      <c r="F34" s="5">
        <f t="shared" si="6"/>
        <v>12.923712625497446</v>
      </c>
      <c r="G34" s="5">
        <f t="shared" si="7"/>
        <v>5.7402648414866118</v>
      </c>
      <c r="H34" s="169"/>
      <c r="I34" s="5">
        <f>+'3 - Conta AC + SS'!E37</f>
        <v>36251.315680620006</v>
      </c>
      <c r="J34" s="5">
        <f>+'3 - Conta AC + SS'!F37</f>
        <v>41154.695212940016</v>
      </c>
      <c r="K34" s="5">
        <f t="shared" si="3"/>
        <v>4903.3795323200102</v>
      </c>
      <c r="L34" s="5">
        <f t="shared" si="5"/>
        <v>13.52607330315838</v>
      </c>
    </row>
    <row r="35" spans="2:12">
      <c r="B35" s="150" t="str">
        <f>IF(Indice_index!$Z$1=1,"Subsídios","Subsidies")</f>
        <v>Subsídios</v>
      </c>
      <c r="C35" s="5">
        <f>+'2 - Conta Consol AP'!H41</f>
        <v>1400.9976970015784</v>
      </c>
      <c r="D35" s="5">
        <f>+'2 - Conta Consol AP'!M41</f>
        <v>1293.4306960156264</v>
      </c>
      <c r="E35" s="5">
        <f t="shared" si="0"/>
        <v>-107.56700098595206</v>
      </c>
      <c r="F35" s="5">
        <f t="shared" si="6"/>
        <v>-7.6778856393673909</v>
      </c>
      <c r="G35" s="5">
        <f t="shared" si="7"/>
        <v>-0.14376842388156838</v>
      </c>
      <c r="H35" s="169"/>
      <c r="I35" s="5">
        <f>+'3 - Conta AC + SS'!E40</f>
        <v>1071.3778662100001</v>
      </c>
      <c r="J35" s="5">
        <f>+'3 - Conta AC + SS'!F40</f>
        <v>921.47437656</v>
      </c>
      <c r="K35" s="5">
        <f t="shared" si="3"/>
        <v>-149.9034896500001</v>
      </c>
      <c r="L35" s="5">
        <f t="shared" si="5"/>
        <v>-13.99165452057394</v>
      </c>
    </row>
    <row r="36" spans="2:12">
      <c r="B36" s="150" t="str">
        <f>IF(Indice_index!$Z$1=1,"Outras despesas correntes","Other current expenditures")</f>
        <v>Outras despesas correntes</v>
      </c>
      <c r="C36" s="5">
        <f>+'2 - Conta Consol AP'!H42</f>
        <v>353.18287098602281</v>
      </c>
      <c r="D36" s="5">
        <f>+'2 - Conta Consol AP'!M42</f>
        <v>571.6527671990433</v>
      </c>
      <c r="E36" s="5">
        <f t="shared" si="0"/>
        <v>218.46989621302049</v>
      </c>
      <c r="F36" s="5">
        <f t="shared" si="6"/>
        <v>61.857443879736294</v>
      </c>
      <c r="G36" s="5">
        <f t="shared" si="7"/>
        <v>0.29199542941815132</v>
      </c>
      <c r="H36" s="169"/>
      <c r="I36" s="5">
        <f>+'3 - Conta AC + SS'!E41</f>
        <v>251.28698580999995</v>
      </c>
      <c r="J36" s="5">
        <f>+'3 - Conta AC + SS'!F41</f>
        <v>430.5252890000001</v>
      </c>
      <c r="K36" s="5">
        <f t="shared" si="3"/>
        <v>179.23830319000015</v>
      </c>
      <c r="L36" s="5">
        <f t="shared" si="5"/>
        <v>71.328128121017627</v>
      </c>
    </row>
    <row r="37" spans="2:12">
      <c r="B37" s="150" t="str">
        <f>IF(Indice_index!$Z$1=1,"Diferenças de consolidação","Consolidation differences")</f>
        <v>Diferenças de consolidação</v>
      </c>
      <c r="C37" s="5">
        <f>+'2 - Conta Consol AP'!H43</f>
        <v>38.864336319999865</v>
      </c>
      <c r="D37" s="5">
        <f>+'2 - Conta Consol AP'!M43</f>
        <v>273.27429774001405</v>
      </c>
      <c r="E37" s="5">
        <f t="shared" si="0"/>
        <v>234.40996142001418</v>
      </c>
      <c r="F37" s="5"/>
      <c r="G37" s="5"/>
      <c r="H37" s="169"/>
      <c r="I37" s="5">
        <f>+'3 - Conta AC + SS'!E42</f>
        <v>57.243760360003449</v>
      </c>
      <c r="J37" s="5">
        <f>+'3 - Conta AC + SS'!F42</f>
        <v>127.31082408000049</v>
      </c>
      <c r="K37" s="5">
        <f t="shared" si="3"/>
        <v>70.067063719997037</v>
      </c>
      <c r="L37" s="5"/>
    </row>
    <row r="38" spans="2:12">
      <c r="B38" s="212" t="str">
        <f>IF(Indice_index!$Z$1=1,"Despesa de capital","Capital expenditure")</f>
        <v>Despesa de capital</v>
      </c>
      <c r="C38" s="161">
        <f>+C39+C40+C41+C42</f>
        <v>5883.6239090092231</v>
      </c>
      <c r="D38" s="161">
        <f>+D39+D40+D41+D42</f>
        <v>6463.1033427537859</v>
      </c>
      <c r="E38" s="161">
        <f t="shared" si="0"/>
        <v>579.47943374456281</v>
      </c>
      <c r="F38" s="161">
        <f>IF(IFERROR((D38-C38)/C38*100,"")&gt;500,"-",IFERROR((D38-C38)/C38*100,""))</f>
        <v>9.8490223492572735</v>
      </c>
      <c r="G38" s="161">
        <f>IFERROR((D38-C38)/$C$43*100,"")</f>
        <v>0.77450188345512838</v>
      </c>
      <c r="H38" s="169"/>
      <c r="I38" s="161">
        <f>+I39+I40+I41+I42</f>
        <v>4236.2583470499994</v>
      </c>
      <c r="J38" s="161">
        <f>+J39+J40+J41+J42</f>
        <v>4990.7762361199984</v>
      </c>
      <c r="K38" s="161">
        <f t="shared" si="3"/>
        <v>754.517889069999</v>
      </c>
      <c r="L38" s="161">
        <f>IF(IFERROR((J38-I38)/I38*100,"")&gt;500,"-",IFERROR((J38-I38)/I38*100,""))</f>
        <v>17.810950779133243</v>
      </c>
    </row>
    <row r="39" spans="2:12">
      <c r="B39" s="150" t="str">
        <f>IF(Indice_index!$Z$1=1,"Investimentos","Investments")</f>
        <v>Investimentos</v>
      </c>
      <c r="C39" s="5">
        <f>+'2 - Conta Consol AP'!H45</f>
        <v>4371.1023554964349</v>
      </c>
      <c r="D39" s="5">
        <f>+'2 - Conta Consol AP'!M45</f>
        <v>4534.4183095726548</v>
      </c>
      <c r="E39" s="5">
        <f t="shared" si="0"/>
        <v>163.3159540762199</v>
      </c>
      <c r="F39" s="5">
        <f>IF(IFERROR((D39-C39)/C39*100,"")&gt;500,"-",IFERROR((D39-C39)/C39*100,""))</f>
        <v>3.7362646946681206</v>
      </c>
      <c r="G39" s="5">
        <f>IFERROR((D39-C39)/$C$43*100,"")</f>
        <v>0.21827955689978856</v>
      </c>
      <c r="H39" s="169"/>
      <c r="I39" s="5">
        <f>+'3 - Conta AC + SS'!E44</f>
        <v>2492.95007867</v>
      </c>
      <c r="J39" s="5">
        <f>+'3 - Conta AC + SS'!F44</f>
        <v>2615.1871362799989</v>
      </c>
      <c r="K39" s="5">
        <f t="shared" si="3"/>
        <v>122.23705760999883</v>
      </c>
      <c r="L39" s="5">
        <f>IF(IFERROR((J39-I39)/I39*100,"")&gt;500,"-",IFERROR((J39-I39)/I39*100,""))</f>
        <v>4.9033094828442305</v>
      </c>
    </row>
    <row r="40" spans="2:12">
      <c r="B40" s="150" t="str">
        <f>IF(Indice_index!$Z$1=1,"Transferências de capital","Capital transfers")</f>
        <v>Transferências de capital</v>
      </c>
      <c r="C40" s="5">
        <f>+'2 - Conta Consol AP'!H46</f>
        <v>1263.3181405824816</v>
      </c>
      <c r="D40" s="5">
        <f>+'2 - Conta Consol AP'!M46</f>
        <v>1267.7246750383802</v>
      </c>
      <c r="E40" s="5">
        <f t="shared" si="0"/>
        <v>4.4065344558985089</v>
      </c>
      <c r="F40" s="5">
        <f>IF(IFERROR((D40-C40)/C40*100,"")&gt;500,"-",IFERROR((D40-C40)/C40*100,""))</f>
        <v>0.34880639439458822</v>
      </c>
      <c r="G40" s="5">
        <f>IFERROR((D40-C40)/$C$43*100,"")</f>
        <v>5.8895433329696446E-3</v>
      </c>
      <c r="H40" s="169"/>
      <c r="I40" s="5">
        <f>+'3 - Conta AC + SS'!E45</f>
        <v>1509.13839594</v>
      </c>
      <c r="J40" s="5">
        <f>+'3 - Conta AC + SS'!F45</f>
        <v>1740.2544567499999</v>
      </c>
      <c r="K40" s="5">
        <f t="shared" si="3"/>
        <v>231.11606080999991</v>
      </c>
      <c r="L40" s="5">
        <f>IF(IFERROR((J40-I40)/I40*100,"")&gt;500,"-",IFERROR((J40-I40)/I40*100,""))</f>
        <v>15.314437789918149</v>
      </c>
    </row>
    <row r="41" spans="2:12">
      <c r="B41" s="150" t="str">
        <f>IF(Indice_index!$Z$1=1,"Outras despesas de capital","Other capital expenditures")</f>
        <v>Outras despesas de capital</v>
      </c>
      <c r="C41" s="5">
        <f>+'2 - Conta Consol AP'!H49</f>
        <v>170.58530825030641</v>
      </c>
      <c r="D41" s="5">
        <f>+'2 - Conta Consol AP'!M49</f>
        <v>158.40717966275113</v>
      </c>
      <c r="E41" s="5">
        <f t="shared" si="0"/>
        <v>-12.178128587555278</v>
      </c>
      <c r="F41" s="5">
        <f>IF(IFERROR((D41-C41)/C41*100,"")&gt;500,"-",IFERROR((D41-C41)/C41*100,""))</f>
        <v>-7.1390254603203225</v>
      </c>
      <c r="G41" s="5">
        <f>IFERROR((D41-C41)/$C$43*100,"")</f>
        <v>-1.6276649314491406E-2</v>
      </c>
      <c r="H41" s="169"/>
      <c r="I41" s="5">
        <f>+'3 - Conta AC + SS'!E48</f>
        <v>160.94001160999997</v>
      </c>
      <c r="J41" s="5">
        <f>+'3 - Conta AC + SS'!F48</f>
        <v>135.64511694999999</v>
      </c>
      <c r="K41" s="5">
        <f t="shared" si="3"/>
        <v>-25.294894659999983</v>
      </c>
      <c r="L41" s="5">
        <f>IF(IFERROR((J41-I41)/I41*100,"")&gt;500,"-",IFERROR((J41-I41)/I41*100,""))</f>
        <v>-15.716970818478734</v>
      </c>
    </row>
    <row r="42" spans="2:12">
      <c r="B42" s="150" t="str">
        <f>IF(Indice_index!$Z$1=1,"Diferenças de consolidação","Consolidation differences")</f>
        <v>Diferenças de consolidação</v>
      </c>
      <c r="C42" s="5">
        <f>+'2 - Conta Consol AP'!H50</f>
        <v>78.618104680000002</v>
      </c>
      <c r="D42" s="5">
        <f>+'2 - Conta Consol AP'!M50</f>
        <v>502.55317847999947</v>
      </c>
      <c r="E42" s="5">
        <f t="shared" si="0"/>
        <v>423.93507379999949</v>
      </c>
      <c r="F42" s="5"/>
      <c r="G42" s="5"/>
      <c r="H42" s="169"/>
      <c r="I42" s="5">
        <f>+'3 - Conta AC + SS'!E49</f>
        <v>73.229860829999922</v>
      </c>
      <c r="J42" s="5">
        <f>+'3 - Conta AC + SS'!F49</f>
        <v>499.68952614000011</v>
      </c>
      <c r="K42" s="5">
        <f t="shared" si="3"/>
        <v>426.45966531000022</v>
      </c>
      <c r="L42" s="5"/>
    </row>
    <row r="43" spans="2:12">
      <c r="B43" s="18" t="str">
        <f>IF(Indice_index!$Z$1=1,"Despesa efetiva","Effective expenditure")</f>
        <v>Despesa efetiva</v>
      </c>
      <c r="C43" s="19">
        <f>+C27+C38</f>
        <v>74819.628734722835</v>
      </c>
      <c r="D43" s="170">
        <f>+D27+D38</f>
        <v>83147.953561215778</v>
      </c>
      <c r="E43" s="170">
        <f t="shared" si="0"/>
        <v>8328.3248264929425</v>
      </c>
      <c r="F43" s="170">
        <f>IF(IFERROR((D43-C43)/C43*100,"")&gt;500,"-",IFERROR((D43-C43)/C43*100,""))</f>
        <v>11.131203091131985</v>
      </c>
      <c r="G43" s="170"/>
      <c r="H43" s="168"/>
      <c r="I43" s="19">
        <f>+I27+I38</f>
        <v>68947.281355690022</v>
      </c>
      <c r="J43" s="170">
        <f>+J27+J38</f>
        <v>77065.581325460022</v>
      </c>
      <c r="K43" s="170">
        <f t="shared" si="3"/>
        <v>8118.2999697699997</v>
      </c>
      <c r="L43" s="170">
        <f>IF(IFERROR((J43-I43)/I43*100,"")&gt;500,"-",IFERROR((J43-I43)/I43*100,""))</f>
        <v>11.774648412732548</v>
      </c>
    </row>
    <row r="44" spans="2:12">
      <c r="B44" s="18" t="str">
        <f>IF(Indice_index!$Z$1=1,"Saldo global","Overall balance")</f>
        <v>Saldo global</v>
      </c>
      <c r="C44" s="19">
        <f>+C26-C43</f>
        <v>10332.700817241814</v>
      </c>
      <c r="D44" s="170">
        <f>+D26-D43</f>
        <v>5705.1657939975121</v>
      </c>
      <c r="E44" s="170">
        <f t="shared" si="0"/>
        <v>-4627.5350232443016</v>
      </c>
      <c r="F44" s="170"/>
      <c r="G44" s="170"/>
      <c r="H44" s="168"/>
      <c r="I44" s="19">
        <f>+I26-I43</f>
        <v>9747.1264205599728</v>
      </c>
      <c r="J44" s="170">
        <f>+J26-J43</f>
        <v>4702.9754083499865</v>
      </c>
      <c r="K44" s="170">
        <f t="shared" si="3"/>
        <v>-5044.1510122099862</v>
      </c>
      <c r="L44" s="170"/>
    </row>
    <row r="45" spans="2:12">
      <c r="B45" s="232" t="s">
        <v>451</v>
      </c>
      <c r="C45" s="5"/>
      <c r="D45" s="5"/>
      <c r="E45" s="5"/>
      <c r="F45" s="5"/>
      <c r="G45" s="5"/>
      <c r="H45" s="169"/>
      <c r="I45" s="5"/>
      <c r="J45" s="5"/>
      <c r="K45" s="5"/>
      <c r="L45" s="5"/>
    </row>
    <row r="46" spans="2:12" ht="22.5">
      <c r="B46" s="233" t="s">
        <v>452</v>
      </c>
      <c r="C46" s="5">
        <v>69166.284026950801</v>
      </c>
      <c r="D46" s="5">
        <v>77115.316520925553</v>
      </c>
      <c r="E46" s="5">
        <f>+D46-C46</f>
        <v>7949.0324939747516</v>
      </c>
      <c r="F46" s="5">
        <f>IF(IFERROR((D46-C46)/C46*100,"")&gt;500,"-",IFERROR((D46-C46)/C46*100,""))</f>
        <v>11.492640678625142</v>
      </c>
      <c r="G46" s="5">
        <f>IFERROR((D46-C46)/$C$43*100,"")</f>
        <v>10.624260810165859</v>
      </c>
      <c r="H46" s="169"/>
      <c r="I46" s="5"/>
      <c r="J46" s="5"/>
      <c r="K46" s="5"/>
      <c r="L46" s="5"/>
    </row>
    <row r="47" spans="2:12">
      <c r="B47" s="150" t="str">
        <f>IF(Indice_index!$Z$1=1,"Despesa primária","Primary expenditure")</f>
        <v>Despesa primária</v>
      </c>
      <c r="C47" s="5">
        <f>+C43-C33</f>
        <v>70255.339700500801</v>
      </c>
      <c r="D47" s="5">
        <f>+D43-D33</f>
        <v>78097.896044655557</v>
      </c>
      <c r="E47" s="5">
        <f>+D47-C47</f>
        <v>7842.5563441547565</v>
      </c>
      <c r="F47" s="5">
        <f>IF(IFERROR((D47-C47)/C47*100,"")&gt;500,"-",IFERROR((D47-C47)/C47*100,""))</f>
        <v>11.162932778615335</v>
      </c>
      <c r="G47" s="5">
        <f>IFERROR((D47-C47)/$C$43*100,"")</f>
        <v>10.481950360861823</v>
      </c>
      <c r="H47" s="169"/>
      <c r="I47" s="5">
        <f>+I43-I33</f>
        <v>64543.285470300027</v>
      </c>
      <c r="J47" s="5">
        <f>+J43-J33</f>
        <v>72206.998830820026</v>
      </c>
      <c r="K47" s="5">
        <f>+J47-I47</f>
        <v>7663.7133605199997</v>
      </c>
      <c r="L47" s="5"/>
    </row>
    <row r="48" spans="2:12">
      <c r="B48" s="150" t="str">
        <f>IF(Indice_index!$Z$1=1,"Saldo corrente","Current balance")</f>
        <v>Saldo corrente</v>
      </c>
      <c r="C48" s="5">
        <f>+C13-C27</f>
        <v>10964.782258985608</v>
      </c>
      <c r="D48" s="5">
        <f>+D13-D27</f>
        <v>9632.7822170537693</v>
      </c>
      <c r="E48" s="5">
        <f>+D48-C48</f>
        <v>-1332.0000419318385</v>
      </c>
      <c r="F48" s="5"/>
      <c r="G48" s="5"/>
      <c r="H48" s="169"/>
      <c r="I48" s="5">
        <f>+I13-I27</f>
        <v>9326.0868997899743</v>
      </c>
      <c r="J48" s="5">
        <f>+J13-J27</f>
        <v>7846.845671869989</v>
      </c>
      <c r="K48" s="5">
        <f>+J48-I48</f>
        <v>-1479.2412279199852</v>
      </c>
      <c r="L48" s="5"/>
    </row>
    <row r="49" spans="2:12">
      <c r="B49" s="150" t="str">
        <f>IF(Indice_index!$Z$1=1,"Saldo de capital","Capital balance")</f>
        <v>Saldo de capital</v>
      </c>
      <c r="C49" s="5">
        <f>+C21-C38</f>
        <v>-632.0814417437914</v>
      </c>
      <c r="D49" s="5">
        <f>+D21-D38</f>
        <v>-3927.6164230562549</v>
      </c>
      <c r="E49" s="5">
        <f>+D49-C49</f>
        <v>-3295.5349813124635</v>
      </c>
      <c r="F49" s="5"/>
      <c r="G49" s="5"/>
      <c r="H49" s="169"/>
      <c r="I49" s="5">
        <f>+I21-I38</f>
        <v>421.0395207699994</v>
      </c>
      <c r="J49" s="5">
        <f>+J21-J38</f>
        <v>-3143.8702635199979</v>
      </c>
      <c r="K49" s="5">
        <f>+J49-I49</f>
        <v>-3564.9097842899973</v>
      </c>
      <c r="L49" s="5"/>
    </row>
    <row r="50" spans="2:12">
      <c r="B50" s="211" t="str">
        <f>IF(Indice_index!$Z$1=1,"Saldo primário","Primary balance")</f>
        <v>Saldo primário</v>
      </c>
      <c r="C50" s="20">
        <f>+C26-C47</f>
        <v>14896.989851463848</v>
      </c>
      <c r="D50" s="20">
        <f>+D26-D47</f>
        <v>10755.223310557732</v>
      </c>
      <c r="E50" s="20">
        <f>+D50-C50</f>
        <v>-4141.7665409061156</v>
      </c>
      <c r="F50" s="20"/>
      <c r="G50" s="20"/>
      <c r="H50" s="169"/>
      <c r="I50" s="20">
        <f>+I26-I47</f>
        <v>14151.122305949968</v>
      </c>
      <c r="J50" s="20">
        <f>+J26-J47</f>
        <v>9561.5579029899818</v>
      </c>
      <c r="K50" s="20">
        <f>+J50-I50</f>
        <v>-4589.5644029599862</v>
      </c>
      <c r="L50" s="20"/>
    </row>
    <row r="51" spans="2:12">
      <c r="B51" s="10"/>
      <c r="C51" s="10"/>
      <c r="D51" s="10"/>
      <c r="E51" s="10"/>
      <c r="F51" s="10"/>
      <c r="G51" s="10"/>
      <c r="I51" s="10"/>
      <c r="J51" s="10"/>
      <c r="K51" s="10"/>
      <c r="L51" s="10"/>
    </row>
    <row r="52" spans="2:12">
      <c r="B52" s="168" t="s">
        <v>453</v>
      </c>
    </row>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9.5703125" style="21" customWidth="1"/>
    <col min="2" max="2" width="37" style="30" customWidth="1"/>
    <col min="3" max="9" width="10.42578125" style="30" customWidth="1"/>
    <col min="10" max="10" width="8.5703125" style="30" customWidth="1"/>
    <col min="11" max="15" width="0" hidden="1" customWidth="1"/>
    <col min="16" max="16384" width="9.42578125" hidden="1"/>
  </cols>
  <sheetData>
    <row r="1" spans="2:9" ht="14.85" customHeight="1"/>
    <row r="2" spans="2:9" ht="15"/>
    <row r="3" spans="2:9" ht="15"/>
    <row r="4" spans="2:9" ht="15"/>
    <row r="5" spans="2:9" ht="15"/>
    <row r="6" spans="2:9" ht="15"/>
    <row r="7" spans="2:9" ht="50.1" customHeight="1">
      <c r="B7" s="13"/>
      <c r="C7" s="14"/>
      <c r="D7" s="12"/>
      <c r="E7" s="12"/>
      <c r="F7" s="12"/>
      <c r="G7" s="12"/>
      <c r="H7" s="12"/>
      <c r="I7" s="12"/>
    </row>
    <row r="8" spans="2:9"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2:9" ht="15">
      <c r="B9" s="3" t="str">
        <f>IF(Indice_index!$Z$1=1,"Período: janeiro a setembro","Period: January to September")</f>
        <v>Período: janeiro a setembro</v>
      </c>
      <c r="C9" s="3"/>
      <c r="D9" s="3"/>
      <c r="E9" s="3"/>
      <c r="F9" s="3"/>
      <c r="G9" s="3"/>
      <c r="H9" s="3"/>
      <c r="I9" s="3" t="str">
        <f>IF(Indice_index!$Z$1=1,"€ Milhões","€ Millions")</f>
        <v>€ Milhões</v>
      </c>
    </row>
    <row r="10" spans="2:9"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24" t="str">
        <f>IF(Indice_index!$Z$1=1,"Grau de Execução (%)","Execution Rate (%)")</f>
        <v>Grau de Execução (%)</v>
      </c>
      <c r="H10" s="378" t="str">
        <f>IF(Indice_index!$Z$1=1,"Variação Homóloga Acumulada","YOY Change Rate")</f>
        <v>Variação Homóloga Acumulada</v>
      </c>
      <c r="I10" s="375"/>
    </row>
    <row r="11" spans="2:9" ht="26.85" customHeight="1">
      <c r="B11" s="376"/>
      <c r="C11" s="24">
        <v>2023</v>
      </c>
      <c r="D11" s="24">
        <v>2024</v>
      </c>
      <c r="E11" s="24">
        <v>2023</v>
      </c>
      <c r="F11" s="24">
        <v>2024</v>
      </c>
      <c r="G11" s="24">
        <v>2024</v>
      </c>
      <c r="H11" s="24" t="str">
        <f>IF(Indice_index!$Z$1=1,"Relativa (%)","Relative change (%)")</f>
        <v>Relativa (%)</v>
      </c>
      <c r="I11" s="24" t="str">
        <f>IF(Indice_index!$Z$1=1,"Contributo VHA (pp)","YOY Change Rate Contrib. (pp)")</f>
        <v>Contributo VHA (pp)</v>
      </c>
    </row>
    <row r="12" spans="2:9" ht="14.1" customHeight="1">
      <c r="B12" s="212" t="str">
        <f>IF(Indice_index!$Z$1=1,"Receita corrente","Current revenue")</f>
        <v>Receita corrente</v>
      </c>
      <c r="C12" s="161">
        <f>+C14+C15+C16+C17+C20+C21</f>
        <v>103029.96086931</v>
      </c>
      <c r="D12" s="161">
        <f>SUM(D14:D17)+D20+D21</f>
        <v>108349.77069899999</v>
      </c>
      <c r="E12" s="321">
        <f>+E14+E15+E16+E17+E20+E21</f>
        <v>74037.109908429993</v>
      </c>
      <c r="F12" s="321">
        <f>+F14+F15+F16+F17+F20+F21</f>
        <v>79921.65076121001</v>
      </c>
      <c r="G12" s="161">
        <f>IFERROR(IF(F12/D12*100&lt;-500,"-",IF(F12/D12*100&gt;500,"-",F12/D12*100)),"-")</f>
        <v>73.762639501319811</v>
      </c>
      <c r="H12" s="161">
        <f t="shared" ref="H12:H20" si="0">IF(IFERROR((F12-E12)/E12*100,"")&gt;500,"-",IFERROR((F12-E12)/E12*100,""))</f>
        <v>7.9480963803936833</v>
      </c>
      <c r="I12" s="161">
        <f>IFERROR((F12-E12)/$E$29*100,"")</f>
        <v>7.4777115923044963</v>
      </c>
    </row>
    <row r="13" spans="2:9" ht="14.1" customHeight="1">
      <c r="B13" s="150" t="str">
        <f>IF(Indice_index!$Z$1=1,"Receita fiscal","Tax")</f>
        <v>Receita fiscal</v>
      </c>
      <c r="C13" s="5">
        <f>+C14+C15</f>
        <v>59876.536715090006</v>
      </c>
      <c r="D13" s="5">
        <f>+D14+D15</f>
        <v>61138.912628000005</v>
      </c>
      <c r="E13" s="322">
        <f>+E14+E15</f>
        <v>43762.492367619998</v>
      </c>
      <c r="F13" s="322">
        <f>+F14+F15</f>
        <v>46126.688716870005</v>
      </c>
      <c r="G13" s="5">
        <f>IFERROR(IF(F13/D13*100&lt;-500,"-",IF(F13/D13*100&gt;500,"-",F13/D13*100)),"-")</f>
        <v>75.445713268615123</v>
      </c>
      <c r="H13" s="5">
        <f t="shared" si="0"/>
        <v>5.4023347879502479</v>
      </c>
      <c r="I13" s="5">
        <f t="shared" ref="I13:I20" si="1">IFERROR((F13-E13)/$E$29*100,"")</f>
        <v>3.0042749110865317</v>
      </c>
    </row>
    <row r="14" spans="2:9" ht="14.1" customHeight="1">
      <c r="B14" s="210" t="str">
        <f>IF(Indice_index!$Z$1=1,"Impostos diretos ","Direct taxes")</f>
        <v xml:space="preserve">Impostos diretos </v>
      </c>
      <c r="C14" s="5">
        <v>27128.911549260003</v>
      </c>
      <c r="D14" s="5">
        <v>26748.463474</v>
      </c>
      <c r="E14" s="322">
        <v>19844.960008369999</v>
      </c>
      <c r="F14" s="322">
        <v>21407.024198310002</v>
      </c>
      <c r="G14" s="5">
        <f t="shared" ref="G14:G27" si="2">IFERROR(IF(F14/D14*100&lt;-500,"-",IF(F14/D14*100&gt;500,"-",F14/D14*100)),"-")</f>
        <v>80.030855675571885</v>
      </c>
      <c r="H14" s="5">
        <f t="shared" si="0"/>
        <v>7.87133957075838</v>
      </c>
      <c r="I14" s="5">
        <f t="shared" si="1"/>
        <v>1.9849748337663138</v>
      </c>
    </row>
    <row r="15" spans="2:9" ht="14.1" customHeight="1">
      <c r="B15" s="210" t="str">
        <f>IF(Indice_index!$Z$1=1,"Impostos indiretos","Indirect taxes")</f>
        <v>Impostos indiretos</v>
      </c>
      <c r="C15" s="5">
        <v>32747.625165830003</v>
      </c>
      <c r="D15" s="5">
        <v>34390.449154000002</v>
      </c>
      <c r="E15" s="322">
        <v>23917.532359249999</v>
      </c>
      <c r="F15" s="322">
        <v>24719.664518559999</v>
      </c>
      <c r="G15" s="5">
        <f t="shared" si="2"/>
        <v>71.879446551761077</v>
      </c>
      <c r="H15" s="5">
        <f t="shared" si="0"/>
        <v>3.3537412943011198</v>
      </c>
      <c r="I15" s="5">
        <f t="shared" si="1"/>
        <v>1.0193000773202132</v>
      </c>
    </row>
    <row r="16" spans="2:9" ht="14.1" customHeight="1">
      <c r="B16" s="150" t="str">
        <f>IF(Indice_index!$Z$1=1,"Contribuições para Segurança Social, CGA e ADSE","Social security, CGA and ADSE contributions")</f>
        <v>Contribuições para Segurança Social, CGA e ADSE</v>
      </c>
      <c r="C16" s="5">
        <v>29311.648942479998</v>
      </c>
      <c r="D16" s="5">
        <v>30558.166512</v>
      </c>
      <c r="E16" s="322">
        <v>21273.493721989995</v>
      </c>
      <c r="F16" s="322">
        <v>23353.341776020003</v>
      </c>
      <c r="G16" s="5">
        <f t="shared" si="2"/>
        <v>76.42258826899608</v>
      </c>
      <c r="H16" s="5">
        <f t="shared" si="0"/>
        <v>9.7767112502076223</v>
      </c>
      <c r="I16" s="5">
        <f t="shared" si="1"/>
        <v>2.6429426344291098</v>
      </c>
    </row>
    <row r="17" spans="2:9" ht="14.1" customHeight="1">
      <c r="B17" s="150" t="str">
        <f>IF(Indice_index!$Z$1=1,"Transferências correntes","Current transfers")</f>
        <v>Transferências correntes</v>
      </c>
      <c r="C17" s="5">
        <f>+C18+C19</f>
        <v>2698.3470955799985</v>
      </c>
      <c r="D17" s="5">
        <f>+D18+D19</f>
        <v>5175.405984</v>
      </c>
      <c r="E17" s="322">
        <f>+E18+E19</f>
        <v>1800.6692676199998</v>
      </c>
      <c r="F17" s="322">
        <f>+F18+F19</f>
        <v>2000.7932453900003</v>
      </c>
      <c r="G17" s="5">
        <f t="shared" si="2"/>
        <v>38.659638520640556</v>
      </c>
      <c r="H17" s="5">
        <f t="shared" si="0"/>
        <v>11.113866458914497</v>
      </c>
      <c r="I17" s="5">
        <f t="shared" si="1"/>
        <v>0.25430520849589255</v>
      </c>
    </row>
    <row r="18" spans="2:9" ht="14.1" customHeight="1">
      <c r="B18" s="210" t="str">
        <f>IF(Indice_index!$Z$1=1,"Administrações Públicas","General Government subsectors")</f>
        <v>Administrações Públicas</v>
      </c>
      <c r="C18" s="5">
        <v>191.51280834000039</v>
      </c>
      <c r="D18" s="5">
        <v>192.42258399999997</v>
      </c>
      <c r="E18" s="322">
        <v>137.61787261999999</v>
      </c>
      <c r="F18" s="322">
        <v>128.50316595999996</v>
      </c>
      <c r="G18" s="5">
        <f t="shared" si="2"/>
        <v>66.781748425122473</v>
      </c>
      <c r="H18" s="5">
        <f t="shared" si="0"/>
        <v>-6.6231997969974321</v>
      </c>
      <c r="I18" s="5">
        <f t="shared" si="1"/>
        <v>-1.1582407082744254E-2</v>
      </c>
    </row>
    <row r="19" spans="2:9" ht="14.1" customHeight="1">
      <c r="B19" s="210" t="str">
        <f>IF(Indice_index!$Z$1=1,"Outras","Others")</f>
        <v>Outras</v>
      </c>
      <c r="C19" s="5">
        <v>2506.834287239998</v>
      </c>
      <c r="D19" s="5">
        <v>4982.9834000000001</v>
      </c>
      <c r="E19" s="322">
        <v>1663.0513949999997</v>
      </c>
      <c r="F19" s="322">
        <v>1872.2900794300003</v>
      </c>
      <c r="G19" s="5">
        <f t="shared" si="2"/>
        <v>37.573676834444207</v>
      </c>
      <c r="H19" s="5">
        <f t="shared" si="0"/>
        <v>12.581612634406927</v>
      </c>
      <c r="I19" s="5">
        <f t="shared" si="1"/>
        <v>0.26588761557863699</v>
      </c>
    </row>
    <row r="20" spans="2:9" ht="14.1" customHeight="1">
      <c r="B20" s="150" t="str">
        <f>IF(Indice_index!$Z$1=1,"Outras receitas correntes","Other current revenue")</f>
        <v>Outras receitas correntes</v>
      </c>
      <c r="C20" s="5">
        <v>11143.40639797</v>
      </c>
      <c r="D20" s="5">
        <v>11281.753499999999</v>
      </c>
      <c r="E20" s="322">
        <v>7082.7962200600023</v>
      </c>
      <c r="F20" s="322">
        <v>8226.5784131399996</v>
      </c>
      <c r="G20" s="5">
        <f t="shared" si="2"/>
        <v>72.91932422685889</v>
      </c>
      <c r="H20" s="5">
        <f t="shared" si="0"/>
        <v>16.148737836626729</v>
      </c>
      <c r="I20" s="5">
        <f t="shared" si="1"/>
        <v>1.453447869297253</v>
      </c>
    </row>
    <row r="21" spans="2:9" ht="14.1" customHeight="1">
      <c r="B21" s="150" t="str">
        <f>IF(Indice_index!$Z$1=1,"Diferenças de consolidação","Consolidation differences")</f>
        <v>Diferenças de consolidação</v>
      </c>
      <c r="C21" s="5">
        <v>2.1718189999999981E-2</v>
      </c>
      <c r="D21" s="5">
        <v>195.53207499999812</v>
      </c>
      <c r="E21" s="322">
        <v>117.65833114000476</v>
      </c>
      <c r="F21" s="322">
        <v>214.24860978999851</v>
      </c>
      <c r="G21" s="5"/>
      <c r="H21" s="5"/>
      <c r="I21" s="5"/>
    </row>
    <row r="22" spans="2:9" ht="14.1" customHeight="1">
      <c r="B22" s="212" t="str">
        <f>IF(Indice_index!$Z$1=1,"Receita de capital","Capital revenue")</f>
        <v>Receita de capital</v>
      </c>
      <c r="C22" s="161">
        <f>+C23+C24+C27+C28</f>
        <v>5554.9416872299989</v>
      </c>
      <c r="D22" s="161">
        <f>+D23+D24+D27+D28</f>
        <v>4792.6509489999999</v>
      </c>
      <c r="E22" s="321">
        <f>+E23+E24+E27+E28</f>
        <v>4657.2978678199988</v>
      </c>
      <c r="F22" s="321">
        <f>+F23+F24+F27+F28</f>
        <v>1846.9059726000003</v>
      </c>
      <c r="G22" s="161">
        <f t="shared" si="2"/>
        <v>38.536208713162438</v>
      </c>
      <c r="H22" s="161">
        <f t="shared" ref="H22:H27" si="3">IF(IFERROR((F22-E22)/E22*100,"")&gt;500,"-",IFERROR((F22-E22)/E22*100,""))</f>
        <v>-60.343829726645652</v>
      </c>
      <c r="I22" s="161">
        <f t="shared" ref="I22:I27" si="4">IFERROR((F22-E22)/$E$29*100,"")</f>
        <v>-3.5712726922232152</v>
      </c>
    </row>
    <row r="23" spans="2:9" ht="14.1" customHeight="1">
      <c r="B23" s="150" t="str">
        <f>IF(Indice_index!$Z$1=1,"Venda de bens de investimento","Sale of investment goods")</f>
        <v>Venda de bens de investimento</v>
      </c>
      <c r="C23" s="5">
        <v>156.98269662999999</v>
      </c>
      <c r="D23" s="5">
        <v>332.13301300000001</v>
      </c>
      <c r="E23" s="322">
        <v>137.60764951000002</v>
      </c>
      <c r="F23" s="322">
        <v>60.694852389999987</v>
      </c>
      <c r="G23" s="5">
        <f t="shared" si="2"/>
        <v>18.274260616784872</v>
      </c>
      <c r="H23" s="5">
        <f t="shared" si="3"/>
        <v>-55.892820925199175</v>
      </c>
      <c r="I23" s="5">
        <f t="shared" si="4"/>
        <v>-9.7736039057164534E-2</v>
      </c>
    </row>
    <row r="24" spans="2:9" ht="14.1" customHeight="1">
      <c r="B24" s="150" t="str">
        <f>IF(Indice_index!$Z$1=1,"Transferências de capital","Capital transfers")</f>
        <v>Transferências de capital</v>
      </c>
      <c r="C24" s="5">
        <f>+C25+C26</f>
        <v>5347.854010699999</v>
      </c>
      <c r="D24" s="5">
        <f>+D25+D26</f>
        <v>4307.8084479999998</v>
      </c>
      <c r="E24" s="322">
        <f>+E25+E26</f>
        <v>4491.1643745999991</v>
      </c>
      <c r="F24" s="322">
        <f>+F25+F26</f>
        <v>1627.2588834600001</v>
      </c>
      <c r="G24" s="5">
        <f t="shared" si="2"/>
        <v>37.774634204440844</v>
      </c>
      <c r="H24" s="5">
        <f t="shared" si="3"/>
        <v>-63.767550066458426</v>
      </c>
      <c r="I24" s="5">
        <f t="shared" si="4"/>
        <v>-3.6392744695186927</v>
      </c>
    </row>
    <row r="25" spans="2:9" ht="14.1" customHeight="1">
      <c r="B25" s="210" t="str">
        <f>IF(Indice_index!$Z$1=1,"Administrações Públicas","General Government subsectors")</f>
        <v>Administrações Públicas</v>
      </c>
      <c r="C25" s="5">
        <v>7.0556846100000001</v>
      </c>
      <c r="D25" s="5">
        <v>22.176451999999998</v>
      </c>
      <c r="E25" s="322">
        <v>6.5107469799999995</v>
      </c>
      <c r="F25" s="322">
        <v>4.0523972600000002</v>
      </c>
      <c r="G25" s="5">
        <f t="shared" si="2"/>
        <v>18.273424711942202</v>
      </c>
      <c r="H25" s="5">
        <f t="shared" si="3"/>
        <v>-37.758335987432268</v>
      </c>
      <c r="I25" s="5">
        <f t="shared" si="4"/>
        <v>-3.1239192078168616E-3</v>
      </c>
    </row>
    <row r="26" spans="2:9" ht="14.1" customHeight="1">
      <c r="B26" s="210" t="str">
        <f>IF(Indice_index!$Z$1=1,"Outras","Others")</f>
        <v>Outras</v>
      </c>
      <c r="C26" s="5">
        <v>5340.7983260899991</v>
      </c>
      <c r="D26" s="5">
        <v>4285.6319960000001</v>
      </c>
      <c r="E26" s="322">
        <v>4484.6536276199995</v>
      </c>
      <c r="F26" s="322">
        <v>1623.2064862000002</v>
      </c>
      <c r="G26" s="5">
        <f t="shared" si="2"/>
        <v>37.87554525715278</v>
      </c>
      <c r="H26" s="5">
        <f t="shared" si="3"/>
        <v>-63.805309819179193</v>
      </c>
      <c r="I26" s="5">
        <f t="shared" si="4"/>
        <v>-3.6361505503108766</v>
      </c>
    </row>
    <row r="27" spans="2:9" ht="14.1" customHeight="1">
      <c r="B27" s="150" t="str">
        <f>IF(Indice_index!$Z$1=1,"Outras receitas de capital","Other capital revenue")</f>
        <v>Outras receitas de capital</v>
      </c>
      <c r="C27" s="5">
        <v>49.300566009999997</v>
      </c>
      <c r="D27" s="5">
        <v>39.943621</v>
      </c>
      <c r="E27" s="322">
        <v>28.176757159999998</v>
      </c>
      <c r="F27" s="322">
        <v>158.74928674999995</v>
      </c>
      <c r="G27" s="5">
        <f t="shared" si="2"/>
        <v>397.43338930138543</v>
      </c>
      <c r="H27" s="5">
        <f t="shared" si="3"/>
        <v>463.40509963070559</v>
      </c>
      <c r="I27" s="5">
        <f t="shared" si="4"/>
        <v>0.16592351766754995</v>
      </c>
    </row>
    <row r="28" spans="2:9" ht="14.1" customHeight="1">
      <c r="B28" s="150" t="str">
        <f>IF(Indice_index!$Z$1=1,"Diferenças de consolidação","Consolidation differences")</f>
        <v>Diferenças de consolidação</v>
      </c>
      <c r="C28" s="5">
        <v>0.80441388999999985</v>
      </c>
      <c r="D28" s="5">
        <v>112.76586699999984</v>
      </c>
      <c r="E28" s="322">
        <v>0.34908655</v>
      </c>
      <c r="F28" s="322">
        <v>0.20294999999999999</v>
      </c>
      <c r="G28" s="5"/>
      <c r="H28" s="5"/>
      <c r="I28" s="5"/>
    </row>
    <row r="29" spans="2:9" ht="14.1" customHeight="1">
      <c r="B29" s="32" t="str">
        <f>IF(Indice_index!$Z$1=1,"Receita efetiva","Effective revenue")</f>
        <v>Receita efetiva</v>
      </c>
      <c r="C29" s="19">
        <f>+C12+C22</f>
        <v>108584.90255654001</v>
      </c>
      <c r="D29" s="19">
        <f>+D12+D22</f>
        <v>113142.42164799999</v>
      </c>
      <c r="E29" s="19">
        <f>+E12+E22</f>
        <v>78694.407776249995</v>
      </c>
      <c r="F29" s="19">
        <f>+F12+F22</f>
        <v>81768.556733810008</v>
      </c>
      <c r="G29" s="19">
        <f>IFERROR(IF(F29/D29*100&lt;-500,"-",IF(F29/D29*100&gt;500,"-",F29/D29*100)),"-")</f>
        <v>72.270467206546158</v>
      </c>
      <c r="H29" s="19">
        <f t="shared" ref="H29:H41" si="5">IF(IFERROR((F29-E29)/E29*100,"")&gt;500,"-",IFERROR((F29-E29)/E29*100,""))</f>
        <v>3.9064389000812749</v>
      </c>
      <c r="I29" s="19"/>
    </row>
    <row r="30" spans="2:9" ht="14.1" customHeight="1">
      <c r="B30" s="212" t="str">
        <f>IF(Indice_index!$Z$1=1,"Despesa corrente","Current expenditure")</f>
        <v>Despesa corrente</v>
      </c>
      <c r="C30" s="161">
        <f>+C31+C35+C36+C37+C40+C41+C42</f>
        <v>94232.241573010018</v>
      </c>
      <c r="D30" s="161">
        <f>+D31+D35+D36+D37+D40+D41+D42</f>
        <v>104185.501947995</v>
      </c>
      <c r="E30" s="161">
        <f>+E31+E35+E36+E37+E40+E41+E42</f>
        <v>64711.023008640019</v>
      </c>
      <c r="F30" s="161">
        <f>+F31+F35+F36+F37+F40+F41+F42</f>
        <v>72074.805089340021</v>
      </c>
      <c r="G30" s="161">
        <f t="shared" ref="G30:G48" si="6">IFERROR(IF(F30/D30*100&lt;-500,"-",IF(F30/D30*100&gt;500,"-",F30/D30*100)),"-")</f>
        <v>69.179303973902933</v>
      </c>
      <c r="H30" s="161">
        <f t="shared" si="5"/>
        <v>11.379486428018319</v>
      </c>
      <c r="I30" s="161">
        <f t="shared" ref="I30:I41" si="7">IFERROR((F30-E30)/$E$50*100,"")</f>
        <v>10.680308107742801</v>
      </c>
    </row>
    <row r="31" spans="2:9" ht="14.1" customHeight="1">
      <c r="B31" s="150" t="str">
        <f>IF(Indice_index!$Z$1=1,"Despesas com o pessoal","Employees")</f>
        <v>Despesas com o pessoal</v>
      </c>
      <c r="C31" s="5">
        <f>+C32+C33+C34</f>
        <v>20605.948096519995</v>
      </c>
      <c r="D31" s="5">
        <f>+D32+D33+D34</f>
        <v>21710.551430999996</v>
      </c>
      <c r="E31" s="5">
        <f>+E32+E33+E34</f>
        <v>14688.105385280007</v>
      </c>
      <c r="F31" s="5">
        <f>+F32+F33+F34</f>
        <v>15852.309476500002</v>
      </c>
      <c r="G31" s="5">
        <f t="shared" si="6"/>
        <v>73.016613727576058</v>
      </c>
      <c r="H31" s="5">
        <f t="shared" si="5"/>
        <v>7.9261692415873259</v>
      </c>
      <c r="I31" s="5">
        <f t="shared" si="7"/>
        <v>1.6885424172332753</v>
      </c>
    </row>
    <row r="32" spans="2:9" ht="14.1" customHeight="1">
      <c r="B32" s="210" t="str">
        <f>IF(Indice_index!$Z$1=1,"Remunerações certas e permanentes","Certain and permanent wages")</f>
        <v>Remunerações certas e permanentes</v>
      </c>
      <c r="C32" s="5">
        <v>14605.385056989991</v>
      </c>
      <c r="D32" s="5">
        <v>15726.873404999998</v>
      </c>
      <c r="E32" s="5">
        <v>10394.26700671001</v>
      </c>
      <c r="F32" s="5">
        <v>11245.345890480005</v>
      </c>
      <c r="G32" s="5">
        <f t="shared" si="6"/>
        <v>71.504014821565264</v>
      </c>
      <c r="H32" s="5">
        <f t="shared" si="5"/>
        <v>8.1879644155819893</v>
      </c>
      <c r="I32" s="5">
        <f t="shared" si="7"/>
        <v>1.2343907794991797</v>
      </c>
    </row>
    <row r="33" spans="2:9" ht="14.1" customHeight="1">
      <c r="B33" s="210" t="str">
        <f>IF(Indice_index!$Z$1=1,"Abonos variáveis ou eventuais","Variable or contingent bonuses")</f>
        <v>Abonos variáveis ou eventuais</v>
      </c>
      <c r="C33" s="5">
        <v>1572.5586903899998</v>
      </c>
      <c r="D33" s="5">
        <v>1553.2616869999999</v>
      </c>
      <c r="E33" s="5">
        <v>1149.8328649799989</v>
      </c>
      <c r="F33" s="5">
        <v>1239.2302780699997</v>
      </c>
      <c r="G33" s="5">
        <f t="shared" si="6"/>
        <v>79.782453172039112</v>
      </c>
      <c r="H33" s="5">
        <f t="shared" si="5"/>
        <v>7.7748180464084955</v>
      </c>
      <c r="I33" s="5">
        <f t="shared" si="7"/>
        <v>0.12966053386327331</v>
      </c>
    </row>
    <row r="34" spans="2:9" ht="14.1" customHeight="1">
      <c r="B34" s="210" t="str">
        <f>IF(Indice_index!$Z$1=1,"Segurança social","Social security")</f>
        <v>Segurança social</v>
      </c>
      <c r="C34" s="5">
        <v>4428.004349140002</v>
      </c>
      <c r="D34" s="5">
        <v>4430.4163390000003</v>
      </c>
      <c r="E34" s="5">
        <v>3144.0055135899993</v>
      </c>
      <c r="F34" s="5">
        <v>3367.7333079499995</v>
      </c>
      <c r="G34" s="5">
        <f t="shared" si="6"/>
        <v>76.013923980565195</v>
      </c>
      <c r="H34" s="5">
        <f t="shared" si="5"/>
        <v>7.1160115143861642</v>
      </c>
      <c r="I34" s="5">
        <f t="shared" si="7"/>
        <v>0.32449110387082231</v>
      </c>
    </row>
    <row r="35" spans="2:9" ht="14.1" customHeight="1">
      <c r="B35" s="150" t="str">
        <f>IF(Indice_index!$Z$1=1,"Aquisição de bens e serviços","Purchase of goods and services")</f>
        <v>Aquisição de bens e serviços</v>
      </c>
      <c r="C35" s="5">
        <v>13323.767954190003</v>
      </c>
      <c r="D35" s="5">
        <v>14729.562986995001</v>
      </c>
      <c r="E35" s="5">
        <v>7987.6974449700001</v>
      </c>
      <c r="F35" s="5">
        <v>8729.9074156199968</v>
      </c>
      <c r="G35" s="5">
        <f t="shared" si="6"/>
        <v>59.267932275572541</v>
      </c>
      <c r="H35" s="5">
        <f t="shared" si="5"/>
        <v>9.2919139184143731</v>
      </c>
      <c r="I35" s="5">
        <f t="shared" si="7"/>
        <v>1.076489103059818</v>
      </c>
    </row>
    <row r="36" spans="2:9" ht="14.1" customHeight="1">
      <c r="B36" s="150" t="str">
        <f>IF(Indice_index!$Z$1=1,"Juros e outros encargos","Interests and other charges")</f>
        <v>Juros e outros encargos</v>
      </c>
      <c r="C36" s="5">
        <v>6492.0905957999994</v>
      </c>
      <c r="D36" s="5">
        <v>7127.1157600000006</v>
      </c>
      <c r="E36" s="5">
        <v>4403.995885389998</v>
      </c>
      <c r="F36" s="5">
        <v>4858.5824946399998</v>
      </c>
      <c r="G36" s="5">
        <f t="shared" si="6"/>
        <v>68.170388390604714</v>
      </c>
      <c r="H36" s="5">
        <f>IF(IFERROR((F36-E36)/E36*100,"")&gt;500,"-",IFERROR((F36-E36)/E36*100,""))</f>
        <v>10.322139735826427</v>
      </c>
      <c r="I36" s="5">
        <f t="shared" si="7"/>
        <v>0.65932492233428164</v>
      </c>
    </row>
    <row r="37" spans="2:9" ht="14.1" customHeight="1">
      <c r="B37" s="150" t="str">
        <f>IF(Indice_index!$Z$1=1,"Transferências correntes","Current transfers")</f>
        <v>Transferências correntes</v>
      </c>
      <c r="C37" s="5">
        <f>+C38+C39</f>
        <v>51415.489018310007</v>
      </c>
      <c r="D37" s="5">
        <f>+D38+D39</f>
        <v>56004.721160000001</v>
      </c>
      <c r="E37" s="5">
        <f>+E38+E39</f>
        <v>36251.315680620006</v>
      </c>
      <c r="F37" s="5">
        <f>+F38+F39</f>
        <v>41154.695212940016</v>
      </c>
      <c r="G37" s="5">
        <f t="shared" si="6"/>
        <v>73.484331964380431</v>
      </c>
      <c r="H37" s="5">
        <f>IF(IFERROR((F37-E37)/E37*100,"")&gt;500,"-",IFERROR((F37-E37)/E37*100,""))</f>
        <v>13.52607330315838</v>
      </c>
      <c r="I37" s="5">
        <f t="shared" si="7"/>
        <v>7.1117808213845528</v>
      </c>
    </row>
    <row r="38" spans="2:9" ht="14.1" customHeight="1">
      <c r="B38" s="210" t="str">
        <f>IF(Indice_index!$Z$1=1,"Administrações Públicas","General Government subsectors")</f>
        <v>Administrações Públicas</v>
      </c>
      <c r="C38" s="5">
        <v>5121.0297805499995</v>
      </c>
      <c r="D38" s="5">
        <v>6221.9545859999998</v>
      </c>
      <c r="E38" s="5">
        <v>3739.9124446600003</v>
      </c>
      <c r="F38" s="5">
        <v>4384.6824854700008</v>
      </c>
      <c r="G38" s="5">
        <f t="shared" si="6"/>
        <v>70.471142546362529</v>
      </c>
      <c r="H38" s="5">
        <f>IF(IFERROR((F38-E38)/E38*100,"")&gt;500,"-",IFERROR((F38-E38)/E38*100,""))</f>
        <v>17.240244266430071</v>
      </c>
      <c r="I38" s="5">
        <f t="shared" si="7"/>
        <v>0.93516383551617632</v>
      </c>
    </row>
    <row r="39" spans="2:9" ht="14.1" customHeight="1">
      <c r="B39" s="210" t="str">
        <f>IF(Indice_index!$Z$1=1,"Outras","Others")</f>
        <v>Outras</v>
      </c>
      <c r="C39" s="5">
        <v>46294.459237760006</v>
      </c>
      <c r="D39" s="5">
        <v>49782.766574000001</v>
      </c>
      <c r="E39" s="5">
        <v>32511.403235960002</v>
      </c>
      <c r="F39" s="5">
        <v>36770.012727470013</v>
      </c>
      <c r="G39" s="5">
        <f t="shared" si="6"/>
        <v>73.860926698022951</v>
      </c>
      <c r="H39" s="5">
        <f>IF(IFERROR((F39-E39)/E39*100,"")&gt;500,"-",IFERROR((F39-E39)/E39*100,""))</f>
        <v>13.098817853545233</v>
      </c>
      <c r="I39" s="5">
        <f t="shared" si="7"/>
        <v>6.1766169858683782</v>
      </c>
    </row>
    <row r="40" spans="2:9" ht="14.1" customHeight="1">
      <c r="B40" s="150" t="str">
        <f>IF(Indice_index!$Z$1=1,"Subsídios","Subsidies")</f>
        <v>Subsídios</v>
      </c>
      <c r="C40" s="5">
        <v>1453.8002917700001</v>
      </c>
      <c r="D40" s="5">
        <v>2112.4088139999994</v>
      </c>
      <c r="E40" s="5">
        <v>1071.3778662100001</v>
      </c>
      <c r="F40" s="5">
        <v>921.47437656</v>
      </c>
      <c r="G40" s="5">
        <f t="shared" si="6"/>
        <v>43.62197177236358</v>
      </c>
      <c r="H40" s="5">
        <f>IF(IFERROR((F40-E40)/E40*100,"")&gt;500,"-",IFERROR((F40-E40)/E40*100,""))</f>
        <v>-13.99165452057394</v>
      </c>
      <c r="I40" s="5">
        <f t="shared" si="7"/>
        <v>-0.2174175496154338</v>
      </c>
    </row>
    <row r="41" spans="2:9" ht="14.1" customHeight="1">
      <c r="B41" s="150" t="str">
        <f>IF(Indice_index!$Z$1=1,"Outras despesas correntes","Other current expenditure")</f>
        <v>Outras despesas correntes</v>
      </c>
      <c r="C41" s="5">
        <v>674.75109175000011</v>
      </c>
      <c r="D41" s="5">
        <v>2472.2417479999999</v>
      </c>
      <c r="E41" s="5">
        <v>251.28698580999995</v>
      </c>
      <c r="F41" s="5">
        <v>430.5252890000001</v>
      </c>
      <c r="G41" s="5">
        <f t="shared" si="6"/>
        <v>17.414368532053448</v>
      </c>
      <c r="H41" s="5">
        <f t="shared" si="5"/>
        <v>71.328128121017627</v>
      </c>
      <c r="I41" s="5">
        <f t="shared" si="7"/>
        <v>0.25996427946931389</v>
      </c>
    </row>
    <row r="42" spans="2:9" ht="14.1" customHeight="1">
      <c r="B42" s="150" t="str">
        <f>IF(Indice_index!$Z$1=1,"Diferenças de consolidação","Consolidation differences")</f>
        <v>Diferenças de consolidação</v>
      </c>
      <c r="C42" s="5">
        <v>266.39452466999859</v>
      </c>
      <c r="D42" s="5">
        <v>28.900047999998606</v>
      </c>
      <c r="E42" s="5">
        <v>57.243760360003449</v>
      </c>
      <c r="F42" s="5">
        <v>127.31082408000049</v>
      </c>
      <c r="G42" s="5"/>
      <c r="H42" s="5"/>
      <c r="I42" s="5"/>
    </row>
    <row r="43" spans="2:9" ht="14.1" customHeight="1">
      <c r="B43" s="212" t="str">
        <f>IF(Indice_index!$Z$1=1,"Despesa de capital","Capital expenditure")</f>
        <v>Despesa de capital</v>
      </c>
      <c r="C43" s="161">
        <f>+C44+C45+C48+C49</f>
        <v>6981.9948747999997</v>
      </c>
      <c r="D43" s="161">
        <f>+D44+D45+D48+D49</f>
        <v>11013.690640999999</v>
      </c>
      <c r="E43" s="161">
        <f>+E44+E45+E48+E49</f>
        <v>4236.2583470499994</v>
      </c>
      <c r="F43" s="161">
        <f>+F44+F45+F48+F49</f>
        <v>4990.7762361199984</v>
      </c>
      <c r="G43" s="161">
        <f t="shared" si="6"/>
        <v>45.314294715534665</v>
      </c>
      <c r="H43" s="161">
        <f t="shared" ref="H43:H48" si="8">IF(IFERROR((F43-E43)/E43*100,"")&gt;500,"-",IFERROR((F43-E43)/E43*100,""))</f>
        <v>17.810950779133243</v>
      </c>
      <c r="I43" s="161">
        <f t="shared" ref="I43:I48" si="9">IFERROR((F43-E43)/$E$50*100,"")</f>
        <v>1.0943403049897498</v>
      </c>
    </row>
    <row r="44" spans="2:9" ht="14.1" customHeight="1">
      <c r="B44" s="150" t="str">
        <f>IF(Indice_index!$Z$1=1,"Investimento","Investments")</f>
        <v>Investimento</v>
      </c>
      <c r="C44" s="5">
        <v>4255.1221621699997</v>
      </c>
      <c r="D44" s="5">
        <v>7290.6991469999994</v>
      </c>
      <c r="E44" s="5">
        <v>2492.95007867</v>
      </c>
      <c r="F44" s="5">
        <v>2615.1871362799989</v>
      </c>
      <c r="G44" s="5">
        <f t="shared" si="6"/>
        <v>35.870183140887171</v>
      </c>
      <c r="H44" s="5">
        <f t="shared" si="8"/>
        <v>4.9033094828442305</v>
      </c>
      <c r="I44" s="5">
        <f t="shared" si="9"/>
        <v>0.17729061277905045</v>
      </c>
    </row>
    <row r="45" spans="2:9" ht="14.1" customHeight="1">
      <c r="B45" s="150" t="str">
        <f>IF(Indice_index!$Z$1=1,"Transferências de capital","Capital transfers")</f>
        <v>Transferências de capital</v>
      </c>
      <c r="C45" s="5">
        <f>+C46+C47</f>
        <v>2308.2395953999999</v>
      </c>
      <c r="D45" s="5">
        <f>+D46+D47</f>
        <v>3459.9700800000001</v>
      </c>
      <c r="E45" s="5">
        <f>+E46+E47</f>
        <v>1509.13839594</v>
      </c>
      <c r="F45" s="5">
        <f>+F46+F47</f>
        <v>1740.2544567499999</v>
      </c>
      <c r="G45" s="5">
        <f t="shared" si="6"/>
        <v>50.296806518916483</v>
      </c>
      <c r="H45" s="5">
        <f t="shared" si="8"/>
        <v>15.314437789918149</v>
      </c>
      <c r="I45" s="5">
        <f t="shared" si="9"/>
        <v>0.33520692370407229</v>
      </c>
    </row>
    <row r="46" spans="2:9" ht="14.1" customHeight="1">
      <c r="B46" s="210" t="str">
        <f>IF(Indice_index!$Z$1=1,"Administrações Públicas","General Government subsectors")</f>
        <v>Administrações Públicas</v>
      </c>
      <c r="C46" s="5">
        <v>843.84886827000003</v>
      </c>
      <c r="D46" s="5">
        <v>1349.1985359999999</v>
      </c>
      <c r="E46" s="5">
        <v>536.05519096</v>
      </c>
      <c r="F46" s="5">
        <v>781.56443966999984</v>
      </c>
      <c r="G46" s="5">
        <f t="shared" si="6"/>
        <v>57.928052752497194</v>
      </c>
      <c r="H46" s="5">
        <f t="shared" si="8"/>
        <v>45.799248444983256</v>
      </c>
      <c r="I46" s="5">
        <f t="shared" si="9"/>
        <v>0.35608256610358524</v>
      </c>
    </row>
    <row r="47" spans="2:9" ht="14.1" customHeight="1">
      <c r="B47" s="210" t="str">
        <f>IF(Indice_index!$Z$1=1,"Outras","Others")</f>
        <v>Outras</v>
      </c>
      <c r="C47" s="5">
        <v>1464.3907271299997</v>
      </c>
      <c r="D47" s="5">
        <v>2110.7715440000002</v>
      </c>
      <c r="E47" s="5">
        <v>973.08320498</v>
      </c>
      <c r="F47" s="5">
        <v>958.69001707999996</v>
      </c>
      <c r="G47" s="5">
        <f t="shared" si="6"/>
        <v>45.418937914201855</v>
      </c>
      <c r="H47" s="5">
        <f t="shared" si="8"/>
        <v>-1.4791322906755822</v>
      </c>
      <c r="I47" s="5">
        <f t="shared" si="9"/>
        <v>-2.0875642399513141E-2</v>
      </c>
    </row>
    <row r="48" spans="2:9" ht="14.1" customHeight="1">
      <c r="B48" s="150" t="str">
        <f>IF(Indice_index!$Z$1=1,"Outras despesas de capital","Other capital expenditure")</f>
        <v>Outras despesas de capital</v>
      </c>
      <c r="C48" s="5">
        <v>293.19927810000002</v>
      </c>
      <c r="D48" s="5">
        <v>263.02141400000005</v>
      </c>
      <c r="E48" s="5">
        <v>160.94001160999997</v>
      </c>
      <c r="F48" s="5">
        <v>135.64511694999999</v>
      </c>
      <c r="G48" s="5">
        <f t="shared" si="6"/>
        <v>51.571891005802271</v>
      </c>
      <c r="H48" s="5">
        <f t="shared" si="8"/>
        <v>-15.716970818478734</v>
      </c>
      <c r="I48" s="5">
        <f t="shared" si="9"/>
        <v>-3.6687298124935375E-2</v>
      </c>
    </row>
    <row r="49" spans="2:9" ht="14.1" customHeight="1">
      <c r="B49" s="150" t="str">
        <f>IF(Indice_index!$Z$1=1,"Diferenças de consolidação","Consolidation differences")</f>
        <v>Diferenças de consolidação</v>
      </c>
      <c r="C49" s="5">
        <v>125.43383913000045</v>
      </c>
      <c r="D49" s="5">
        <v>0</v>
      </c>
      <c r="E49" s="5">
        <v>73.229860829999922</v>
      </c>
      <c r="F49" s="5">
        <v>499.68952614000011</v>
      </c>
      <c r="G49" s="5"/>
      <c r="H49" s="5"/>
      <c r="I49" s="5"/>
    </row>
    <row r="50" spans="2:9" ht="14.1" customHeight="1">
      <c r="B50" s="32" t="str">
        <f>IF(Indice_index!$Z$1=1,"Despesa efetiva","Effective Expenditure")</f>
        <v>Despesa efetiva</v>
      </c>
      <c r="C50" s="19">
        <f>+C30+C43</f>
        <v>101214.23644781002</v>
      </c>
      <c r="D50" s="19">
        <f>+D30+D43</f>
        <v>115199.19258899499</v>
      </c>
      <c r="E50" s="19">
        <f>+E30+E43</f>
        <v>68947.281355690022</v>
      </c>
      <c r="F50" s="19">
        <f>+F30+F43</f>
        <v>77065.581325460022</v>
      </c>
      <c r="G50" s="19">
        <f>IFERROR(IF(F50/D50*100&lt;-500,"-",IF(F50/D50*100&gt;500,"-",F50/D50*100)),"-")</f>
        <v>66.897674882507914</v>
      </c>
      <c r="H50" s="19">
        <f>IF(IFERROR((F50-E50)/E50*100,"")&gt;500,"-",IFERROR((F50-E50)/E50*100,""))</f>
        <v>11.774648412732548</v>
      </c>
      <c r="I50" s="19"/>
    </row>
    <row r="51" spans="2:9" ht="14.1" customHeight="1">
      <c r="B51" s="32" t="str">
        <f>IF(Indice_index!$Z$1=1,"Saldo global","Overall balance")</f>
        <v>Saldo global</v>
      </c>
      <c r="C51" s="19">
        <f>+C29-C50</f>
        <v>7370.6661087299872</v>
      </c>
      <c r="D51" s="19">
        <f>+D29-D50</f>
        <v>-2056.7709409950039</v>
      </c>
      <c r="E51" s="19">
        <f>+E29-E50</f>
        <v>9747.1264205599728</v>
      </c>
      <c r="F51" s="19">
        <f>+F29-F50</f>
        <v>4702.9754083499865</v>
      </c>
      <c r="G51" s="19"/>
      <c r="H51" s="19"/>
      <c r="I51" s="19"/>
    </row>
    <row r="52" spans="2:9" ht="14.1" customHeight="1">
      <c r="B52" s="150" t="str">
        <f>IF(Indice_index!$Z$1=1,"Despesa primária","Primary expenditure")</f>
        <v>Despesa primária</v>
      </c>
      <c r="C52" s="5">
        <f>+C50-C36</f>
        <v>94722.145852010028</v>
      </c>
      <c r="D52" s="5">
        <f>+D50-D36</f>
        <v>108072.07682899499</v>
      </c>
      <c r="E52" s="5">
        <f>+E50-E36</f>
        <v>64543.285470300027</v>
      </c>
      <c r="F52" s="5">
        <f>+F50-F36</f>
        <v>72206.998830820026</v>
      </c>
      <c r="G52" s="5">
        <f>IFERROR(IF(F52/D52*100&lt;-500,"-",IF(F52/D52*100&gt;500,"-",F52/D52*100)),"-")</f>
        <v>66.813742226009836</v>
      </c>
      <c r="H52" s="5">
        <f>IF(IFERROR((F52-E52)/E52*100,"")&gt;500,"-",IFERROR((F52-E52)/E52*100,""))</f>
        <v>11.873757749822795</v>
      </c>
      <c r="I52" s="5">
        <f>IFERROR((F52-E52)/$E$50*100,"")</f>
        <v>11.11532349039827</v>
      </c>
    </row>
    <row r="53" spans="2:9" ht="14.1" customHeight="1">
      <c r="B53" s="150" t="str">
        <f>IF(Indice_index!$Z$1=1,"Saldo corrente","Current balance")</f>
        <v>Saldo corrente</v>
      </c>
      <c r="C53" s="5">
        <f>+C12-C30</f>
        <v>8797.7192962999834</v>
      </c>
      <c r="D53" s="5">
        <f>+D12-D30</f>
        <v>4164.2687510049873</v>
      </c>
      <c r="E53" s="5">
        <f>+E12-E30</f>
        <v>9326.0868997899743</v>
      </c>
      <c r="F53" s="5">
        <f>+F12-F30</f>
        <v>7846.845671869989</v>
      </c>
      <c r="G53" s="5"/>
      <c r="H53" s="5"/>
      <c r="I53" s="5"/>
    </row>
    <row r="54" spans="2:9" ht="14.1" customHeight="1">
      <c r="B54" s="150" t="str">
        <f>IF(Indice_index!$Z$1=1,"Saldo de capital","Capital balance")</f>
        <v>Saldo de capital</v>
      </c>
      <c r="C54" s="5">
        <f>+C22-C43</f>
        <v>-1427.0531875700008</v>
      </c>
      <c r="D54" s="5">
        <f>+D22-D43</f>
        <v>-6221.0396919999994</v>
      </c>
      <c r="E54" s="5">
        <f>+E22-E43</f>
        <v>421.0395207699994</v>
      </c>
      <c r="F54" s="5">
        <f>+F22-F43</f>
        <v>-3143.8702635199979</v>
      </c>
      <c r="G54" s="5"/>
      <c r="H54" s="5"/>
      <c r="I54" s="5"/>
    </row>
    <row r="55" spans="2:9" ht="14.1" customHeight="1">
      <c r="B55" s="150" t="str">
        <f>IF(Indice_index!$Z$1=1,"Saldo primário","Primary balance")</f>
        <v>Saldo primário</v>
      </c>
      <c r="C55" s="5">
        <f>+C51+C36</f>
        <v>13862.756704529987</v>
      </c>
      <c r="D55" s="5">
        <f>+D51+D36</f>
        <v>5070.3448190049967</v>
      </c>
      <c r="E55" s="5">
        <f>+E51+E36</f>
        <v>14151.122305949972</v>
      </c>
      <c r="F55" s="5">
        <f>+F51+F36</f>
        <v>9561.5579029899855</v>
      </c>
      <c r="G55" s="5"/>
      <c r="H55" s="5"/>
      <c r="I55" s="5"/>
    </row>
    <row r="56" spans="2:9" ht="14.1" customHeight="1">
      <c r="B56" s="150" t="str">
        <f>IF(Indice_index!$Z$1=1,"Ativos financeiros líquidos de reembolsos","Financial assets net of reimbursements")</f>
        <v>Ativos financeiros líquidos de reembolsos</v>
      </c>
      <c r="C56" s="5">
        <v>5914.5930770899959</v>
      </c>
      <c r="D56" s="5">
        <v>-7598.261871499999</v>
      </c>
      <c r="E56" s="5">
        <v>6939.2025885100002</v>
      </c>
      <c r="F56" s="5">
        <v>3821.2908727799986</v>
      </c>
      <c r="G56" s="5"/>
      <c r="H56" s="5"/>
      <c r="I56" s="5"/>
    </row>
    <row r="57" spans="2:9" ht="14.1" customHeight="1">
      <c r="B57" s="293" t="str">
        <f>IF(Indice_index!$Z$1=1,"dos quais Receitas de:","of which revenue from:")</f>
        <v>dos quais Receitas de:</v>
      </c>
      <c r="C57" s="5"/>
      <c r="D57" s="5"/>
      <c r="E57" s="5"/>
      <c r="F57" s="5"/>
      <c r="G57" s="5"/>
      <c r="H57" s="5"/>
      <c r="I57" s="5"/>
    </row>
    <row r="58" spans="2:9" ht="14.1" customHeight="1">
      <c r="B58" s="300" t="str">
        <f>IF(Indice_index!$Z$1=1,"Alienação de partes de capital","Disposal of Capital Shares")</f>
        <v>Alienação de partes de capital</v>
      </c>
      <c r="C58" s="5">
        <v>1.30435E-2</v>
      </c>
      <c r="D58" s="5">
        <v>0</v>
      </c>
      <c r="E58" s="5">
        <v>1.1361040000000001E-2</v>
      </c>
      <c r="F58" s="5">
        <v>0</v>
      </c>
      <c r="G58" s="5"/>
      <c r="H58" s="5"/>
      <c r="I58" s="5"/>
    </row>
    <row r="59" spans="2:9" ht="14.1" customHeight="1">
      <c r="B59" s="211" t="str">
        <f>IF(Indice_index!$Z$1=1,"Passivos financeiros líquidos de amortizações","Financial liabilities net of amortizations")</f>
        <v>Passivos financeiros líquidos de amortizações</v>
      </c>
      <c r="C59" s="20">
        <v>-6649.9422620600308</v>
      </c>
      <c r="D59" s="20">
        <v>849.67799417000788</v>
      </c>
      <c r="E59" s="20">
        <v>2644.0421348900145</v>
      </c>
      <c r="F59" s="20">
        <v>551.5181168700409</v>
      </c>
      <c r="G59" s="20"/>
      <c r="H59" s="20"/>
      <c r="I59" s="20"/>
    </row>
    <row r="60" spans="2:9" ht="15">
      <c r="B60" s="10" t="str">
        <f>IF(Indice_index!$Z$1=1,"Nota:","Note:")</f>
        <v>Nota:</v>
      </c>
      <c r="C60" s="10"/>
      <c r="D60" s="10"/>
      <c r="E60" s="10"/>
      <c r="F60" s="10"/>
      <c r="G60" s="10"/>
      <c r="H60" s="10"/>
      <c r="I60" s="10"/>
    </row>
    <row r="61" spans="2:9" ht="15">
      <c r="B61" s="379" t="str">
        <f>IF(Indice_index!$Z$1=1,"Os dados de 2023 são mensalmente revistos e atualizados face ao publicado nas Sínteses de Execução Orçamental de 2023.","2023 cumulative execution is monthly reviewed and updated and therefore may differ from data published in 2023.")</f>
        <v>Os dados de 2023 são mensalmente revistos e atualizados face ao publicado nas Sínteses de Execução Orçamental de 2023.</v>
      </c>
      <c r="C61" s="379"/>
      <c r="D61" s="379"/>
      <c r="E61" s="379"/>
      <c r="F61" s="379"/>
      <c r="G61" s="379"/>
      <c r="H61" s="379"/>
      <c r="I61" s="379"/>
    </row>
    <row r="62" spans="2:9" ht="15">
      <c r="B62" s="188" t="str">
        <f>IF(Indice_index!$Z$1=1,"Fonte: Direção-Geral do Orçamento.","Source: Budget General Directorate.")</f>
        <v>Fonte: Direção-Geral do Orçamento.</v>
      </c>
      <c r="C62" s="188"/>
      <c r="D62" s="188"/>
      <c r="E62" s="31"/>
      <c r="F62" s="244"/>
      <c r="I62" s="189"/>
    </row>
    <row r="63" spans="2:9" ht="14.85" customHeight="1"/>
  </sheetData>
  <mergeCells count="4">
    <mergeCell ref="B10:B11"/>
    <mergeCell ref="E10:F10"/>
    <mergeCell ref="H10:I10"/>
    <mergeCell ref="B61:I61"/>
  </mergeCells>
  <conditionalFormatting sqref="C12:I28">
    <cfRule type="cellIs" dxfId="92" priority="1" operator="equal">
      <formula>0</formula>
    </cfRule>
  </conditionalFormatting>
  <conditionalFormatting sqref="C30:I49">
    <cfRule type="cellIs" dxfId="91" priority="2" operator="equal">
      <formula>0</formula>
    </cfRule>
  </conditionalFormatting>
  <conditionalFormatting sqref="C52:I59">
    <cfRule type="cellIs" dxfId="90" priority="7"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2" unlockedFormula="1"/>
    <ignoredError sqref="D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50" customWidth="1"/>
    <col min="2" max="2" width="37.5703125" style="50" customWidth="1"/>
    <col min="3" max="4" width="10.42578125" style="50" customWidth="1"/>
    <col min="5" max="6" width="10.42578125" style="51" customWidth="1"/>
    <col min="7" max="9" width="10.42578125" style="50" customWidth="1"/>
    <col min="10" max="10" width="8.5703125" style="50" customWidth="1"/>
    <col min="11" max="16384" width="8.5703125" hidden="1"/>
  </cols>
  <sheetData>
    <row r="1" spans="2:9"/>
    <row r="2" spans="2:9"/>
    <row r="3" spans="2:9"/>
    <row r="4" spans="2:9"/>
    <row r="5" spans="2:9"/>
    <row r="6" spans="2:9"/>
    <row r="7" spans="2:9" ht="50.1" customHeight="1">
      <c r="B7" s="13"/>
      <c r="C7" s="14"/>
      <c r="D7" s="12"/>
      <c r="E7" s="12"/>
      <c r="F7" s="12"/>
      <c r="G7" s="12"/>
      <c r="H7" s="12"/>
      <c r="I7" s="12"/>
    </row>
    <row r="8" spans="2:9">
      <c r="B8" s="1" t="str">
        <f>IF(Indice_index!$Z$1=1,"Quadro 4 - Conta Consolidada da Administração Central","4 - Central Government Account")</f>
        <v>Quadro 4 - Conta Consolidada da Administração Central</v>
      </c>
      <c r="C8" s="2"/>
      <c r="D8" s="2"/>
      <c r="E8" s="2"/>
      <c r="F8" s="2"/>
      <c r="G8" s="2"/>
      <c r="H8" s="2"/>
      <c r="I8" s="2"/>
    </row>
    <row r="9" spans="2:9" ht="15">
      <c r="B9" s="3" t="str">
        <f>+'3 - Conta AC + SS'!B9</f>
        <v>Período: janeiro a setembro</v>
      </c>
      <c r="C9" s="3"/>
      <c r="D9" s="3"/>
      <c r="E9" s="3"/>
      <c r="F9" s="3"/>
      <c r="G9" s="3"/>
      <c r="H9" s="3"/>
      <c r="I9" s="3" t="str">
        <f>IF(Indice_index!$Z$1=1,"€ Milhões","€ Millions")</f>
        <v>€ Milhões</v>
      </c>
    </row>
    <row r="10" spans="2:9"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24" t="str">
        <f>IF(Indice_index!$Z$1=1,"Grau de Execução (%)","Execution Rate (%)")</f>
        <v>Grau de Execução (%)</v>
      </c>
      <c r="H10" s="378" t="str">
        <f>IF(Indice_index!$Z$1=1,"Variação Homóloga Acumulada","YOY Change Rate")</f>
        <v>Variação Homóloga Acumulada</v>
      </c>
      <c r="I10" s="375"/>
    </row>
    <row r="11" spans="2:9" ht="26.85" customHeight="1">
      <c r="B11" s="376"/>
      <c r="C11" s="24">
        <v>2023</v>
      </c>
      <c r="D11" s="24">
        <v>2024</v>
      </c>
      <c r="E11" s="24">
        <v>2023</v>
      </c>
      <c r="F11" s="24">
        <v>2024</v>
      </c>
      <c r="G11" s="24">
        <v>2024</v>
      </c>
      <c r="H11" s="24" t="str">
        <f>IF(Indice_index!$Z$1=1,"Relativa (%)","Relative change (%)")</f>
        <v>Relativa (%)</v>
      </c>
      <c r="I11" s="24" t="str">
        <f>IF(Indice_index!$Z$1=1,"Contributo VHA (pp)","YOY Change Rate Contrib. (pp)")</f>
        <v>Contributo VHA (pp)</v>
      </c>
    </row>
    <row r="12" spans="2:9" ht="14.1" customHeight="1">
      <c r="B12" s="212" t="str">
        <f>IF(Indice_index!$Z$1=1,"Receita corrente","Current revenue")</f>
        <v>Receita corrente</v>
      </c>
      <c r="C12" s="161">
        <f>+C14+C15+C16+C17+C20+C21</f>
        <v>77647.204692290019</v>
      </c>
      <c r="D12" s="161">
        <f>+D14+D15+D16+D17+D20+D21</f>
        <v>81282.731281</v>
      </c>
      <c r="E12" s="161">
        <f>+E14+E15+E16+E17+E20+E21</f>
        <v>55675.865252290001</v>
      </c>
      <c r="F12" s="161">
        <f>+F14+F15+F16+F17+F20+F21</f>
        <v>59794.961097270003</v>
      </c>
      <c r="G12" s="161">
        <f>IFERROR(IF(F12/D12*100&lt;-500,"-",IF(F12/D12*100&gt;500,"-",F12/D12*100)),"-")</f>
        <v>73.564163205287358</v>
      </c>
      <c r="H12" s="161">
        <f>IF(IFERROR((F12-E12)/E12*100,"")&gt;500,"-",IFERROR((F12-E12)/E12*100,""))</f>
        <v>7.398350840736291</v>
      </c>
      <c r="I12" s="161">
        <f t="shared" ref="I12:I20" si="0">IFERROR((F12-E12)/$E$29*100,"")</f>
        <v>6.8272900129353626</v>
      </c>
    </row>
    <row r="13" spans="2:9" ht="14.1" customHeight="1">
      <c r="B13" s="150" t="str">
        <f>IF(Indice_index!$Z$1=1,"Receita fiscal","Tax")</f>
        <v>Receita fiscal</v>
      </c>
      <c r="C13" s="5">
        <f>+C14+C15</f>
        <v>59641.528153730003</v>
      </c>
      <c r="D13" s="5">
        <f>+D14+D15</f>
        <v>60889.903166000004</v>
      </c>
      <c r="E13" s="5">
        <f>+E14+E15</f>
        <v>43588.153447189994</v>
      </c>
      <c r="F13" s="5">
        <f>+F14+F15</f>
        <v>45956.770027639999</v>
      </c>
      <c r="G13" s="5">
        <f t="shared" ref="G13:G27" si="1">IFERROR(IF(F13/D13*100&lt;-500,"-",IF(F13/D13*100&gt;500,"-",F13/D13*100)),"-")</f>
        <v>75.475189872368787</v>
      </c>
      <c r="H13" s="5">
        <f t="shared" ref="H13:H27" si="2">IF(IFERROR((F13-E13)/E13*100,"")&gt;500,"-",IFERROR((F13-E13)/E13*100,""))</f>
        <v>5.4340833302785922</v>
      </c>
      <c r="I13" s="5">
        <f t="shared" si="0"/>
        <v>3.9259179520883278</v>
      </c>
    </row>
    <row r="14" spans="2:9" ht="14.1" customHeight="1">
      <c r="B14" s="210" t="str">
        <f>IF(Indice_index!$Z$1=1,"Impostos diretos ","Direct taxes")</f>
        <v xml:space="preserve">Impostos diretos </v>
      </c>
      <c r="C14" s="5">
        <v>27128.911549259999</v>
      </c>
      <c r="D14" s="5">
        <v>26748.463474</v>
      </c>
      <c r="E14" s="5">
        <v>19844.960008369999</v>
      </c>
      <c r="F14" s="5">
        <v>21407.024198309999</v>
      </c>
      <c r="G14" s="5">
        <f t="shared" si="1"/>
        <v>80.030855675571871</v>
      </c>
      <c r="H14" s="5">
        <f t="shared" si="2"/>
        <v>7.8713395707583622</v>
      </c>
      <c r="I14" s="5">
        <f t="shared" si="0"/>
        <v>2.589079168074834</v>
      </c>
    </row>
    <row r="15" spans="2:9" ht="14.1" customHeight="1">
      <c r="B15" s="210" t="str">
        <f>IF(Indice_index!$Z$1=1,"Impostos indiretos","Indirect taxes")</f>
        <v>Impostos indiretos</v>
      </c>
      <c r="C15" s="5">
        <v>32512.61660447</v>
      </c>
      <c r="D15" s="5">
        <v>34141.439692</v>
      </c>
      <c r="E15" s="5">
        <v>23743.193438819999</v>
      </c>
      <c r="F15" s="5">
        <v>24549.745829330004</v>
      </c>
      <c r="G15" s="5">
        <f t="shared" si="1"/>
        <v>71.90600645667115</v>
      </c>
      <c r="H15" s="5">
        <f t="shared" si="2"/>
        <v>3.3969836138019094</v>
      </c>
      <c r="I15" s="5">
        <f t="shared" si="0"/>
        <v>1.3368387840134941</v>
      </c>
    </row>
    <row r="16" spans="2:9" ht="14.1" customHeight="1">
      <c r="B16" s="150" t="str">
        <f>IF(Indice_index!$Z$1=1,"Contribuições para Segurança Social, CGA e ADSE","Social security, CGA and ADSE contributions")</f>
        <v>Contribuições para Segurança Social, CGA e ADSE</v>
      </c>
      <c r="C16" s="5">
        <v>4198.2775283299998</v>
      </c>
      <c r="D16" s="5">
        <v>4140.4235840000001</v>
      </c>
      <c r="E16" s="5">
        <v>2952.8393094200001</v>
      </c>
      <c r="F16" s="5">
        <v>3176.0613192800006</v>
      </c>
      <c r="G16" s="5">
        <f t="shared" si="1"/>
        <v>76.708608548008911</v>
      </c>
      <c r="H16" s="5">
        <f t="shared" si="2"/>
        <v>7.5595718719907596</v>
      </c>
      <c r="I16" s="5">
        <f t="shared" si="0"/>
        <v>0.36998444705817218</v>
      </c>
    </row>
    <row r="17" spans="2:9" ht="14.1" customHeight="1">
      <c r="B17" s="150" t="str">
        <f>IF(Indice_index!$Z$1=1,"Transferências Correntes","Current transfers")</f>
        <v>Transferências Correntes</v>
      </c>
      <c r="C17" s="5">
        <f>+C18+C19</f>
        <v>3321.8167212899998</v>
      </c>
      <c r="D17" s="5">
        <f>+D18+D19</f>
        <v>5194.1201019999999</v>
      </c>
      <c r="E17" s="5">
        <f>+E18+E19</f>
        <v>2329.3092849499999</v>
      </c>
      <c r="F17" s="5">
        <f>+F18+F19</f>
        <v>2844.0969853999995</v>
      </c>
      <c r="G17" s="5">
        <f t="shared" si="1"/>
        <v>54.756088221850661</v>
      </c>
      <c r="H17" s="5">
        <f t="shared" si="2"/>
        <v>22.100444272304951</v>
      </c>
      <c r="I17" s="5">
        <f t="shared" si="0"/>
        <v>0.85324669741480774</v>
      </c>
    </row>
    <row r="18" spans="2:9" ht="14.1" customHeight="1">
      <c r="B18" s="210" t="str">
        <f>IF(Indice_index!$Z$1=1,"Administrações Públicas","General Government subsectors")</f>
        <v>Administrações Públicas</v>
      </c>
      <c r="C18" s="5">
        <v>1779.49863871</v>
      </c>
      <c r="D18" s="5">
        <v>2200.6925080000001</v>
      </c>
      <c r="E18" s="5">
        <v>1345.7536700799999</v>
      </c>
      <c r="F18" s="5">
        <v>1632.2717778399999</v>
      </c>
      <c r="G18" s="5">
        <f t="shared" si="1"/>
        <v>74.170824497576731</v>
      </c>
      <c r="H18" s="5">
        <f t="shared" si="2"/>
        <v>21.290531404827423</v>
      </c>
      <c r="I18" s="5">
        <f t="shared" si="0"/>
        <v>0.47489601826550437</v>
      </c>
    </row>
    <row r="19" spans="2:9" ht="14.1" customHeight="1">
      <c r="B19" s="210" t="str">
        <f>IF(Indice_index!$Z$1=1,"Outras","Others")</f>
        <v>Outras</v>
      </c>
      <c r="C19" s="5">
        <v>1542.31808258</v>
      </c>
      <c r="D19" s="5">
        <v>2993.4275939999998</v>
      </c>
      <c r="E19" s="5">
        <v>983.55561486999977</v>
      </c>
      <c r="F19" s="5">
        <v>1211.8252075599999</v>
      </c>
      <c r="G19" s="5">
        <f t="shared" si="1"/>
        <v>40.482863523706797</v>
      </c>
      <c r="H19" s="5">
        <f t="shared" si="2"/>
        <v>23.208610600039258</v>
      </c>
      <c r="I19" s="5">
        <f t="shared" si="0"/>
        <v>0.37835067914930415</v>
      </c>
    </row>
    <row r="20" spans="2:9" ht="14.1" customHeight="1">
      <c r="B20" s="150" t="str">
        <f>IF(Indice_index!$Z$1=1,"Outras receitas correntes","Other current revenue")</f>
        <v>Outras receitas correntes</v>
      </c>
      <c r="C20" s="5">
        <v>10485.560570750016</v>
      </c>
      <c r="D20" s="5">
        <v>10862.752354</v>
      </c>
      <c r="E20" s="5">
        <v>6687.9048795900035</v>
      </c>
      <c r="F20" s="5">
        <v>7603.784155160004</v>
      </c>
      <c r="G20" s="5">
        <f t="shared" si="1"/>
        <v>69.998688245526068</v>
      </c>
      <c r="H20" s="5">
        <f t="shared" si="2"/>
        <v>13.694561930225117</v>
      </c>
      <c r="I20" s="5">
        <f t="shared" si="0"/>
        <v>1.5180451406038835</v>
      </c>
    </row>
    <row r="21" spans="2:9" ht="14.1" customHeight="1">
      <c r="B21" s="150" t="str">
        <f>IF(Indice_index!$Z$1=1,"Diferenças de consolidação","Consolidation differences")</f>
        <v>Diferenças de consolidação</v>
      </c>
      <c r="C21" s="5">
        <v>2.1718189999999988E-2</v>
      </c>
      <c r="D21" s="5">
        <v>195.53207499999812</v>
      </c>
      <c r="E21" s="5">
        <v>117.65833114000573</v>
      </c>
      <c r="F21" s="5">
        <v>214.24860978999936</v>
      </c>
      <c r="G21" s="5"/>
      <c r="H21" s="5"/>
      <c r="I21" s="5"/>
    </row>
    <row r="22" spans="2:9" ht="14.1" customHeight="1">
      <c r="B22" s="212" t="str">
        <f>IF(Indice_index!$Z$1=1,"Receita de capital","Capital revenue")</f>
        <v>Receita de capital</v>
      </c>
      <c r="C22" s="161">
        <f>+C23+C24+C27+C28</f>
        <v>5554.4440874100001</v>
      </c>
      <c r="D22" s="161">
        <f>+D23+D24+D27+D28</f>
        <v>4790.0800269999991</v>
      </c>
      <c r="E22" s="161">
        <f>+E23+E24+E27+E28</f>
        <v>4656.9437711399996</v>
      </c>
      <c r="F22" s="161">
        <f>+F23+F24+F27+F28</f>
        <v>1846.2504746799998</v>
      </c>
      <c r="G22" s="161">
        <f t="shared" si="1"/>
        <v>38.543207300782747</v>
      </c>
      <c r="H22" s="161">
        <f t="shared" si="2"/>
        <v>-60.354890129411089</v>
      </c>
      <c r="I22" s="161">
        <f t="shared" ref="I22:I27" si="3">IFERROR((F22-E22)/$E$29*100,"")</f>
        <v>-4.6586481583651747</v>
      </c>
    </row>
    <row r="23" spans="2:9" ht="14.1" customHeight="1">
      <c r="B23" s="150" t="str">
        <f>IF(Indice_index!$Z$1=1,"Venda de bens de investimento","Sale of investment goods")</f>
        <v>Venda de bens de investimento</v>
      </c>
      <c r="C23" s="5">
        <v>156.50013944999998</v>
      </c>
      <c r="D23" s="5">
        <v>329.346318</v>
      </c>
      <c r="E23" s="5">
        <v>137.26752303000001</v>
      </c>
      <c r="F23" s="5">
        <v>60.047383429999996</v>
      </c>
      <c r="G23" s="5">
        <f t="shared" si="1"/>
        <v>18.232292316078055</v>
      </c>
      <c r="H23" s="5">
        <f t="shared" si="2"/>
        <v>-56.255214558744129</v>
      </c>
      <c r="I23" s="5">
        <f t="shared" si="3"/>
        <v>-0.12799029392119285</v>
      </c>
    </row>
    <row r="24" spans="2:9" ht="14.1" customHeight="1">
      <c r="B24" s="150" t="str">
        <f>IF(Indice_index!$Z$1=1,"Transferências de Capital","Capital transfers")</f>
        <v>Transferências de Capital</v>
      </c>
      <c r="C24" s="5">
        <f>+C25+C26</f>
        <v>5348.6584245900003</v>
      </c>
      <c r="D24" s="5">
        <f>+D25+D26</f>
        <v>4315.9418809999997</v>
      </c>
      <c r="E24" s="5">
        <f>+E25+E26</f>
        <v>4491.5134611499998</v>
      </c>
      <c r="F24" s="5">
        <f>+F25+F26</f>
        <v>1627.4618334599998</v>
      </c>
      <c r="G24" s="5">
        <f t="shared" si="1"/>
        <v>37.708149885533636</v>
      </c>
      <c r="H24" s="5">
        <f t="shared" si="2"/>
        <v>-63.765847580398713</v>
      </c>
      <c r="I24" s="5">
        <f t="shared" si="3"/>
        <v>-4.7470881499612538</v>
      </c>
    </row>
    <row r="25" spans="2:9" ht="14.1" customHeight="1">
      <c r="B25" s="210" t="str">
        <f>IF(Indice_index!$Z$1=1,"Administrações Públicas","General Government subsectors")</f>
        <v>Administrações Públicas</v>
      </c>
      <c r="C25" s="5">
        <v>7.8600985000000003</v>
      </c>
      <c r="D25" s="5">
        <v>30.309884999999998</v>
      </c>
      <c r="E25" s="5">
        <v>6.8598335299999995</v>
      </c>
      <c r="F25" s="5">
        <v>4.2553472600000006</v>
      </c>
      <c r="G25" s="5">
        <f t="shared" si="1"/>
        <v>14.03947015965254</v>
      </c>
      <c r="H25" s="5">
        <f t="shared" si="2"/>
        <v>-37.967193498353005</v>
      </c>
      <c r="I25" s="5">
        <f t="shared" si="3"/>
        <v>-4.3168655863322341E-3</v>
      </c>
    </row>
    <row r="26" spans="2:9" ht="14.1" customHeight="1">
      <c r="B26" s="210" t="str">
        <f>IF(Indice_index!$Z$1=1,"Outras","Others")</f>
        <v>Outras</v>
      </c>
      <c r="C26" s="5">
        <v>5340.79832609</v>
      </c>
      <c r="D26" s="5">
        <v>4285.6319960000001</v>
      </c>
      <c r="E26" s="5">
        <v>4484.6536276199995</v>
      </c>
      <c r="F26" s="5">
        <v>1623.2064861999997</v>
      </c>
      <c r="G26" s="5">
        <f t="shared" si="1"/>
        <v>37.875545257152773</v>
      </c>
      <c r="H26" s="5">
        <f t="shared" si="2"/>
        <v>-63.8053098191792</v>
      </c>
      <c r="I26" s="5">
        <f t="shared" si="3"/>
        <v>-4.7427712843749212</v>
      </c>
    </row>
    <row r="27" spans="2:9" ht="14.1" customHeight="1">
      <c r="B27" s="150" t="str">
        <f>IF(Indice_index!$Z$1=1,"Outras receitas de capital","Other capital revenue")</f>
        <v>Outras receitas de capital</v>
      </c>
      <c r="C27" s="5">
        <v>49.285523370000007</v>
      </c>
      <c r="D27" s="5">
        <v>39.918520999999998</v>
      </c>
      <c r="E27" s="5">
        <v>28.162786959999998</v>
      </c>
      <c r="F27" s="5">
        <v>158.74125779000002</v>
      </c>
      <c r="G27" s="5">
        <f t="shared" si="1"/>
        <v>397.66317441971364</v>
      </c>
      <c r="H27" s="5">
        <f t="shared" si="2"/>
        <v>463.65606861090293</v>
      </c>
      <c r="I27" s="5">
        <f t="shared" si="3"/>
        <v>0.21643028551727203</v>
      </c>
    </row>
    <row r="28" spans="2:9" ht="14.1" customHeight="1">
      <c r="B28" s="150" t="str">
        <f>IF(Indice_index!$Z$1=1,"Diferenças de consolidação","Consolidation differences")</f>
        <v>Diferenças de consolidação</v>
      </c>
      <c r="C28" s="5">
        <v>0</v>
      </c>
      <c r="D28" s="5">
        <v>104.87330699999984</v>
      </c>
      <c r="E28" s="5">
        <v>0</v>
      </c>
      <c r="F28" s="5">
        <v>0</v>
      </c>
      <c r="G28" s="5"/>
      <c r="H28" s="5"/>
      <c r="I28" s="5"/>
    </row>
    <row r="29" spans="2:9" ht="14.1" customHeight="1">
      <c r="B29" s="32" t="str">
        <f>IF(Indice_index!$Z$1=1,"Receita efetiva","Effective revenue")</f>
        <v>Receita efetiva</v>
      </c>
      <c r="C29" s="19">
        <f>+C12+C22</f>
        <v>83201.648779700015</v>
      </c>
      <c r="D29" s="19">
        <f>+D12+D22</f>
        <v>86072.811308000004</v>
      </c>
      <c r="E29" s="19">
        <f>+E12+E22</f>
        <v>60332.809023430003</v>
      </c>
      <c r="F29" s="19">
        <f>+F12+F22</f>
        <v>61641.21157195</v>
      </c>
      <c r="G29" s="19">
        <f>IFERROR(IF(F29/D29*100&lt;-500,"-",IF(F29/D29*100&gt;500,"-",F29/D29*100)),"-")</f>
        <v>71.615194897463269</v>
      </c>
      <c r="H29" s="19">
        <f t="shared" ref="H29:H48" si="4">IF(IFERROR((F29-E29)/E29*100,"")&gt;500,"-",IFERROR((F29-E29)/E29*100,""))</f>
        <v>2.1686418545701787</v>
      </c>
      <c r="I29" s="19"/>
    </row>
    <row r="30" spans="2:9" ht="14.1" customHeight="1">
      <c r="B30" s="212" t="str">
        <f>IF(Indice_index!$Z$1=1,"Despesa corrente","Current expenditure")</f>
        <v>Despesa corrente</v>
      </c>
      <c r="C30" s="161">
        <f>+C31+C35+C36+C37+C40+C41+C42</f>
        <v>74421.573217179975</v>
      </c>
      <c r="D30" s="161">
        <f>+D31+D35+D36+D37+D40+D41+D42</f>
        <v>82275.538224999997</v>
      </c>
      <c r="E30" s="161">
        <f>+E31+E35+E36+E37+E40+E41+E42</f>
        <v>50286.783807620006</v>
      </c>
      <c r="F30" s="161">
        <f>+F31+F35+F36+F37+F40+F41+F42</f>
        <v>56361.198502190018</v>
      </c>
      <c r="G30" s="161">
        <f t="shared" ref="G30:G48" si="5">IFERROR(IF(F30/D30*100&lt;-500,"-",IF(F30/D30*100&gt;500,"-",F30/D30*100)),"-")</f>
        <v>68.502983654823751</v>
      </c>
      <c r="H30" s="161">
        <f t="shared" si="4"/>
        <v>12.079545030775165</v>
      </c>
      <c r="I30" s="161">
        <f t="shared" ref="I30:I41" si="6">IFERROR((F30-E30)/$E$50*100,"")</f>
        <v>11.151496225599082</v>
      </c>
    </row>
    <row r="31" spans="2:9" ht="14.1" customHeight="1">
      <c r="B31" s="150" t="str">
        <f>IF(Indice_index!$Z$1=1,"Despesas com o pessoal","Employees")</f>
        <v>Despesas com o pessoal</v>
      </c>
      <c r="C31" s="5">
        <f>+C32+C33+C34</f>
        <v>20284.181717410003</v>
      </c>
      <c r="D31" s="5">
        <f>+D32+D33+D34</f>
        <v>21354.520570999997</v>
      </c>
      <c r="E31" s="5">
        <f>+E32+E33+E34</f>
        <v>14459.347534580007</v>
      </c>
      <c r="F31" s="5">
        <f>+F32+F33+F34</f>
        <v>15604.365233670003</v>
      </c>
      <c r="G31" s="5">
        <f t="shared" si="5"/>
        <v>73.072889563538794</v>
      </c>
      <c r="H31" s="5">
        <f t="shared" si="4"/>
        <v>7.9188752905457775</v>
      </c>
      <c r="I31" s="5">
        <f t="shared" si="6"/>
        <v>2.1020396518302062</v>
      </c>
    </row>
    <row r="32" spans="2:9" ht="14.1" customHeight="1">
      <c r="B32" s="210" t="str">
        <f>IF(Indice_index!$Z$1=1,"Remunerações Certas e Permanentes","Certain and permanent wages")</f>
        <v>Remunerações Certas e Permanentes</v>
      </c>
      <c r="C32" s="5">
        <v>14347.528303600004</v>
      </c>
      <c r="D32" s="5">
        <v>15445.067289999999</v>
      </c>
      <c r="E32" s="5">
        <v>10210.486988630009</v>
      </c>
      <c r="F32" s="5">
        <v>11046.509049550004</v>
      </c>
      <c r="G32" s="5">
        <f t="shared" si="5"/>
        <v>71.521274994393409</v>
      </c>
      <c r="H32" s="5">
        <f t="shared" si="4"/>
        <v>8.1878764631986289</v>
      </c>
      <c r="I32" s="5">
        <f t="shared" si="6"/>
        <v>1.5347810983666843</v>
      </c>
    </row>
    <row r="33" spans="2:9" ht="14.1" customHeight="1">
      <c r="B33" s="210" t="str">
        <f>IF(Indice_index!$Z$1=1,"Abonos Variáveis ou Eventuais","Variable or contingent bonuses")</f>
        <v>Abonos Variáveis ou Eventuais</v>
      </c>
      <c r="C33" s="5">
        <v>1567.3464852200002</v>
      </c>
      <c r="D33" s="5">
        <v>1546.7379719999999</v>
      </c>
      <c r="E33" s="5">
        <v>1146.065683829999</v>
      </c>
      <c r="F33" s="5">
        <v>1234.0252631399997</v>
      </c>
      <c r="G33" s="5">
        <f t="shared" si="5"/>
        <v>79.782437974568566</v>
      </c>
      <c r="H33" s="5">
        <f t="shared" si="4"/>
        <v>7.6749160672930596</v>
      </c>
      <c r="I33" s="5">
        <f t="shared" si="6"/>
        <v>0.16147743708666715</v>
      </c>
    </row>
    <row r="34" spans="2:9" ht="14.1" customHeight="1">
      <c r="B34" s="210" t="str">
        <f>IF(Indice_index!$Z$1=1,"Segurança social","Social security")</f>
        <v>Segurança social</v>
      </c>
      <c r="C34" s="5">
        <v>4369.3069285899992</v>
      </c>
      <c r="D34" s="5">
        <v>4362.7153090000002</v>
      </c>
      <c r="E34" s="5">
        <v>3102.7948621199994</v>
      </c>
      <c r="F34" s="5">
        <v>3323.8309209799995</v>
      </c>
      <c r="G34" s="5">
        <f t="shared" si="5"/>
        <v>76.18720648865515</v>
      </c>
      <c r="H34" s="5">
        <f t="shared" si="4"/>
        <v>7.1237728783970011</v>
      </c>
      <c r="I34" s="5">
        <f t="shared" si="6"/>
        <v>0.40578111637685427</v>
      </c>
    </row>
    <row r="35" spans="2:9" ht="14.1" customHeight="1">
      <c r="B35" s="150" t="str">
        <f>IF(Indice_index!$Z$1=1,"Aquisição de bens e serviços","Purchase of goods and services")</f>
        <v>Aquisição de bens e serviços</v>
      </c>
      <c r="C35" s="5">
        <v>13226.587311829995</v>
      </c>
      <c r="D35" s="5">
        <v>14480.772466</v>
      </c>
      <c r="E35" s="5">
        <v>7932.1567277100012</v>
      </c>
      <c r="F35" s="5">
        <v>8667.4348663499968</v>
      </c>
      <c r="G35" s="5">
        <f t="shared" si="5"/>
        <v>59.854782517304393</v>
      </c>
      <c r="H35" s="5">
        <f t="shared" si="4"/>
        <v>9.2695866191270913</v>
      </c>
      <c r="I35" s="5">
        <f t="shared" si="6"/>
        <v>1.349833984027961</v>
      </c>
    </row>
    <row r="36" spans="2:9" ht="14.1" customHeight="1">
      <c r="B36" s="150" t="str">
        <f>IF(Indice_index!$Z$1=1,"Juros e outros encargos","Interests and other charges")</f>
        <v>Juros e outros encargos</v>
      </c>
      <c r="C36" s="5">
        <v>6563.9689221099979</v>
      </c>
      <c r="D36" s="5">
        <v>7214.8880250000011</v>
      </c>
      <c r="E36" s="5">
        <v>4406.9156213499982</v>
      </c>
      <c r="F36" s="5">
        <v>4935.4731370899999</v>
      </c>
      <c r="G36" s="5">
        <f t="shared" si="5"/>
        <v>68.406787742073078</v>
      </c>
      <c r="H36" s="5">
        <f t="shared" si="4"/>
        <v>11.993819740485192</v>
      </c>
      <c r="I36" s="5">
        <f t="shared" si="6"/>
        <v>0.97033334702280938</v>
      </c>
    </row>
    <row r="37" spans="2:9" ht="14.1" customHeight="1">
      <c r="B37" s="150" t="str">
        <f>IF(Indice_index!$Z$1=1,"Transferências Correntes","Current transfers")</f>
        <v>Transferências Correntes</v>
      </c>
      <c r="C37" s="5">
        <f>+C38+C39</f>
        <v>32558.060506569989</v>
      </c>
      <c r="D37" s="5">
        <f>+D38+D39</f>
        <v>35473.811270999999</v>
      </c>
      <c r="E37" s="5">
        <f>+E38+E39</f>
        <v>22574.476967040002</v>
      </c>
      <c r="F37" s="5">
        <f>+F38+F39</f>
        <v>25983.824570290009</v>
      </c>
      <c r="G37" s="5">
        <f t="shared" si="5"/>
        <v>73.247907792563311</v>
      </c>
      <c r="H37" s="5">
        <f t="shared" si="4"/>
        <v>15.102664873378222</v>
      </c>
      <c r="I37" s="5">
        <f t="shared" si="6"/>
        <v>6.258928446782476</v>
      </c>
    </row>
    <row r="38" spans="2:9" ht="14.1" customHeight="1">
      <c r="B38" s="210" t="str">
        <f>IF(Indice_index!$Z$1=1,"Administrações Públicas","General Government subsectors")</f>
        <v>Administrações Públicas</v>
      </c>
      <c r="C38" s="5">
        <v>16042.509403119999</v>
      </c>
      <c r="D38" s="5">
        <v>17235.744429000002</v>
      </c>
      <c r="E38" s="5">
        <v>11339.341532140001</v>
      </c>
      <c r="F38" s="5">
        <v>12956.337331720006</v>
      </c>
      <c r="G38" s="5">
        <f t="shared" si="5"/>
        <v>75.171324250551777</v>
      </c>
      <c r="H38" s="5">
        <f t="shared" si="4"/>
        <v>14.260050241866557</v>
      </c>
      <c r="I38" s="5">
        <f t="shared" si="6"/>
        <v>2.9685037098216118</v>
      </c>
    </row>
    <row r="39" spans="2:9" ht="14.1" customHeight="1">
      <c r="B39" s="210" t="str">
        <f>IF(Indice_index!$Z$1=1,"Outras","Others")</f>
        <v>Outras</v>
      </c>
      <c r="C39" s="5">
        <v>16515.55110344999</v>
      </c>
      <c r="D39" s="5">
        <v>18238.066842</v>
      </c>
      <c r="E39" s="5">
        <v>11235.135434900001</v>
      </c>
      <c r="F39" s="5">
        <v>13027.487238570006</v>
      </c>
      <c r="G39" s="5">
        <f t="shared" si="5"/>
        <v>71.430197901069874</v>
      </c>
      <c r="H39" s="5">
        <f t="shared" si="4"/>
        <v>15.953094771802876</v>
      </c>
      <c r="I39" s="5">
        <f t="shared" si="6"/>
        <v>3.2904247369608672</v>
      </c>
    </row>
    <row r="40" spans="2:9" ht="14.1" customHeight="1">
      <c r="B40" s="150" t="str">
        <f>IF(Indice_index!$Z$1=1,"Subsídios","Subsidies")</f>
        <v>Subsídios</v>
      </c>
      <c r="C40" s="5">
        <v>885.43024189999994</v>
      </c>
      <c r="D40" s="5">
        <v>1266.0248299999998</v>
      </c>
      <c r="E40" s="5">
        <v>629.12584634999996</v>
      </c>
      <c r="F40" s="5">
        <v>688.00052544999994</v>
      </c>
      <c r="G40" s="5">
        <f t="shared" si="5"/>
        <v>54.343367455913175</v>
      </c>
      <c r="H40" s="5">
        <f t="shared" si="4"/>
        <v>9.3581720480207995</v>
      </c>
      <c r="I40" s="5">
        <f t="shared" si="6"/>
        <v>0.10808296680071844</v>
      </c>
    </row>
    <row r="41" spans="2:9" ht="14.1" customHeight="1">
      <c r="B41" s="150" t="str">
        <f>IF(Indice_index!$Z$1=1,"Outras despesas correntes","Other current expenditure")</f>
        <v>Outras despesas correntes</v>
      </c>
      <c r="C41" s="5">
        <v>668.92948594999939</v>
      </c>
      <c r="D41" s="5">
        <v>2458.4659739999997</v>
      </c>
      <c r="E41" s="5">
        <v>245.89679318999995</v>
      </c>
      <c r="F41" s="5">
        <v>423.36935370000009</v>
      </c>
      <c r="G41" s="5">
        <f t="shared" si="5"/>
        <v>17.220875056943136</v>
      </c>
      <c r="H41" s="5">
        <f>IF(IFERROR((F41-E41)/E41*100,"")&gt;500,"-",IFERROR((F41-E41)/E41*100,""))</f>
        <v>72.173596982564277</v>
      </c>
      <c r="I41" s="5">
        <f t="shared" si="6"/>
        <v>0.32580663128643444</v>
      </c>
    </row>
    <row r="42" spans="2:9" ht="14.1" customHeight="1">
      <c r="B42" s="150" t="str">
        <f>IF(Indice_index!$Z$1=1,"Diferenças de consolidação","Consolidation differences")</f>
        <v>Diferenças de consolidação</v>
      </c>
      <c r="C42" s="5">
        <v>234.41503140999797</v>
      </c>
      <c r="D42" s="5">
        <v>27.055088000000069</v>
      </c>
      <c r="E42" s="5">
        <v>38.864317400000878</v>
      </c>
      <c r="F42" s="5">
        <v>58.730815639999548</v>
      </c>
      <c r="G42" s="5"/>
      <c r="H42" s="5"/>
      <c r="I42" s="5"/>
    </row>
    <row r="43" spans="2:9" ht="14.1" customHeight="1">
      <c r="B43" s="212" t="str">
        <f>IF(Indice_index!$Z$1=1,"Despesa de capital","Capital expenditure")</f>
        <v>Despesa de capital</v>
      </c>
      <c r="C43" s="161">
        <f>+C44+C45+C48+C49</f>
        <v>6886.8149885800003</v>
      </c>
      <c r="D43" s="161">
        <f>+D44+D45+D48+D49</f>
        <v>10834.536867000001</v>
      </c>
      <c r="E43" s="161">
        <f>+E44+E45+E48+E49</f>
        <v>4184.9621507899992</v>
      </c>
      <c r="F43" s="161">
        <f>+F44+F45+F48+F49</f>
        <v>4885.3732189099992</v>
      </c>
      <c r="G43" s="161">
        <f t="shared" si="5"/>
        <v>45.090743415068751</v>
      </c>
      <c r="H43" s="161">
        <f t="shared" si="4"/>
        <v>16.736377603505513</v>
      </c>
      <c r="I43" s="161">
        <f t="shared" ref="I43:I48" si="7">IFERROR((F43-E43)/$E$50*100,"")</f>
        <v>1.2858245238821138</v>
      </c>
    </row>
    <row r="44" spans="2:9" ht="14.1" customHeight="1">
      <c r="B44" s="150" t="str">
        <f>IF(Indice_index!$Z$1=1,"Investimento","Investments")</f>
        <v>Investimento</v>
      </c>
      <c r="C44" s="5">
        <v>4204.0654130300009</v>
      </c>
      <c r="D44" s="5">
        <v>7174.0914459999995</v>
      </c>
      <c r="E44" s="5">
        <v>2465.0980895600001</v>
      </c>
      <c r="F44" s="5">
        <v>2575.691298629999</v>
      </c>
      <c r="G44" s="5">
        <f t="shared" si="5"/>
        <v>35.902682841687309</v>
      </c>
      <c r="H44" s="5">
        <f t="shared" si="4"/>
        <v>4.4863613962614739</v>
      </c>
      <c r="I44" s="5">
        <f t="shared" si="7"/>
        <v>0.20302857403256083</v>
      </c>
    </row>
    <row r="45" spans="2:9" ht="14.1" customHeight="1">
      <c r="B45" s="150" t="str">
        <f>IF(Indice_index!$Z$1=1,"Transferências de capital","Capital transfers")</f>
        <v>Transferências de capital</v>
      </c>
      <c r="C45" s="5">
        <f>+C46+C47</f>
        <v>2264.1164583199998</v>
      </c>
      <c r="D45" s="5">
        <f>+D46+D47</f>
        <v>3397.4240070000001</v>
      </c>
      <c r="E45" s="5">
        <f>+E46+E47</f>
        <v>1485.69418879</v>
      </c>
      <c r="F45" s="5">
        <f>+F46+F47</f>
        <v>1674.3472771899997</v>
      </c>
      <c r="G45" s="5">
        <f t="shared" si="5"/>
        <v>49.282847055304266</v>
      </c>
      <c r="H45" s="5">
        <f t="shared" si="4"/>
        <v>12.697975789596724</v>
      </c>
      <c r="I45" s="5">
        <f t="shared" si="7"/>
        <v>0.34633200217969717</v>
      </c>
    </row>
    <row r="46" spans="2:9" ht="14.1" customHeight="1">
      <c r="B46" s="210" t="str">
        <f>IF(Indice_index!$Z$1=1,"Administrações Públicas","General Government subsectors")</f>
        <v>Administrações Públicas</v>
      </c>
      <c r="C46" s="5">
        <v>844.19886826999971</v>
      </c>
      <c r="D46" s="5">
        <v>1350.598536</v>
      </c>
      <c r="E46" s="5">
        <v>536.05519096</v>
      </c>
      <c r="F46" s="5">
        <v>781.56443966999984</v>
      </c>
      <c r="G46" s="5">
        <f t="shared" si="5"/>
        <v>57.868005838709117</v>
      </c>
      <c r="H46" s="5">
        <f t="shared" si="4"/>
        <v>45.799248444983256</v>
      </c>
      <c r="I46" s="5">
        <f t="shared" si="7"/>
        <v>0.45070934369801519</v>
      </c>
    </row>
    <row r="47" spans="2:9" ht="14.1" customHeight="1">
      <c r="B47" s="210" t="str">
        <f>IF(Indice_index!$Z$1=1,"Outras","Others")</f>
        <v>Outras</v>
      </c>
      <c r="C47" s="5">
        <v>1419.9175900499999</v>
      </c>
      <c r="D47" s="5">
        <v>2046.8254710000001</v>
      </c>
      <c r="E47" s="5">
        <v>949.63899782999999</v>
      </c>
      <c r="F47" s="5">
        <v>892.78283751999993</v>
      </c>
      <c r="G47" s="5">
        <f t="shared" si="5"/>
        <v>43.61792689065085</v>
      </c>
      <c r="H47" s="5">
        <f t="shared" si="4"/>
        <v>-5.9871341046356426</v>
      </c>
      <c r="I47" s="5">
        <f t="shared" si="7"/>
        <v>-0.10437734151831776</v>
      </c>
    </row>
    <row r="48" spans="2:9" ht="14.1" customHeight="1">
      <c r="B48" s="150" t="str">
        <f>IF(Indice_index!$Z$1=1,"Outras despesas de capital","Other capital expenditure")</f>
        <v>Outras despesas de capital</v>
      </c>
      <c r="C48" s="5">
        <v>293.19927809999996</v>
      </c>
      <c r="D48" s="5">
        <v>263.02141400000005</v>
      </c>
      <c r="E48" s="5">
        <v>160.94001160999997</v>
      </c>
      <c r="F48" s="5">
        <v>135.64511694999999</v>
      </c>
      <c r="G48" s="5">
        <f t="shared" si="5"/>
        <v>51.571891005802271</v>
      </c>
      <c r="H48" s="5">
        <f t="shared" si="4"/>
        <v>-15.716970818478734</v>
      </c>
      <c r="I48" s="5">
        <f t="shared" si="7"/>
        <v>-4.6436724608227196E-2</v>
      </c>
    </row>
    <row r="49" spans="2:9" ht="14.1" customHeight="1">
      <c r="B49" s="150" t="str">
        <f>IF(Indice_index!$Z$1=1,"Diferenças de consolidação","Consolidation differences")</f>
        <v>Diferenças de consolidação</v>
      </c>
      <c r="C49" s="5">
        <v>125.43383913000002</v>
      </c>
      <c r="D49" s="5">
        <v>0</v>
      </c>
      <c r="E49" s="5">
        <v>73.229860829999922</v>
      </c>
      <c r="F49" s="5">
        <v>499.68952614000011</v>
      </c>
      <c r="G49" s="5"/>
      <c r="H49" s="5"/>
      <c r="I49" s="5"/>
    </row>
    <row r="50" spans="2:9" ht="14.1" customHeight="1">
      <c r="B50" s="32" t="str">
        <f>IF(Indice_index!$Z$1=1,"Despesa efetiva","Effective Expenditure")</f>
        <v>Despesa efetiva</v>
      </c>
      <c r="C50" s="19">
        <f>+C30+C43</f>
        <v>81308.388205759969</v>
      </c>
      <c r="D50" s="19">
        <f>+D30+D43</f>
        <v>93110.075091999999</v>
      </c>
      <c r="E50" s="19">
        <f>+E30+E43</f>
        <v>54471.745958410007</v>
      </c>
      <c r="F50" s="19">
        <f>+F30+F43</f>
        <v>61246.571721100016</v>
      </c>
      <c r="G50" s="19">
        <f>IFERROR(IF(F50/D50*100&lt;-500,"-",IF(F50/D50*100&gt;500,"-",F50/D50*100)),"-")</f>
        <v>65.778672888603779</v>
      </c>
      <c r="H50" s="19">
        <f>IFERROR((F50-E50)/E50*100,"")</f>
        <v>12.437320749481188</v>
      </c>
      <c r="I50" s="19"/>
    </row>
    <row r="51" spans="2:9" ht="14.1" customHeight="1">
      <c r="B51" s="32" t="str">
        <f>IF(Indice_index!$Z$1=1,"Saldo global","Overall balance")</f>
        <v>Saldo global</v>
      </c>
      <c r="C51" s="19">
        <f>+C29-C50</f>
        <v>1893.260573940046</v>
      </c>
      <c r="D51" s="19">
        <f>+D29-D50</f>
        <v>-7037.2637839999952</v>
      </c>
      <c r="E51" s="19">
        <f>+E29-E50</f>
        <v>5861.0630650199964</v>
      </c>
      <c r="F51" s="19">
        <f>+F29-F50</f>
        <v>394.63985084998421</v>
      </c>
      <c r="G51" s="19"/>
      <c r="H51" s="19"/>
      <c r="I51" s="19"/>
    </row>
    <row r="52" spans="2:9" ht="14.1" customHeight="1">
      <c r="B52" s="253" t="str">
        <f>IF(Indice_index!$Z$1=1,"   Por memória:","   Memo item:")</f>
        <v xml:space="preserve">   Por memória:</v>
      </c>
      <c r="C52" s="5"/>
      <c r="D52" s="5"/>
      <c r="E52" s="5"/>
      <c r="F52" s="5"/>
      <c r="G52" s="5"/>
      <c r="H52" s="5"/>
      <c r="I52" s="5"/>
    </row>
    <row r="53" spans="2:9" ht="14.1" customHeight="1">
      <c r="B53" s="210" t="str">
        <f>IF(Indice_index!$Z$1=1,"Despesa primária","Primary expenditure")</f>
        <v>Despesa primária</v>
      </c>
      <c r="C53" s="5">
        <f>+C50-C36</f>
        <v>74744.419283649971</v>
      </c>
      <c r="D53" s="5">
        <f>+D50-D36</f>
        <v>85895.187066999992</v>
      </c>
      <c r="E53" s="5">
        <f>+E50-E36</f>
        <v>50064.830337060012</v>
      </c>
      <c r="F53" s="5">
        <f>+F50-F36</f>
        <v>56311.098584010018</v>
      </c>
      <c r="G53" s="5">
        <f>IFERROR(IF(F53/D53*100&lt;-500,"-",IF(F53/D53*100&gt;500,"-",F53/D53*100)),"-")</f>
        <v>65.557920655188994</v>
      </c>
      <c r="H53" s="5">
        <f>IFERROR((F53-E53)/E53*100,"")</f>
        <v>12.476359561986303</v>
      </c>
      <c r="I53" s="5">
        <f>IFERROR((F53-E53)/$E$50*100,"")</f>
        <v>11.466987402458379</v>
      </c>
    </row>
    <row r="54" spans="2:9" ht="14.1" customHeight="1">
      <c r="B54" s="210" t="str">
        <f>IF(Indice_index!$Z$1=1,"Saldo corrente","Current balance")</f>
        <v>Saldo corrente</v>
      </c>
      <c r="C54" s="5">
        <f>+C12-C30</f>
        <v>3225.6314751100435</v>
      </c>
      <c r="D54" s="5">
        <f>+D12-D30</f>
        <v>-992.80694399999629</v>
      </c>
      <c r="E54" s="5">
        <f>+E12-E30</f>
        <v>5389.0814446699951</v>
      </c>
      <c r="F54" s="5">
        <f>+F12-F30</f>
        <v>3433.7625950799847</v>
      </c>
      <c r="G54" s="5"/>
      <c r="H54" s="5"/>
      <c r="I54" s="5"/>
    </row>
    <row r="55" spans="2:9" ht="14.1" customHeight="1">
      <c r="B55" s="210" t="str">
        <f>IF(Indice_index!$Z$1=1,"Saldo de capital","Capital balance")</f>
        <v>Saldo de capital</v>
      </c>
      <c r="C55" s="5">
        <f>+C22-C43</f>
        <v>-1332.3709011700003</v>
      </c>
      <c r="D55" s="5">
        <f>+D22-D43</f>
        <v>-6044.4568400000016</v>
      </c>
      <c r="E55" s="5">
        <f>+E22-E43</f>
        <v>471.98162035000041</v>
      </c>
      <c r="F55" s="5">
        <f>+F22-F43</f>
        <v>-3039.1227442299996</v>
      </c>
      <c r="G55" s="5"/>
      <c r="H55" s="5"/>
      <c r="I55" s="5"/>
    </row>
    <row r="56" spans="2:9" ht="14.1" customHeight="1">
      <c r="B56" s="210" t="str">
        <f>IF(Indice_index!$Z$1=1,"Saldo primário","Primary balance")</f>
        <v>Saldo primário</v>
      </c>
      <c r="C56" s="5">
        <f>+C51+C36</f>
        <v>8457.229496050044</v>
      </c>
      <c r="D56" s="5">
        <f>+D51+D36</f>
        <v>177.6242410000059</v>
      </c>
      <c r="E56" s="5">
        <f>+E51+E36</f>
        <v>10267.978686369996</v>
      </c>
      <c r="F56" s="5">
        <f>+F51+F36</f>
        <v>5330.1129879399841</v>
      </c>
      <c r="G56" s="5"/>
      <c r="H56" s="5"/>
      <c r="I56" s="5"/>
    </row>
    <row r="57" spans="2:9" ht="14.1" customHeight="1">
      <c r="B57" s="210" t="str">
        <f>IF(Indice_index!$Z$1=1,"Transferências para a Administração Local","Transfers to Local Administration")</f>
        <v>Transferências para a Administração Local</v>
      </c>
      <c r="C57" s="5">
        <v>4687.9203156499998</v>
      </c>
      <c r="D57" s="5">
        <v>5456.3884829999997</v>
      </c>
      <c r="E57" s="5">
        <v>3489.1512554599994</v>
      </c>
      <c r="F57" s="5">
        <v>4092.88940589</v>
      </c>
      <c r="G57" s="5"/>
      <c r="H57" s="5"/>
      <c r="I57" s="5"/>
    </row>
    <row r="58" spans="2:9" ht="14.1" customHeight="1">
      <c r="B58" s="292" t="str">
        <f>IF(Indice_index!$Z$1=1,"Transferências para as Regiões Autónomas","Transfers to the Autonomous Regions")</f>
        <v>Transferências para as Regiões Autónomas</v>
      </c>
      <c r="C58" s="20">
        <v>515.41459699999996</v>
      </c>
      <c r="D58" s="20">
        <v>620.027061</v>
      </c>
      <c r="E58" s="20">
        <v>386.56094755999999</v>
      </c>
      <c r="F58" s="20">
        <v>465.02029425000001</v>
      </c>
      <c r="G58" s="20"/>
      <c r="H58" s="20"/>
      <c r="I58" s="20"/>
    </row>
    <row r="59" spans="2:9" ht="15">
      <c r="B59" s="10" t="str">
        <f>IF(Indice_index!$Z$1=1,"Nota:","Note:")</f>
        <v>Nota:</v>
      </c>
      <c r="C59" s="10"/>
      <c r="D59" s="10"/>
      <c r="E59" s="10"/>
      <c r="F59" s="10"/>
      <c r="G59" s="10"/>
      <c r="H59" s="10"/>
      <c r="I59" s="10"/>
    </row>
    <row r="60" spans="2:9" ht="15">
      <c r="B60" s="379" t="str">
        <f>+'3 - Conta AC + SS'!$B$61</f>
        <v>Os dados de 2023 são mensalmente revistos e atualizados face ao publicado nas Sínteses de Execução Orçamental de 2023.</v>
      </c>
      <c r="C60" s="379"/>
      <c r="D60" s="379"/>
      <c r="E60" s="379"/>
      <c r="F60" s="379"/>
      <c r="G60" s="379"/>
      <c r="H60" s="379"/>
      <c r="I60" s="379"/>
    </row>
    <row r="61" spans="2:9" ht="15">
      <c r="B61" s="30" t="str">
        <f>IF(Indice_index!$Z$1=1,"Fonte: Direção-Geral do Orçamento","Source: Budget General Directorate")</f>
        <v>Fonte: Direção-Geral do Orçamento</v>
      </c>
      <c r="C61" s="30"/>
      <c r="D61" s="30"/>
      <c r="E61" s="179"/>
      <c r="F61" s="179"/>
      <c r="H61" s="52"/>
      <c r="I61" s="52"/>
    </row>
    <row r="62" spans="2:9">
      <c r="B62" s="51"/>
      <c r="C62" s="51"/>
      <c r="D62" s="51"/>
      <c r="E62" s="34"/>
      <c r="F62" s="34"/>
      <c r="G62" s="52"/>
      <c r="H62" s="51"/>
      <c r="I62" s="51"/>
    </row>
    <row r="63" spans="2:9" ht="15" hidden="1">
      <c r="B63" s="380"/>
      <c r="C63" s="380"/>
      <c r="D63" s="380"/>
      <c r="E63" s="380"/>
      <c r="F63" s="380"/>
      <c r="G63" s="380"/>
      <c r="H63" s="380"/>
      <c r="I63" s="380"/>
    </row>
  </sheetData>
  <mergeCells count="5">
    <mergeCell ref="B10:B11"/>
    <mergeCell ref="E10:F10"/>
    <mergeCell ref="H10:I10"/>
    <mergeCell ref="B60:I60"/>
    <mergeCell ref="B63:I63"/>
  </mergeCells>
  <conditionalFormatting sqref="C12:I28">
    <cfRule type="cellIs" dxfId="89" priority="2" operator="equal">
      <formula>0</formula>
    </cfRule>
  </conditionalFormatting>
  <conditionalFormatting sqref="C30:I49">
    <cfRule type="cellIs" dxfId="88" priority="1" operator="equal">
      <formula>0</formula>
    </cfRule>
  </conditionalFormatting>
  <conditionalFormatting sqref="D57:F58">
    <cfRule type="cellIs" dxfId="87" priority="3" operator="equal">
      <formula>0</formula>
    </cfRule>
  </conditionalFormatting>
  <conditionalFormatting sqref="D52:H56 I52:I57 C52:C58 G57:H57 G58:I58">
    <cfRule type="cellIs" dxfId="86" priority="6"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3" customWidth="1"/>
    <col min="2" max="2" width="37.5703125" style="33" customWidth="1"/>
    <col min="3" max="4" width="10.42578125" style="33" customWidth="1"/>
    <col min="5" max="9" width="10.42578125" style="53" customWidth="1"/>
    <col min="10" max="10" width="8.5703125" style="53" customWidth="1"/>
    <col min="11" max="11" width="8.5703125" style="53" hidden="1" customWidth="1"/>
    <col min="12" max="15" width="0" hidden="1" customWidth="1"/>
    <col min="16" max="16384" width="9.42578125" hidden="1"/>
  </cols>
  <sheetData>
    <row r="1" spans="2:9" ht="14.85" customHeight="1"/>
    <row r="2" spans="2:9" ht="15"/>
    <row r="3" spans="2:9" ht="15"/>
    <row r="4" spans="2:9" ht="15"/>
    <row r="5" spans="2:9" ht="15"/>
    <row r="6" spans="2:9" ht="15"/>
    <row r="7" spans="2:9" ht="50.1" customHeight="1">
      <c r="B7" s="13"/>
      <c r="C7" s="14"/>
      <c r="D7" s="12"/>
      <c r="E7" s="12"/>
      <c r="F7" s="12"/>
      <c r="G7" s="12"/>
      <c r="H7" s="12"/>
      <c r="I7" s="12"/>
    </row>
    <row r="8" spans="2:9" ht="15.75">
      <c r="B8" s="1" t="str">
        <f>IF(Indice_index!$Z$1=1,"Quadro 5 - Execução Orçamental do Estado","5 - State Budget Execution")</f>
        <v>Quadro 5 - Execução Orçamental do Estado</v>
      </c>
      <c r="C8" s="2"/>
      <c r="D8" s="2"/>
      <c r="E8" s="2"/>
      <c r="F8" s="2"/>
      <c r="G8" s="2"/>
      <c r="H8" s="2"/>
      <c r="I8" s="2"/>
    </row>
    <row r="9" spans="2:9" ht="15">
      <c r="B9" s="3" t="str">
        <f>+'3 - Conta AC + SS'!B9</f>
        <v>Período: janeiro a setembro</v>
      </c>
      <c r="C9" s="3"/>
      <c r="D9" s="3"/>
      <c r="E9" s="3"/>
      <c r="F9" s="3"/>
      <c r="G9" s="3"/>
      <c r="H9" s="3"/>
      <c r="I9" s="3" t="str">
        <f>IF(Indice_index!$Z$1=1,"€ Milhões","€ Millions")</f>
        <v>€ Milhões</v>
      </c>
    </row>
    <row r="10" spans="2:9"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24" t="str">
        <f>IF(Indice_index!$Z$1=1,"Grau de Execução (%)","Execution Rate (%)")</f>
        <v>Grau de Execução (%)</v>
      </c>
      <c r="H10" s="378" t="str">
        <f>IF(Indice_index!$Z$1=1,"Variação Homóloga Acumulada","YOY Change Rate")</f>
        <v>Variação Homóloga Acumulada</v>
      </c>
      <c r="I10" s="375"/>
    </row>
    <row r="11" spans="2:9" ht="26.85" customHeight="1">
      <c r="B11" s="376"/>
      <c r="C11" s="24">
        <v>2023</v>
      </c>
      <c r="D11" s="24">
        <v>2024</v>
      </c>
      <c r="E11" s="24">
        <v>2023</v>
      </c>
      <c r="F11" s="24">
        <v>2024</v>
      </c>
      <c r="G11" s="24">
        <v>2024</v>
      </c>
      <c r="H11" s="24" t="str">
        <f>IF(Indice_index!$Z$1=1,"Relativa (%)","Relative change (%)")</f>
        <v>Relativa (%)</v>
      </c>
      <c r="I11" s="24" t="str">
        <f>IF(Indice_index!$Z$1=1,"Contributo VHA (pp)","YOY Change Rate Contrib. (pp)")</f>
        <v>Contributo VHA (pp)</v>
      </c>
    </row>
    <row r="12" spans="2:9" ht="14.1" customHeight="1">
      <c r="B12" s="212" t="str">
        <f>IF(Indice_index!$Z$1=1,"Receita corrente","Current revenue")</f>
        <v>Receita corrente</v>
      </c>
      <c r="C12" s="161">
        <f>+C13+C16+C17+C18+C23+C24</f>
        <v>64043.642383109996</v>
      </c>
      <c r="D12" s="161">
        <f>+D13+D16+D17+D18+D23+D24</f>
        <v>64976.896887999996</v>
      </c>
      <c r="E12" s="161">
        <f>+E13+E16+E17+E18+E23+E24</f>
        <v>46159.709944729992</v>
      </c>
      <c r="F12" s="161">
        <f>+F13+F16+F17+F18+F23+F24</f>
        <v>49327.449951130009</v>
      </c>
      <c r="G12" s="161">
        <f>IFERROR(IF(F12/D12*100&lt;-500,"-",IF(F12/D12*100&gt;500,"-",F12/D12*100)),"-")</f>
        <v>75.915367328414007</v>
      </c>
      <c r="H12" s="161">
        <f>IF(IFERROR((F12-E12)/E12*100,"")&gt;500,"-",IFERROR((F12-E12)/E12*100,""))</f>
        <v>6.8625647998935824</v>
      </c>
      <c r="I12" s="161">
        <f t="shared" ref="I12:I23" si="0">IFERROR((F12-E12)/$E$34*100,"-")</f>
        <v>6.8511788924985497</v>
      </c>
    </row>
    <row r="13" spans="2:9" ht="14.1" customHeight="1">
      <c r="B13" s="150" t="str">
        <f>IF(Indice_index!$Z$1=1,"Receita fiscal","Tax")</f>
        <v>Receita fiscal</v>
      </c>
      <c r="C13" s="5">
        <f>SUM(C14:C15)</f>
        <v>58917.759150190002</v>
      </c>
      <c r="D13" s="5">
        <f>SUM(D14:D15)</f>
        <v>60090.278767999996</v>
      </c>
      <c r="E13" s="5">
        <f>SUM(E14:E15)</f>
        <v>43082.046781169993</v>
      </c>
      <c r="F13" s="5">
        <f>SUM(F14:F15)</f>
        <v>45372.432163210004</v>
      </c>
      <c r="G13" s="5">
        <f t="shared" ref="G13:G32" si="1">IFERROR(IF(F13/D13*100&lt;-500,"-",IF(F13/D13*100&gt;500,"-",F13/D13*100)),"-")</f>
        <v>75.50710879273251</v>
      </c>
      <c r="H13" s="5">
        <f t="shared" ref="H13:H23" si="2">IF(IFERROR((F13-E13)/E13*100,"")&gt;500,"-",IFERROR((F13-E13)/E13*100,""))</f>
        <v>5.3163337240538837</v>
      </c>
      <c r="I13" s="5">
        <f t="shared" si="0"/>
        <v>4.9536388571714776</v>
      </c>
    </row>
    <row r="14" spans="2:9" ht="14.1" customHeight="1">
      <c r="B14" s="210" t="str">
        <f>IF(Indice_index!$Z$1=1,"Impostos diretos","Direct taxes")</f>
        <v>Impostos diretos</v>
      </c>
      <c r="C14" s="5">
        <f>+'6 - R_Est'!C13</f>
        <v>27128.911549260003</v>
      </c>
      <c r="D14" s="5">
        <f>+'6 - R_Est'!D13</f>
        <v>26748.463473999996</v>
      </c>
      <c r="E14" s="5">
        <f>+'6 - R_Est'!E13</f>
        <v>19844.960008369999</v>
      </c>
      <c r="F14" s="5">
        <f>+'6 - R_Est'!F13</f>
        <v>21407.024198309999</v>
      </c>
      <c r="G14" s="5">
        <f t="shared" si="1"/>
        <v>80.030855675571885</v>
      </c>
      <c r="H14" s="5">
        <f t="shared" si="2"/>
        <v>7.8713395707583622</v>
      </c>
      <c r="I14" s="5">
        <f t="shared" si="0"/>
        <v>3.3784278966148653</v>
      </c>
    </row>
    <row r="15" spans="2:9" ht="14.1" customHeight="1">
      <c r="B15" s="210" t="str">
        <f>IF(Indice_index!$Z$1=1,"Impostos indiretos","Indirect taxes")</f>
        <v>Impostos indiretos</v>
      </c>
      <c r="C15" s="5">
        <f>+'6 - R_Est'!C17</f>
        <v>31788.847600930003</v>
      </c>
      <c r="D15" s="5">
        <f>+'6 - R_Est'!D17</f>
        <v>33341.815294</v>
      </c>
      <c r="E15" s="5">
        <f>+'6 - R_Est'!E17</f>
        <v>23237.086772799998</v>
      </c>
      <c r="F15" s="5">
        <f>+'6 - R_Est'!F17</f>
        <v>23965.407964900001</v>
      </c>
      <c r="G15" s="5">
        <f t="shared" si="1"/>
        <v>71.877933920450559</v>
      </c>
      <c r="H15" s="5">
        <f t="shared" si="2"/>
        <v>3.134305084028584</v>
      </c>
      <c r="I15" s="5">
        <f t="shared" si="0"/>
        <v>1.5752109605565956</v>
      </c>
    </row>
    <row r="16" spans="2:9" ht="14.1" customHeight="1">
      <c r="B16" s="150" t="str">
        <f>IF(Indice_index!$Z$1=1,"Contribuições para Segurança Social, CGA e ADSE","Social security, CGA and ADSE contributions")</f>
        <v>Contribuições para Segurança Social, CGA e ADSE</v>
      </c>
      <c r="C16" s="5">
        <f>+'6 - R_Est'!C26</f>
        <v>73.954541289999995</v>
      </c>
      <c r="D16" s="5">
        <f>+'6 - R_Est'!D26</f>
        <v>73.666090999999994</v>
      </c>
      <c r="E16" s="5">
        <f>+'6 - R_Est'!E26</f>
        <v>52.820154989999999</v>
      </c>
      <c r="F16" s="5">
        <f>+'6 - R_Est'!F26</f>
        <v>58.085472330000002</v>
      </c>
      <c r="G16" s="5">
        <f t="shared" si="1"/>
        <v>78.849673630707514</v>
      </c>
      <c r="H16" s="5">
        <f t="shared" si="2"/>
        <v>9.9683867663713617</v>
      </c>
      <c r="I16" s="5">
        <f t="shared" si="0"/>
        <v>1.1387813062067098E-2</v>
      </c>
    </row>
    <row r="17" spans="2:9" ht="14.1" customHeight="1">
      <c r="B17" s="150" t="str">
        <f>IF(Indice_index!$Z$1=1,"Taxas, multas e outras penalidades","Taxes, fines and other penalties")</f>
        <v>Taxas, multas e outras penalidades</v>
      </c>
      <c r="C17" s="5">
        <f>+'6 - R_Est'!C31</f>
        <v>1052.6745692100001</v>
      </c>
      <c r="D17" s="5">
        <f>+'6 - R_Est'!D31</f>
        <v>1019.2500309999999</v>
      </c>
      <c r="E17" s="5">
        <f>+'6 - R_Est'!E31</f>
        <v>810.2519231</v>
      </c>
      <c r="F17" s="5">
        <f>+'6 - R_Est'!F31</f>
        <v>733.44794139999988</v>
      </c>
      <c r="G17" s="5">
        <f t="shared" si="1"/>
        <v>71.959570183226219</v>
      </c>
      <c r="H17" s="5">
        <f t="shared" si="2"/>
        <v>-9.4790249193300706</v>
      </c>
      <c r="I17" s="5">
        <f t="shared" si="0"/>
        <v>-0.16611142872198151</v>
      </c>
    </row>
    <row r="18" spans="2:9" ht="14.1" customHeight="1">
      <c r="B18" s="150" t="str">
        <f>IF(Indice_index!$Z$1=1,"Transferências correntes","Current transfers")</f>
        <v>Transferências correntes</v>
      </c>
      <c r="C18" s="5">
        <f>SUM(C19:C22)</f>
        <v>1108.3681423799999</v>
      </c>
      <c r="D18" s="5">
        <f>SUM(D19:D22)</f>
        <v>1401.8219740000002</v>
      </c>
      <c r="E18" s="5">
        <f>SUM(E19:E22)</f>
        <v>661.87337264999996</v>
      </c>
      <c r="F18" s="5">
        <f>SUM(F19:F22)</f>
        <v>765.8635946899999</v>
      </c>
      <c r="G18" s="5">
        <f t="shared" si="1"/>
        <v>54.633441970142762</v>
      </c>
      <c r="H18" s="5">
        <f t="shared" si="2"/>
        <v>15.711498050396747</v>
      </c>
      <c r="I18" s="5">
        <f t="shared" si="0"/>
        <v>0.22490975043004119</v>
      </c>
    </row>
    <row r="19" spans="2:9" ht="14.1" customHeight="1">
      <c r="B19" s="210" t="str">
        <f>IF(Indice_index!$Z$1=1,"Administração Central","Central Administration")</f>
        <v>Administração Central</v>
      </c>
      <c r="C19" s="5">
        <f>+'6 - R_Est'!C41</f>
        <v>650.24009655999998</v>
      </c>
      <c r="D19" s="5">
        <f>+'6 - R_Est'!D41</f>
        <v>624.593253</v>
      </c>
      <c r="E19" s="5">
        <f>+'6 - R_Est'!E41</f>
        <v>343.20707257999999</v>
      </c>
      <c r="F19" s="5">
        <f>+'6 - R_Est'!F41</f>
        <v>368.7352272</v>
      </c>
      <c r="G19" s="5">
        <f t="shared" si="1"/>
        <v>59.036056734349643</v>
      </c>
      <c r="H19" s="5">
        <f t="shared" si="2"/>
        <v>7.4381202077499475</v>
      </c>
      <c r="I19" s="5">
        <f t="shared" si="0"/>
        <v>5.5212218724903006E-2</v>
      </c>
    </row>
    <row r="20" spans="2:9" ht="14.1" customHeight="1">
      <c r="B20" s="210" t="str">
        <f>IF(Indice_index!$Z$1=1,"Outros subsetores das Administrações Públicas","Other General Government subsectors")</f>
        <v>Outros subsetores das Administrações Públicas</v>
      </c>
      <c r="C20" s="5">
        <f>+'6 - R_Est'!C42</f>
        <v>234.09742409</v>
      </c>
      <c r="D20" s="5">
        <f>+'6 - R_Est'!D42</f>
        <v>283.07469700000001</v>
      </c>
      <c r="E20" s="5">
        <f>+'6 - R_Est'!E42</f>
        <v>182.64553125</v>
      </c>
      <c r="F20" s="5">
        <f>+'6 - R_Est'!F42</f>
        <v>206.58174152000001</v>
      </c>
      <c r="G20" s="5">
        <f t="shared" si="1"/>
        <v>72.977819532912903</v>
      </c>
      <c r="H20" s="5">
        <f t="shared" si="2"/>
        <v>13.105281090746645</v>
      </c>
      <c r="I20" s="5">
        <f t="shared" si="0"/>
        <v>5.1769166104827888E-2</v>
      </c>
    </row>
    <row r="21" spans="2:9" ht="14.1" customHeight="1">
      <c r="B21" s="210" t="str">
        <f>IF(Indice_index!$Z$1=1,"União Europeia","European Union")</f>
        <v>União Europeia</v>
      </c>
      <c r="C21" s="5">
        <f>+'6 - R_Est'!C43</f>
        <v>201.99400455</v>
      </c>
      <c r="D21" s="5">
        <f>+'6 - R_Est'!D43</f>
        <v>449.98149600000005</v>
      </c>
      <c r="E21" s="5">
        <f>+'6 - R_Est'!E43</f>
        <v>119.66646906</v>
      </c>
      <c r="F21" s="5">
        <f>+'6 - R_Est'!F43</f>
        <v>168.26015201999999</v>
      </c>
      <c r="G21" s="5">
        <f t="shared" si="1"/>
        <v>37.392682480436925</v>
      </c>
      <c r="H21" s="5">
        <f t="shared" si="2"/>
        <v>40.607601562669522</v>
      </c>
      <c r="I21" s="5">
        <f t="shared" si="0"/>
        <v>0.10509827647840027</v>
      </c>
    </row>
    <row r="22" spans="2:9" ht="14.1" customHeight="1">
      <c r="B22" s="210" t="str">
        <f>IF(Indice_index!$Z$1=1,"Outras transferências","Other transfers")</f>
        <v>Outras transferências</v>
      </c>
      <c r="C22" s="5">
        <f>+'6 - R_Est'!C44</f>
        <v>22.03661718</v>
      </c>
      <c r="D22" s="5">
        <f>+'6 - R_Est'!D44</f>
        <v>44.172528</v>
      </c>
      <c r="E22" s="5">
        <f>+'6 - R_Est'!E44</f>
        <v>16.35429976</v>
      </c>
      <c r="F22" s="5">
        <f>+'6 - R_Est'!F44</f>
        <v>22.286473950000001</v>
      </c>
      <c r="G22" s="5">
        <f t="shared" si="1"/>
        <v>50.453245397229708</v>
      </c>
      <c r="H22" s="5">
        <f t="shared" si="2"/>
        <v>36.272871826094018</v>
      </c>
      <c r="I22" s="5">
        <f t="shared" si="0"/>
        <v>1.2830089121910226E-2</v>
      </c>
    </row>
    <row r="23" spans="2:9" ht="14.1" customHeight="1">
      <c r="B23" s="150" t="str">
        <f>IF(Indice_index!$Z$1=1,"Outras receitas correntes","Other current revenue")</f>
        <v>Outras receitas correntes</v>
      </c>
      <c r="C23" s="5">
        <f>'6 - R_Est'!C36+'6 - R_Est'!C45+'6 - R_Est'!C46+'6 - R_Est'!C50+'6 - R_Est'!C51</f>
        <v>2890.8849749599999</v>
      </c>
      <c r="D23" s="5">
        <f>'6 - R_Est'!D36+'6 - R_Est'!D45+'6 - R_Est'!D46+'6 - R_Est'!D50+'6 - R_Est'!D51</f>
        <v>2391.8756129999997</v>
      </c>
      <c r="E23" s="5">
        <f>'6 - R_Est'!E36+'6 - R_Est'!E45+'6 - R_Est'!E46+'6 - R_Est'!E50+'6 - R_Est'!E51</f>
        <v>1552.71770446</v>
      </c>
      <c r="F23" s="5">
        <f>'6 - R_Est'!F36+'6 - R_Est'!F45+'6 - R_Est'!F46+'6 - R_Est'!F50+'6 - R_Est'!F51</f>
        <v>2223.9048080399998</v>
      </c>
      <c r="G23" s="5">
        <f t="shared" si="1"/>
        <v>92.977443975469811</v>
      </c>
      <c r="H23" s="5">
        <f t="shared" si="2"/>
        <v>43.226602083050466</v>
      </c>
      <c r="I23" s="5">
        <f t="shared" si="0"/>
        <v>1.4516415197187904</v>
      </c>
    </row>
    <row r="24" spans="2:9" ht="14.1" customHeight="1">
      <c r="B24" s="150" t="str">
        <f>IF(Indice_index!$Z$1=1,"Diferenças de consolidação","Consolidation differences")</f>
        <v>Diferenças de consolidação</v>
      </c>
      <c r="C24" s="5">
        <f>+'6 - R_Est'!C52</f>
        <v>1.0050800000000002E-3</v>
      </c>
      <c r="D24" s="5">
        <f>+'6 - R_Est'!D52</f>
        <v>4.4109999999999427E-3</v>
      </c>
      <c r="E24" s="5">
        <f>+'6 - R_Est'!E52</f>
        <v>8.3600000000006586E-6</v>
      </c>
      <c r="F24" s="5">
        <f>+'6 - R_Est'!F52</f>
        <v>173.71597145999999</v>
      </c>
      <c r="G24" s="5"/>
      <c r="H24" s="5"/>
      <c r="I24" s="5"/>
    </row>
    <row r="25" spans="2:9" ht="14.1" customHeight="1">
      <c r="B25" s="212" t="str">
        <f>IF(Indice_index!$Z$1=1,"Receita de capital","Capital revenue")</f>
        <v>Receita de capital</v>
      </c>
      <c r="C25" s="161">
        <f>C26+C27+C32+C33</f>
        <v>108.61524969</v>
      </c>
      <c r="D25" s="161">
        <f>D26+D27+D32+D33</f>
        <v>664.12544600000001</v>
      </c>
      <c r="E25" s="161">
        <f>E26+E27+E32+E33</f>
        <v>76.712371850000011</v>
      </c>
      <c r="F25" s="161">
        <f>F26+F27+F32+F33</f>
        <v>264.54558115999998</v>
      </c>
      <c r="G25" s="161">
        <f t="shared" si="1"/>
        <v>39.833676416608796</v>
      </c>
      <c r="H25" s="161">
        <f t="shared" ref="H25:H32" si="3">IF(IFERROR((F25-E25)/E25*100,"")&gt;500,"-",IFERROR((F25-E25)/E25*100,""))</f>
        <v>244.85386747952566</v>
      </c>
      <c r="I25" s="161">
        <f t="shared" ref="I25:I32" si="4">IFERROR((F25-E25)/$E$34*100,"-")</f>
        <v>0.40624511997037577</v>
      </c>
    </row>
    <row r="26" spans="2:9" ht="14.1" customHeight="1">
      <c r="B26" s="150" t="str">
        <f>IF(Indice_index!$Z$1=1,"Venda de bens de investimento","Sale of investment goods")</f>
        <v>Venda de bens de investimento</v>
      </c>
      <c r="C26" s="5">
        <f>+'6 - R_Est'!C54</f>
        <v>6.65149539</v>
      </c>
      <c r="D26" s="5">
        <f>+'6 - R_Est'!D54</f>
        <v>41.934125999999999</v>
      </c>
      <c r="E26" s="5">
        <f>+'6 - R_Est'!E54</f>
        <v>6.54669436</v>
      </c>
      <c r="F26" s="5">
        <f>+'6 - R_Est'!F54</f>
        <v>3.0555873899999999</v>
      </c>
      <c r="G26" s="5">
        <f t="shared" si="1"/>
        <v>7.286636640525189</v>
      </c>
      <c r="H26" s="5">
        <f t="shared" si="3"/>
        <v>-53.326255634148779</v>
      </c>
      <c r="I26" s="5">
        <f t="shared" si="4"/>
        <v>-7.5505560229043034E-3</v>
      </c>
    </row>
    <row r="27" spans="2:9" ht="14.1" customHeight="1">
      <c r="B27" s="150" t="str">
        <f>IF(Indice_index!$Z$1=1,"Transferências de capital","Capital transfers")</f>
        <v>Transferências de capital</v>
      </c>
      <c r="C27" s="5">
        <f>SUM(C28:C31)</f>
        <v>95.029210570000004</v>
      </c>
      <c r="D27" s="5">
        <f>SUM(D28:D31)</f>
        <v>605.88921700000003</v>
      </c>
      <c r="E27" s="5">
        <f>SUM(E28:E31)</f>
        <v>64.705039710000008</v>
      </c>
      <c r="F27" s="5">
        <f>SUM(F28:F31)</f>
        <v>119.96858281999999</v>
      </c>
      <c r="G27" s="5">
        <f t="shared" si="1"/>
        <v>19.80041556342799</v>
      </c>
      <c r="H27" s="5">
        <f t="shared" si="3"/>
        <v>85.408406142217615</v>
      </c>
      <c r="I27" s="5">
        <f t="shared" si="4"/>
        <v>0.11952383065370294</v>
      </c>
    </row>
    <row r="28" spans="2:9" ht="14.1" customHeight="1">
      <c r="B28" s="210" t="str">
        <f>IF(Indice_index!$Z$1=1,"Administração Central","Central Administration")</f>
        <v>Administração Central</v>
      </c>
      <c r="C28" s="5">
        <f>+'6 - R_Est'!C56</f>
        <v>12.731157909999997</v>
      </c>
      <c r="D28" s="5">
        <f>+'6 - R_Est'!D56</f>
        <v>129.89001400000001</v>
      </c>
      <c r="E28" s="5">
        <f>+'6 - R_Est'!E56</f>
        <v>6.6493775500000005</v>
      </c>
      <c r="F28" s="5">
        <f>+'6 - R_Est'!F56</f>
        <v>21.033747089999999</v>
      </c>
      <c r="G28" s="5">
        <f t="shared" si="1"/>
        <v>16.193505907236254</v>
      </c>
      <c r="H28" s="5">
        <f t="shared" si="3"/>
        <v>216.32655736325268</v>
      </c>
      <c r="I28" s="5">
        <f t="shared" si="4"/>
        <v>3.1110472695120024E-2</v>
      </c>
    </row>
    <row r="29" spans="2:9" ht="14.1" customHeight="1">
      <c r="B29" s="210" t="str">
        <f>IF(Indice_index!$Z$1=1,"Outros subsetores das Administrações Públicas","Other General Government subsectors")</f>
        <v>Outros subsetores das Administrações Públicas</v>
      </c>
      <c r="C29" s="5">
        <f>+'6 - R_Est'!C57</f>
        <v>0.2997203</v>
      </c>
      <c r="D29" s="5">
        <f>+'6 - R_Est'!D57</f>
        <v>4.458431</v>
      </c>
      <c r="E29" s="5">
        <f>+'6 - R_Est'!E57</f>
        <v>0.13455827000000001</v>
      </c>
      <c r="F29" s="5">
        <f>+'6 - R_Est'!F57</f>
        <v>0</v>
      </c>
      <c r="G29" s="5">
        <f t="shared" si="1"/>
        <v>0</v>
      </c>
      <c r="H29" s="5">
        <f t="shared" si="3"/>
        <v>-100</v>
      </c>
      <c r="I29" s="5">
        <f t="shared" si="4"/>
        <v>-2.9102223584403185E-4</v>
      </c>
    </row>
    <row r="30" spans="2:9" ht="14.1" customHeight="1">
      <c r="B30" s="210" t="str">
        <f>IF(Indice_index!$Z$1=1,"União Europeia","European Union")</f>
        <v>União Europeia</v>
      </c>
      <c r="C30" s="5">
        <f>+'6 - R_Est'!C58</f>
        <v>78.647758940000003</v>
      </c>
      <c r="D30" s="5">
        <f>+'6 - R_Est'!D58</f>
        <v>471.54077100000001</v>
      </c>
      <c r="E30" s="5">
        <f>+'6 - R_Est'!E58</f>
        <v>55.914245940000001</v>
      </c>
      <c r="F30" s="5">
        <f>+'6 - R_Est'!F58</f>
        <v>92.802921799999993</v>
      </c>
      <c r="G30" s="5">
        <f t="shared" si="1"/>
        <v>19.680784251845743</v>
      </c>
      <c r="H30" s="5">
        <f t="shared" si="3"/>
        <v>65.973662417953719</v>
      </c>
      <c r="I30" s="5">
        <f t="shared" si="4"/>
        <v>7.9782721092527153E-2</v>
      </c>
    </row>
    <row r="31" spans="2:9" ht="14.1" customHeight="1">
      <c r="B31" s="210" t="str">
        <f>IF(Indice_index!$Z$1=1,"Outras transferências","Other transfers")</f>
        <v>Outras transferências</v>
      </c>
      <c r="C31" s="5">
        <f>+'6 - R_Est'!C59</f>
        <v>3.3505734199999999</v>
      </c>
      <c r="D31" s="5">
        <f>+'6 - R_Est'!D59</f>
        <v>9.9999999999999995E-7</v>
      </c>
      <c r="E31" s="5">
        <f>+'6 - R_Est'!E59</f>
        <v>2.0068579500000001</v>
      </c>
      <c r="F31" s="5">
        <f>+'6 - R_Est'!F59</f>
        <v>6.1319139299999996</v>
      </c>
      <c r="G31" s="5" t="str">
        <f t="shared" si="1"/>
        <v>-</v>
      </c>
      <c r="H31" s="5">
        <f t="shared" si="3"/>
        <v>205.54798011488549</v>
      </c>
      <c r="I31" s="5">
        <f t="shared" si="4"/>
        <v>8.9216591018998204E-3</v>
      </c>
    </row>
    <row r="32" spans="2:9" ht="14.1" customHeight="1">
      <c r="B32" s="150" t="str">
        <f>IF(Indice_index!$Z$1=1,"Outras receitas de capital","Other capital revenue")</f>
        <v>Outras receitas de capital</v>
      </c>
      <c r="C32" s="5">
        <f>+'6 - R_Est'!C60</f>
        <v>6.9345437299999997</v>
      </c>
      <c r="D32" s="5">
        <f>+'6 - R_Est'!D60</f>
        <v>5.1310000000000002</v>
      </c>
      <c r="E32" s="5">
        <f>+'6 - R_Est'!E60</f>
        <v>5.4606377799999999</v>
      </c>
      <c r="F32" s="5">
        <f>+'6 - R_Est'!F60</f>
        <v>141.52141094999999</v>
      </c>
      <c r="G32" s="5" t="str">
        <f t="shared" si="1"/>
        <v>-</v>
      </c>
      <c r="H32" s="5" t="str">
        <f t="shared" si="3"/>
        <v>-</v>
      </c>
      <c r="I32" s="5">
        <f t="shared" si="4"/>
        <v>0.29427184533957712</v>
      </c>
    </row>
    <row r="33" spans="2:9" ht="14.1" customHeight="1">
      <c r="B33" s="150" t="str">
        <f>IF(Indice_index!$Z$1=1,"Diferenças de consolidação","Consolidation differences")</f>
        <v>Diferenças de consolidação</v>
      </c>
      <c r="C33" s="5">
        <f>+'6 - R_Est'!C61</f>
        <v>0</v>
      </c>
      <c r="D33" s="5">
        <f>+'6 - R_Est'!D61</f>
        <v>11.171103000000002</v>
      </c>
      <c r="E33" s="5">
        <f>+'6 - R_Est'!E61</f>
        <v>0</v>
      </c>
      <c r="F33" s="5">
        <f>+'6 - R_Est'!F61</f>
        <v>0</v>
      </c>
      <c r="G33" s="5"/>
      <c r="H33" s="5"/>
      <c r="I33" s="5"/>
    </row>
    <row r="34" spans="2:9" ht="14.1" customHeight="1">
      <c r="B34" s="32" t="str">
        <f>IF(Indice_index!$Z$1=1,"Receita efetiva","Effective revenue")</f>
        <v>Receita efetiva</v>
      </c>
      <c r="C34" s="19">
        <f>+C12+C25</f>
        <v>64152.2576328</v>
      </c>
      <c r="D34" s="19">
        <f>+D12+D25</f>
        <v>65641.022333999994</v>
      </c>
      <c r="E34" s="19">
        <f>+E12+E25</f>
        <v>46236.422316579992</v>
      </c>
      <c r="F34" s="19">
        <f>+F12+F25</f>
        <v>49591.995532290006</v>
      </c>
      <c r="G34" s="19">
        <f>IFERROR(IF(F34/D34*100&lt;-500,"-",IF(F34/D34*100&gt;500,"-",F34/D34*100)),"-")</f>
        <v>75.550309499983072</v>
      </c>
      <c r="H34" s="19">
        <f>IFERROR((F34-E34)/E34*100,"-")</f>
        <v>7.2574240124689178</v>
      </c>
      <c r="I34" s="19"/>
    </row>
    <row r="35" spans="2:9" ht="14.1" customHeight="1">
      <c r="B35" s="212" t="str">
        <f>IF(Indice_index!$Z$1=1,"Despesa corrente","Current Expenditure")</f>
        <v>Despesa corrente</v>
      </c>
      <c r="C35" s="161">
        <f>+C36+C40+C41+C42+C47+C48+C49</f>
        <v>61314.23168682</v>
      </c>
      <c r="D35" s="161">
        <f>+D36+D40+D41+D42+D47+D48+D49</f>
        <v>66801.420696999994</v>
      </c>
      <c r="E35" s="161">
        <f>+E36+E40+E41+E42+E47+E48+E49</f>
        <v>42762.477122700002</v>
      </c>
      <c r="F35" s="161">
        <f>+F36+F40+F41+F42+F47+F48+F49</f>
        <v>48404.502808869991</v>
      </c>
      <c r="G35" s="161">
        <f>IFERROR(IF(F35/D35*100&lt;-500,"-",IF(F35/D35*100&gt;500,"-",F35/D35*100)),"-")</f>
        <v>72.460289472621653</v>
      </c>
      <c r="H35" s="161">
        <f t="shared" ref="H35:H48" si="5">IF(IFERROR((F35-E35)/E35*100,"")&gt;500,"-",IFERROR((F35-E35)/E35*100,""))</f>
        <v>13.193870107152843</v>
      </c>
      <c r="I35" s="161">
        <f t="shared" ref="I35:I48" si="6">IFERROR((F35-E35)/$E$59*100,"-")</f>
        <v>12.669508590079797</v>
      </c>
    </row>
    <row r="36" spans="2:9" ht="14.1" customHeight="1">
      <c r="B36" s="150" t="str">
        <f>IF(Indice_index!$Z$1=1,"Despesas com o pessoal","Employees")</f>
        <v>Despesas com o pessoal</v>
      </c>
      <c r="C36" s="5">
        <f>SUM(C37:C39)</f>
        <v>10663.461275690004</v>
      </c>
      <c r="D36" s="5">
        <f>SUM(D37:D39)</f>
        <v>10864.551821000001</v>
      </c>
      <c r="E36" s="5">
        <f>SUM(E37:E39)</f>
        <v>7624.8893466900026</v>
      </c>
      <c r="F36" s="5">
        <f>SUM(F37:F39)</f>
        <v>8043.7860581899995</v>
      </c>
      <c r="G36" s="5">
        <f t="shared" ref="G36:G57" si="7">IFERROR(IF(F36/D36*100&lt;-500,"-",IF(F36/D36*100&gt;500,"-",F36/D36*100)),"-")</f>
        <v>74.036979994354041</v>
      </c>
      <c r="H36" s="5">
        <f t="shared" si="5"/>
        <v>5.4938070895657223</v>
      </c>
      <c r="I36" s="5">
        <f t="shared" si="6"/>
        <v>0.94065780269570498</v>
      </c>
    </row>
    <row r="37" spans="2:9" ht="14.1" customHeight="1">
      <c r="B37" s="210" t="str">
        <f>IF(Indice_index!$Z$1=1,"Remunerações certas e permanentes","Certain and permanent wages")</f>
        <v>Remunerações certas e permanentes</v>
      </c>
      <c r="C37" s="5">
        <v>7678.9798674400045</v>
      </c>
      <c r="D37" s="5">
        <v>8105.95849</v>
      </c>
      <c r="E37" s="5">
        <v>5486.2536799000027</v>
      </c>
      <c r="F37" s="5">
        <v>5780.2008401499988</v>
      </c>
      <c r="G37" s="5">
        <f t="shared" si="7"/>
        <v>71.308048854195391</v>
      </c>
      <c r="H37" s="5">
        <f t="shared" si="5"/>
        <v>5.3578849502882244</v>
      </c>
      <c r="I37" s="5">
        <f t="shared" si="6"/>
        <v>0.66007605760210353</v>
      </c>
    </row>
    <row r="38" spans="2:9" ht="14.1" customHeight="1">
      <c r="B38" s="210" t="str">
        <f>IF(Indice_index!$Z$1=1,"Abonos variáveis ou eventuais","Variable or contingent bonuses")</f>
        <v>Abonos variáveis ou eventuais</v>
      </c>
      <c r="C38" s="5">
        <v>434.68620566999999</v>
      </c>
      <c r="D38" s="5">
        <v>401.68358599999999</v>
      </c>
      <c r="E38" s="5">
        <v>319.39271999999994</v>
      </c>
      <c r="F38" s="5">
        <v>341.96898300999993</v>
      </c>
      <c r="G38" s="5">
        <f t="shared" si="7"/>
        <v>85.133920062643526</v>
      </c>
      <c r="H38" s="5">
        <f t="shared" si="5"/>
        <v>7.0684964297245081</v>
      </c>
      <c r="I38" s="5">
        <f t="shared" si="6"/>
        <v>5.0696358727722005E-2</v>
      </c>
    </row>
    <row r="39" spans="2:9" ht="14.1" customHeight="1">
      <c r="B39" s="210" t="str">
        <f>IF(Indice_index!$Z$1=1,"Segurança social","Social security")</f>
        <v>Segurança social</v>
      </c>
      <c r="C39" s="5">
        <v>2549.7952025799991</v>
      </c>
      <c r="D39" s="5">
        <v>2356.9097449999999</v>
      </c>
      <c r="E39" s="5">
        <v>1819.2429467900004</v>
      </c>
      <c r="F39" s="5">
        <v>1921.6162350300008</v>
      </c>
      <c r="G39" s="5">
        <f t="shared" si="7"/>
        <v>81.531176113406957</v>
      </c>
      <c r="H39" s="5">
        <f t="shared" si="5"/>
        <v>5.6272466753621346</v>
      </c>
      <c r="I39" s="5">
        <f t="shared" si="6"/>
        <v>0.22988538636587882</v>
      </c>
    </row>
    <row r="40" spans="2:9" ht="14.1" customHeight="1">
      <c r="B40" s="150" t="str">
        <f>IF(Indice_index!$Z$1=1,"Aquisição de bens e serviços","Purchase of goods and services")</f>
        <v>Aquisição de bens e serviços</v>
      </c>
      <c r="C40" s="5">
        <v>1725.1239322200006</v>
      </c>
      <c r="D40" s="5">
        <v>2270.773956</v>
      </c>
      <c r="E40" s="5">
        <v>939.72767003000024</v>
      </c>
      <c r="F40" s="5">
        <v>1155.3316225899998</v>
      </c>
      <c r="G40" s="5">
        <f t="shared" si="7"/>
        <v>50.878319241653301</v>
      </c>
      <c r="H40" s="5">
        <f t="shared" si="5"/>
        <v>22.943237645978495</v>
      </c>
      <c r="I40" s="5">
        <f t="shared" si="6"/>
        <v>0.48415166483731104</v>
      </c>
    </row>
    <row r="41" spans="2:9" ht="14.1" customHeight="1">
      <c r="B41" s="150" t="str">
        <f>IF(Indice_index!$Z$1=1,"Juros e outros encargos","Interests")</f>
        <v>Juros e outros encargos</v>
      </c>
      <c r="C41" s="5">
        <v>6377.1240408200001</v>
      </c>
      <c r="D41" s="5">
        <v>7152.0429350000004</v>
      </c>
      <c r="E41" s="5">
        <v>4361.6617934399992</v>
      </c>
      <c r="F41" s="5">
        <v>4986.1744089899994</v>
      </c>
      <c r="G41" s="5">
        <f t="shared" si="7"/>
        <v>69.716785180205292</v>
      </c>
      <c r="H41" s="5">
        <f t="shared" si="5"/>
        <v>14.318226518371416</v>
      </c>
      <c r="I41" s="5">
        <f t="shared" si="6"/>
        <v>1.4023807028597672</v>
      </c>
    </row>
    <row r="42" spans="2:9" ht="14.1" customHeight="1">
      <c r="B42" s="150" t="str">
        <f>IF(Indice_index!$Z$1=1,"Transferências correntes","Current transfers")</f>
        <v>Transferências correntes</v>
      </c>
      <c r="C42" s="5">
        <f>SUM(C43:C46)</f>
        <v>42193.240992699997</v>
      </c>
      <c r="D42" s="5">
        <f>SUM(D43:D46)</f>
        <v>44913.475982999997</v>
      </c>
      <c r="E42" s="5">
        <f>SUM(E43:E46)</f>
        <v>29736.322568299998</v>
      </c>
      <c r="F42" s="5">
        <f>SUM(F43:F46)</f>
        <v>33963.26217278</v>
      </c>
      <c r="G42" s="5">
        <f t="shared" si="7"/>
        <v>75.619313423069912</v>
      </c>
      <c r="H42" s="5">
        <f t="shared" si="5"/>
        <v>14.21473551334849</v>
      </c>
      <c r="I42" s="5">
        <f t="shared" si="6"/>
        <v>9.4918475397905819</v>
      </c>
    </row>
    <row r="43" spans="2:9" ht="14.1" customHeight="1">
      <c r="B43" s="210" t="str">
        <f>IF(Indice_index!$Z$1=1,"Administração Central","Central Administration")</f>
        <v>Administração Central</v>
      </c>
      <c r="C43" s="5">
        <v>23447.183466209997</v>
      </c>
      <c r="D43" s="5">
        <v>25341.233727999999</v>
      </c>
      <c r="E43" s="5">
        <v>16458.781013219999</v>
      </c>
      <c r="F43" s="5">
        <v>18943.128388279998</v>
      </c>
      <c r="G43" s="5">
        <f t="shared" si="7"/>
        <v>74.752194749497875</v>
      </c>
      <c r="H43" s="5">
        <f t="shared" si="5"/>
        <v>15.094358282454362</v>
      </c>
      <c r="I43" s="5">
        <f t="shared" si="6"/>
        <v>5.5787517037044072</v>
      </c>
    </row>
    <row r="44" spans="2:9" ht="14.1" customHeight="1">
      <c r="B44" s="210" t="str">
        <f>IF(Indice_index!$Z$1=1,"Outros subsetores das Administrações Públicas","Other General Government subsectors")</f>
        <v>Outros subsetores das Administrações Públicas</v>
      </c>
      <c r="C44" s="5">
        <v>15334.311784329999</v>
      </c>
      <c r="D44" s="5">
        <v>16226.070009999999</v>
      </c>
      <c r="E44" s="5">
        <v>10891.017744860001</v>
      </c>
      <c r="F44" s="5">
        <v>12143.665877290001</v>
      </c>
      <c r="G44" s="5">
        <f t="shared" si="7"/>
        <v>74.840462723296241</v>
      </c>
      <c r="H44" s="5">
        <f t="shared" si="5"/>
        <v>11.501662762611746</v>
      </c>
      <c r="I44" s="5">
        <f t="shared" si="6"/>
        <v>2.8128968489228434</v>
      </c>
    </row>
    <row r="45" spans="2:9" ht="14.1" customHeight="1">
      <c r="B45" s="210" t="str">
        <f>IF(Indice_index!$Z$1=1,"União Europeia","European Union")</f>
        <v>União Europeia</v>
      </c>
      <c r="C45" s="5">
        <v>2555.140187500001</v>
      </c>
      <c r="D45" s="5">
        <v>2475.072357</v>
      </c>
      <c r="E45" s="5">
        <v>1898.0678114500001</v>
      </c>
      <c r="F45" s="5">
        <v>1766.75161716</v>
      </c>
      <c r="G45" s="5">
        <f t="shared" si="7"/>
        <v>71.381816865404886</v>
      </c>
      <c r="H45" s="5">
        <f t="shared" si="5"/>
        <v>-6.9184142683333896</v>
      </c>
      <c r="I45" s="5">
        <f t="shared" si="6"/>
        <v>-0.29487842560729849</v>
      </c>
    </row>
    <row r="46" spans="2:9" ht="14.1" customHeight="1">
      <c r="B46" s="210" t="str">
        <f>IF(Indice_index!$Z$1=1,"Outras transferências","Other transfers")</f>
        <v>Outras transferências</v>
      </c>
      <c r="C46" s="5">
        <v>856.6055546599996</v>
      </c>
      <c r="D46" s="5">
        <v>871.09988800000019</v>
      </c>
      <c r="E46" s="5">
        <v>488.4559987699995</v>
      </c>
      <c r="F46" s="5">
        <v>1109.7162900499993</v>
      </c>
      <c r="G46" s="5">
        <f t="shared" si="7"/>
        <v>127.39254192740741</v>
      </c>
      <c r="H46" s="5">
        <f t="shared" si="5"/>
        <v>127.18858870490281</v>
      </c>
      <c r="I46" s="5">
        <f t="shared" si="6"/>
        <v>1.3950774127706245</v>
      </c>
    </row>
    <row r="47" spans="2:9" ht="14.1" customHeight="1">
      <c r="B47" s="150" t="str">
        <f>IF(Indice_index!$Z$1=1,"Subsídios","Subsidies")</f>
        <v>Subsídios</v>
      </c>
      <c r="C47" s="5">
        <v>107.38766101000002</v>
      </c>
      <c r="D47" s="5">
        <v>474.894769</v>
      </c>
      <c r="E47" s="5">
        <v>51.556262789999998</v>
      </c>
      <c r="F47" s="5">
        <v>170.52653848999998</v>
      </c>
      <c r="G47" s="5">
        <f t="shared" si="7"/>
        <v>35.908278974957497</v>
      </c>
      <c r="H47" s="5">
        <f t="shared" si="5"/>
        <v>230.75814510565297</v>
      </c>
      <c r="I47" s="5">
        <f t="shared" si="6"/>
        <v>0.26715492161619664</v>
      </c>
    </row>
    <row r="48" spans="2:9" ht="14.1" customHeight="1">
      <c r="B48" s="150" t="str">
        <f>IF(Indice_index!$Z$1=1,"Outras despesas correntes","Other current expenditure")</f>
        <v>Outras despesas correntes</v>
      </c>
      <c r="C48" s="5">
        <v>70.070624770000009</v>
      </c>
      <c r="D48" s="5">
        <v>1100.6810800000001</v>
      </c>
      <c r="E48" s="5">
        <v>45.377771919999986</v>
      </c>
      <c r="F48" s="5">
        <v>85.334151759999997</v>
      </c>
      <c r="G48" s="5">
        <f t="shared" si="7"/>
        <v>7.7528498772778027</v>
      </c>
      <c r="H48" s="5">
        <f t="shared" si="5"/>
        <v>88.052758320620555</v>
      </c>
      <c r="I48" s="5">
        <f t="shared" si="6"/>
        <v>8.9724458159107928E-2</v>
      </c>
    </row>
    <row r="49" spans="2:9" ht="14.1" customHeight="1">
      <c r="B49" s="150" t="str">
        <f>IF(Indice_index!$Z$1=1,"Diferenças de consolidação","Consolidation differences")</f>
        <v>Diferenças de consolidação</v>
      </c>
      <c r="C49" s="5">
        <v>177.82315961000006</v>
      </c>
      <c r="D49" s="5">
        <v>25.000152999999955</v>
      </c>
      <c r="E49" s="5">
        <v>2.9417095300000011</v>
      </c>
      <c r="F49" s="5">
        <v>8.7856070000000466E-2</v>
      </c>
      <c r="G49" s="5"/>
      <c r="H49" s="5"/>
      <c r="I49" s="5"/>
    </row>
    <row r="50" spans="2:9" ht="14.1" customHeight="1">
      <c r="B50" s="212" t="str">
        <f>IF(Indice_index!$Z$1=1,"Despesa de capital","Capital expenditure")</f>
        <v>Despesa de capital</v>
      </c>
      <c r="C50" s="161">
        <f>+C51+C52+C57+C58</f>
        <v>3026.8576790100001</v>
      </c>
      <c r="D50" s="161">
        <f>+D51+D52+D57+D58</f>
        <v>4257.0359870000002</v>
      </c>
      <c r="E50" s="161">
        <f>+E51+E52+E57+E58</f>
        <v>1769.8395496900005</v>
      </c>
      <c r="F50" s="161">
        <f>+F51+F52+F57+F58</f>
        <v>2676.0563084700002</v>
      </c>
      <c r="G50" s="161">
        <f t="shared" si="7"/>
        <v>62.861961154241008</v>
      </c>
      <c r="H50" s="161">
        <f t="shared" ref="H50:H57" si="8">IF(IFERROR((F50-E50)/E50*100,"")&gt;500,"-",IFERROR((F50-E50)/E50*100,""))</f>
        <v>51.203328512956439</v>
      </c>
      <c r="I50" s="161">
        <f t="shared" ref="I50:I57" si="9">IFERROR((F50-E50)/$E$59*100,"-")</f>
        <v>2.0349643281456617</v>
      </c>
    </row>
    <row r="51" spans="2:9" ht="14.1" customHeight="1">
      <c r="B51" s="150" t="str">
        <f>IF(Indice_index!$Z$1=1,"Investimento","Investment")</f>
        <v>Investimento</v>
      </c>
      <c r="C51" s="5">
        <v>702.83410383</v>
      </c>
      <c r="D51" s="5">
        <v>1422.765705</v>
      </c>
      <c r="E51" s="5">
        <v>218.64120878000006</v>
      </c>
      <c r="F51" s="5">
        <v>376.7704616900001</v>
      </c>
      <c r="G51" s="5">
        <f t="shared" si="7"/>
        <v>26.481553523951444</v>
      </c>
      <c r="H51" s="5">
        <f t="shared" si="8"/>
        <v>72.323627276096886</v>
      </c>
      <c r="I51" s="5">
        <f t="shared" si="9"/>
        <v>0.35508876412899504</v>
      </c>
    </row>
    <row r="52" spans="2:9" ht="14.1" customHeight="1">
      <c r="B52" s="150" t="str">
        <f>IF(Indice_index!$Z$1=1,"Transferências de capital","Capital transfers")</f>
        <v>Transferências de capital</v>
      </c>
      <c r="C52" s="5">
        <f>SUM(C53:C56)</f>
        <v>2317.5403984099999</v>
      </c>
      <c r="D52" s="5">
        <f>SUM(D53:D56)</f>
        <v>2830.83313</v>
      </c>
      <c r="E52" s="5">
        <f>SUM(E53:E56)</f>
        <v>1548.4677492100004</v>
      </c>
      <c r="F52" s="5">
        <f>SUM(F53:F56)</f>
        <v>2296.0268791500002</v>
      </c>
      <c r="G52" s="5">
        <f t="shared" si="7"/>
        <v>81.107814332736751</v>
      </c>
      <c r="H52" s="5">
        <f t="shared" si="8"/>
        <v>48.277345803384705</v>
      </c>
      <c r="I52" s="5">
        <f t="shared" si="9"/>
        <v>1.6786890640330998</v>
      </c>
    </row>
    <row r="53" spans="2:9" ht="14.1" customHeight="1">
      <c r="B53" s="210" t="str">
        <f>IF(Indice_index!$Z$1=1,"Administração Central","Central Administration")</f>
        <v>Administração Central</v>
      </c>
      <c r="C53" s="5">
        <v>1642.5906199299998</v>
      </c>
      <c r="D53" s="5">
        <v>1939.7267220000001</v>
      </c>
      <c r="E53" s="5">
        <v>1077.9838546300002</v>
      </c>
      <c r="F53" s="5">
        <v>1677.0692100599999</v>
      </c>
      <c r="G53" s="5">
        <f t="shared" si="7"/>
        <v>86.459045546932458</v>
      </c>
      <c r="H53" s="5">
        <f t="shared" si="8"/>
        <v>55.574613001567229</v>
      </c>
      <c r="I53" s="5">
        <f t="shared" si="9"/>
        <v>1.3452822583592021</v>
      </c>
    </row>
    <row r="54" spans="2:9" ht="14.1" customHeight="1">
      <c r="B54" s="210" t="str">
        <f>IF(Indice_index!$Z$1=1,"Outros subsetores das Administrações Públicas","Other General Government subsectors")</f>
        <v>Outros subsetores das Administrações Públicas</v>
      </c>
      <c r="C54" s="5">
        <v>629.41242504999991</v>
      </c>
      <c r="D54" s="5">
        <v>850.57823399999995</v>
      </c>
      <c r="E54" s="5">
        <v>434.49212032000003</v>
      </c>
      <c r="F54" s="5">
        <v>586.54443504999995</v>
      </c>
      <c r="G54" s="5">
        <f t="shared" si="7"/>
        <v>68.958317013552914</v>
      </c>
      <c r="H54" s="5">
        <f t="shared" si="8"/>
        <v>34.995413637884752</v>
      </c>
      <c r="I54" s="5">
        <f t="shared" si="9"/>
        <v>0.34144263333210384</v>
      </c>
    </row>
    <row r="55" spans="2:9" ht="14.1" customHeight="1">
      <c r="B55" s="210" t="str">
        <f>IF(Indice_index!$Z$1=1,"União Europeia","European Union")</f>
        <v>União Europeia</v>
      </c>
      <c r="C55" s="5">
        <v>1.6577820000000001</v>
      </c>
      <c r="D55" s="5">
        <v>0</v>
      </c>
      <c r="E55" s="5">
        <v>1.6577820000000001</v>
      </c>
      <c r="F55" s="5">
        <v>0</v>
      </c>
      <c r="G55" s="5" t="str">
        <f t="shared" si="7"/>
        <v>-</v>
      </c>
      <c r="H55" s="5">
        <f t="shared" si="8"/>
        <v>-100</v>
      </c>
      <c r="I55" s="5">
        <f t="shared" si="9"/>
        <v>-3.7226493564118204E-3</v>
      </c>
    </row>
    <row r="56" spans="2:9" ht="14.1" customHeight="1">
      <c r="B56" s="210" t="str">
        <f>IF(Indice_index!$Z$1=1,"Outras transferências","Other transfers")</f>
        <v>Outras transferências</v>
      </c>
      <c r="C56" s="5">
        <v>43.879571430000006</v>
      </c>
      <c r="D56" s="5">
        <v>40.528174</v>
      </c>
      <c r="E56" s="5">
        <v>34.333992260000002</v>
      </c>
      <c r="F56" s="5">
        <v>32.413234040000006</v>
      </c>
      <c r="G56" s="5">
        <f t="shared" si="7"/>
        <v>79.977040268332857</v>
      </c>
      <c r="H56" s="5">
        <f t="shared" si="8"/>
        <v>-5.5943340507993575</v>
      </c>
      <c r="I56" s="5">
        <f t="shared" si="9"/>
        <v>-4.3131783017946266E-3</v>
      </c>
    </row>
    <row r="57" spans="2:9" ht="14.1" customHeight="1">
      <c r="B57" s="150" t="str">
        <f>IF(Indice_index!$Z$1=1,"Outras despesas de capital","Other capital expenditure")</f>
        <v>Outras despesas de capital</v>
      </c>
      <c r="C57" s="5">
        <v>1.52614033</v>
      </c>
      <c r="D57" s="5">
        <v>3.4371520000000002</v>
      </c>
      <c r="E57" s="5">
        <v>0.92638989999999999</v>
      </c>
      <c r="F57" s="5">
        <v>1.3809637100000001</v>
      </c>
      <c r="G57" s="5">
        <f t="shared" si="7"/>
        <v>40.177557175242754</v>
      </c>
      <c r="H57" s="5">
        <f t="shared" si="8"/>
        <v>49.069383204631237</v>
      </c>
      <c r="I57" s="5">
        <f t="shared" si="9"/>
        <v>1.0207728767945177E-3</v>
      </c>
    </row>
    <row r="58" spans="2:9" ht="14.1" customHeight="1">
      <c r="B58" s="150" t="str">
        <f>IF(Indice_index!$Z$1=1,"Diferenças de consolidação","Consolidation differences")</f>
        <v>Diferenças de consolidação</v>
      </c>
      <c r="C58" s="5">
        <v>4.9570364400000013</v>
      </c>
      <c r="D58" s="5">
        <v>0</v>
      </c>
      <c r="E58" s="5">
        <v>1.8042018000000009</v>
      </c>
      <c r="F58" s="5">
        <v>1.8780039200000018</v>
      </c>
      <c r="G58" s="5"/>
      <c r="H58" s="5"/>
      <c r="I58" s="5"/>
    </row>
    <row r="59" spans="2:9" ht="14.1" customHeight="1">
      <c r="B59" s="32" t="str">
        <f>IF(Indice_index!$Z$1=1,"Despesa efetiva","Effective Expenditure")</f>
        <v>Despesa efetiva</v>
      </c>
      <c r="C59" s="19">
        <f>+C35+C50</f>
        <v>64341.089365829997</v>
      </c>
      <c r="D59" s="19">
        <f>+D35+D50</f>
        <v>71058.45668399999</v>
      </c>
      <c r="E59" s="19">
        <f>+E35+E50</f>
        <v>44532.316672389999</v>
      </c>
      <c r="F59" s="19">
        <f>+F35+F50</f>
        <v>51080.559117339988</v>
      </c>
      <c r="G59" s="19">
        <f>IFERROR(IF(F59/D59*100&lt;-500,"-",IF(F59/D59*100&gt;500,"-",F59/D59*100)),"-")</f>
        <v>71.885263909540612</v>
      </c>
      <c r="H59" s="19">
        <f>IFERROR((F59-E59)/E59*100,"-")</f>
        <v>14.704472918225459</v>
      </c>
      <c r="I59" s="19"/>
    </row>
    <row r="60" spans="2:9" ht="14.1" customHeight="1">
      <c r="B60" s="32" t="str">
        <f>IF(Indice_index!$Z$1=1,"Saldo global","Overall Balance")</f>
        <v>Saldo global</v>
      </c>
      <c r="C60" s="19">
        <f>+C34-C59</f>
        <v>-188.83173302999785</v>
      </c>
      <c r="D60" s="19">
        <f>+D34-D59</f>
        <v>-5417.4343499999959</v>
      </c>
      <c r="E60" s="19">
        <f>+E34-E59</f>
        <v>1704.1056441899927</v>
      </c>
      <c r="F60" s="19">
        <f>+F34-F59</f>
        <v>-1488.5635850499821</v>
      </c>
      <c r="G60" s="19"/>
      <c r="H60" s="19"/>
      <c r="I60" s="19"/>
    </row>
    <row r="61" spans="2:9" ht="14.1" customHeight="1">
      <c r="B61" s="150" t="str">
        <f>IF(Indice_index!$Z$1=1,"Despesa primária","Primary Expenditure")</f>
        <v>Despesa primária</v>
      </c>
      <c r="C61" s="5">
        <f>+C59-C41</f>
        <v>57963.965325009995</v>
      </c>
      <c r="D61" s="5">
        <f>+D59-D41</f>
        <v>63906.413748999992</v>
      </c>
      <c r="E61" s="5">
        <f>+E59-E41</f>
        <v>40170.654878950001</v>
      </c>
      <c r="F61" s="5">
        <f>+F59-F41</f>
        <v>46094.384708349986</v>
      </c>
      <c r="G61" s="5">
        <f>IFERROR(IF(F61/D61*100&lt;-500,"-",IF(F61/D61*100&gt;500,"-",F61/D61*100)),"-")</f>
        <v>72.127947735247886</v>
      </c>
      <c r="H61" s="5">
        <f>IF(IFERROR((F61-E61)/E61*100,"")&gt;500,"-",IFERROR((F61-E61)/E61*100,""))</f>
        <v>14.746410899325676</v>
      </c>
      <c r="I61" s="5"/>
    </row>
    <row r="62" spans="2:9" ht="14.1" customHeight="1">
      <c r="B62" s="150" t="str">
        <f>IF(Indice_index!$Z$1=1,"Saldo corrente","Current balance")</f>
        <v>Saldo corrente</v>
      </c>
      <c r="C62" s="5">
        <f>+C12-C35</f>
        <v>2729.4106962899968</v>
      </c>
      <c r="D62" s="5">
        <f>+D12-D35</f>
        <v>-1824.5238089999984</v>
      </c>
      <c r="E62" s="5">
        <f>+E12-E35</f>
        <v>3397.2328220299896</v>
      </c>
      <c r="F62" s="5">
        <f>+F12-F35</f>
        <v>922.94714226001815</v>
      </c>
      <c r="G62" s="5"/>
      <c r="H62" s="5"/>
      <c r="I62" s="5"/>
    </row>
    <row r="63" spans="2:9" ht="14.1" customHeight="1">
      <c r="B63" s="150" t="str">
        <f>IF(Indice_index!$Z$1=1,"Saldo de capital","Capital balance")</f>
        <v>Saldo de capital</v>
      </c>
      <c r="C63" s="5">
        <f>+C25-C50</f>
        <v>-2918.2424293200002</v>
      </c>
      <c r="D63" s="5">
        <f>+D25-D50</f>
        <v>-3592.9105410000002</v>
      </c>
      <c r="E63" s="5">
        <f>+E25-E50</f>
        <v>-1693.1271778400005</v>
      </c>
      <c r="F63" s="5">
        <f>+F25-F50</f>
        <v>-2411.5107273100002</v>
      </c>
      <c r="G63" s="5"/>
      <c r="H63" s="5"/>
      <c r="I63" s="5"/>
    </row>
    <row r="64" spans="2:9" ht="14.1" customHeight="1">
      <c r="B64" s="150" t="str">
        <f>IF(Indice_index!$Z$1=1,"Saldo primário","Primary balance")</f>
        <v>Saldo primário</v>
      </c>
      <c r="C64" s="5">
        <f>+C60+C41</f>
        <v>6188.2923077900023</v>
      </c>
      <c r="D64" s="5">
        <f>+D60+D41</f>
        <v>1734.6085850000045</v>
      </c>
      <c r="E64" s="5">
        <f>+E60+E41</f>
        <v>6065.7674376299919</v>
      </c>
      <c r="F64" s="5">
        <f>+F60+F41</f>
        <v>3497.6108239400173</v>
      </c>
      <c r="G64" s="5"/>
      <c r="H64" s="5"/>
      <c r="I64" s="5"/>
    </row>
    <row r="65" spans="2:9" ht="14.1" customHeight="1">
      <c r="B65" s="150" t="str">
        <f>IF(Indice_index!$Z$1=1,"Ativos financeiros líquidos de reembolsos","Financial assets net of reimbursements")</f>
        <v>Ativos financeiros líquidos de reembolsos</v>
      </c>
      <c r="C65" s="5">
        <v>3266.0497233900005</v>
      </c>
      <c r="D65" s="5">
        <v>7543.7587659999999</v>
      </c>
      <c r="E65" s="5">
        <v>1352.7514021500001</v>
      </c>
      <c r="F65" s="5">
        <v>2229.0800976199998</v>
      </c>
      <c r="G65" s="5"/>
      <c r="H65" s="5"/>
      <c r="I65" s="5"/>
    </row>
    <row r="66" spans="2:9" ht="14.1" customHeight="1">
      <c r="B66" s="293" t="str">
        <f>IF(Indice_index!$Z$1=1,"dos quais Receitas de:","of which revenue from:")</f>
        <v>dos quais Receitas de:</v>
      </c>
      <c r="C66" s="5"/>
      <c r="D66" s="5"/>
      <c r="E66" s="5"/>
      <c r="F66" s="5"/>
      <c r="G66" s="5"/>
      <c r="H66" s="5"/>
      <c r="I66" s="5"/>
    </row>
    <row r="67" spans="2:9" ht="14.1" customHeight="1">
      <c r="B67" s="210" t="str">
        <f>IF(Indice_index!$Z$1=1,"Alienação de partes de Capital","Disposal of Capital Shares")</f>
        <v>Alienação de partes de Capital</v>
      </c>
      <c r="C67" s="5">
        <v>1.30435E-2</v>
      </c>
      <c r="D67" s="5">
        <f>+'6 - R_Est'!D65</f>
        <v>0</v>
      </c>
      <c r="E67" s="5">
        <v>1.1361040000000001E-2</v>
      </c>
      <c r="F67" s="5">
        <v>0</v>
      </c>
      <c r="G67" s="5"/>
      <c r="H67" s="5"/>
      <c r="I67" s="5"/>
    </row>
    <row r="68" spans="2:9" ht="14.1" customHeight="1">
      <c r="B68" s="210" t="str">
        <f>IF(Indice_index!$Z$1=1,"Outros Ativos","Other Assets")</f>
        <v>Outros Ativos</v>
      </c>
      <c r="C68" s="5">
        <v>432.89374885000001</v>
      </c>
      <c r="D68" s="5">
        <v>2067.3159210000003</v>
      </c>
      <c r="E68" s="5">
        <v>139.71909171999999</v>
      </c>
      <c r="F68" s="5">
        <v>254.41774728000001</v>
      </c>
      <c r="G68" s="5"/>
      <c r="H68" s="5"/>
      <c r="I68" s="5"/>
    </row>
    <row r="69" spans="2:9" ht="14.1" customHeight="1">
      <c r="B69" s="211" t="str">
        <f>IF(Indice_index!$Z$1=1,"Passivos financeiros líquidos de amortizações","Financial liabilities net of amortizations")</f>
        <v>Passivos financeiros líquidos de amortizações</v>
      </c>
      <c r="C69" s="20">
        <v>3455.5114310200042</v>
      </c>
      <c r="D69" s="20">
        <v>12961.193116000009</v>
      </c>
      <c r="E69" s="20">
        <v>-776.38733401999662</v>
      </c>
      <c r="F69" s="20">
        <v>-5880.1343129099887</v>
      </c>
      <c r="G69" s="20"/>
      <c r="H69" s="20"/>
      <c r="I69" s="20"/>
    </row>
    <row r="70" spans="2:9" ht="15">
      <c r="B70" s="10" t="str">
        <f>IF(Indice_index!$Z$1=1,"Nota:","Note:")</f>
        <v>Nota:</v>
      </c>
      <c r="C70" s="10"/>
      <c r="D70" s="10"/>
      <c r="E70" s="10"/>
      <c r="F70" s="10"/>
      <c r="G70" s="10"/>
      <c r="H70" s="10"/>
      <c r="I70" s="10"/>
    </row>
    <row r="71" spans="2:9" ht="15">
      <c r="B71" s="379" t="str">
        <f>+'3 - Conta AC + SS'!$B$61</f>
        <v>Os dados de 2023 são mensalmente revistos e atualizados face ao publicado nas Sínteses de Execução Orçamental de 2023.</v>
      </c>
      <c r="C71" s="379"/>
      <c r="D71" s="379"/>
      <c r="E71" s="379"/>
      <c r="F71" s="379"/>
      <c r="G71" s="379"/>
      <c r="H71" s="379"/>
      <c r="I71" s="379"/>
    </row>
    <row r="72" spans="2:9" ht="24" customHeight="1">
      <c r="B72" s="381" t="str">
        <f>IF(Indice_index!$Z$1=1,"O período de setembro de 2023 encontra-se ajustado de pagamentos efetuados pelo Estado-Maior-General das Forças Armadas (7,9 milhões de euros), os quais, por motivos técnicos, não chegaram a entrar nos sistemas orçamentais centrais ainda nesse período.","The period from September 2023 is adjusted for payments made by the General Staff of the Armed Forces (7.9 million euros), which, for technical reasons, did not enter the central budget systems during that period.")</f>
        <v>O período de setembro de 2023 encontra-se ajustado de pagamentos efetuados pelo Estado-Maior-General das Forças Armadas (7,9 milhões de euros), os quais, por motivos técnicos, não chegaram a entrar nos sistemas orçamentais centrais ainda nesse período.</v>
      </c>
      <c r="C72" s="381" t="str">
        <f>IF(Indice_index!$Z$1=1,"Fonte: Direção-Geral do Orçamento.","Source: Budget General Directorate.")</f>
        <v>Fonte: Direção-Geral do Orçamento.</v>
      </c>
      <c r="D72" s="381" t="str">
        <f>IF(Indice_index!$Z$1=1,"Fonte: Direção-Geral do Orçamento.","Source: Budget General Directorate.")</f>
        <v>Fonte: Direção-Geral do Orçamento.</v>
      </c>
      <c r="E72" s="381" t="str">
        <f>IF(Indice_index!$Z$1=1,"Fonte: Direção-Geral do Orçamento.","Source: Budget General Directorate.")</f>
        <v>Fonte: Direção-Geral do Orçamento.</v>
      </c>
      <c r="F72" s="381" t="str">
        <f>IF(Indice_index!$Z$1=1,"Fonte: Direção-Geral do Orçamento.","Source: Budget General Directorate.")</f>
        <v>Fonte: Direção-Geral do Orçamento.</v>
      </c>
      <c r="G72" s="381" t="str">
        <f>IF(Indice_index!$Z$1=1,"Fonte: Direção-Geral do Orçamento.","Source: Budget General Directorate.")</f>
        <v>Fonte: Direção-Geral do Orçamento.</v>
      </c>
      <c r="H72" s="381" t="str">
        <f>IF(Indice_index!$Z$1=1,"Fonte: Direção-Geral do Orçamento.","Source: Budget General Directorate.")</f>
        <v>Fonte: Direção-Geral do Orçamento.</v>
      </c>
      <c r="I72" s="381" t="str">
        <f>IF(Indice_index!$Z$1=1,"Fonte: Direção-Geral do Orçamento.","Source: Budget General Directorate.")</f>
        <v>Fonte: Direção-Geral do Orçamento.</v>
      </c>
    </row>
    <row r="73" spans="2:9" ht="32.25" hidden="1" customHeight="1">
      <c r="B73" s="381"/>
      <c r="C73" s="381"/>
      <c r="D73" s="381"/>
      <c r="E73" s="381"/>
      <c r="F73" s="381"/>
      <c r="G73" s="381"/>
      <c r="H73" s="381"/>
      <c r="I73" s="381"/>
    </row>
    <row r="74" spans="2:9" ht="15">
      <c r="B74" s="33" t="str">
        <f>IF(Indice_index!$Z$1=1,"Fonte: Direção-Geral do Orçamento.","Source: Budget General Directorate.")</f>
        <v>Fonte: Direção-Geral do Orçamento.</v>
      </c>
      <c r="E74" s="54"/>
    </row>
    <row r="75" spans="2:9" ht="14.85" customHeight="1"/>
  </sheetData>
  <mergeCells count="6">
    <mergeCell ref="B73:I73"/>
    <mergeCell ref="B10:B11"/>
    <mergeCell ref="E10:F10"/>
    <mergeCell ref="H10:I10"/>
    <mergeCell ref="B71:I71"/>
    <mergeCell ref="B72:I72"/>
  </mergeCells>
  <conditionalFormatting sqref="C12:I33 C61:I69">
    <cfRule type="cellIs" dxfId="85" priority="3" operator="equal">
      <formula>0</formula>
    </cfRule>
  </conditionalFormatting>
  <conditionalFormatting sqref="C35:I58">
    <cfRule type="cellIs" dxfId="84" priority="1"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E36:F36 E42:F42 E52:F5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9.140625" style="59" customWidth="1"/>
    <col min="2" max="2" width="44.5703125" style="59" bestFit="1" customWidth="1"/>
    <col min="3" max="9" width="10.42578125" style="59" customWidth="1"/>
    <col min="10" max="10" width="8.5703125" style="59" customWidth="1"/>
    <col min="11" max="16384" width="8.5703125" hidden="1"/>
  </cols>
  <sheetData>
    <row r="1" spans="2:9"/>
    <row r="2" spans="2:9"/>
    <row r="3" spans="2:9"/>
    <row r="4" spans="2:9"/>
    <row r="5" spans="2:9"/>
    <row r="6" spans="2:9"/>
    <row r="7" spans="2:9" ht="50.1" customHeight="1">
      <c r="B7" s="13"/>
      <c r="C7" s="14"/>
      <c r="D7" s="12"/>
      <c r="E7" s="12"/>
      <c r="F7" s="12"/>
      <c r="G7" s="12"/>
      <c r="H7" s="12"/>
      <c r="I7" s="12"/>
    </row>
    <row r="8" spans="2:9" ht="15.75">
      <c r="B8" s="1" t="str">
        <f>IF(Indice_index!$Z$1=1,"Quadro 6 - Receita do Estado","6 - State Revenue")</f>
        <v>Quadro 6 - Receita do Estado</v>
      </c>
      <c r="C8" s="2"/>
      <c r="D8" s="2"/>
      <c r="E8" s="2"/>
      <c r="F8" s="2"/>
      <c r="G8" s="2"/>
      <c r="H8" s="2"/>
      <c r="I8" s="2"/>
    </row>
    <row r="9" spans="2:9">
      <c r="B9" s="3" t="str">
        <f>+'3 - Conta AC + SS'!B9</f>
        <v>Período: janeiro a setembro</v>
      </c>
      <c r="C9" s="3"/>
      <c r="D9" s="3"/>
      <c r="E9" s="3"/>
      <c r="F9" s="3"/>
      <c r="G9" s="3"/>
      <c r="H9" s="3"/>
      <c r="I9" s="3" t="str">
        <f>IF(Indice_index!$Z$1=1,"€ Milhões","€ Millions")</f>
        <v>€ Milhões</v>
      </c>
    </row>
    <row r="10" spans="2:9" ht="26.85" customHeight="1">
      <c r="B10" s="377"/>
      <c r="C10" s="24" t="str">
        <f>IF(Indice_index!$Z$1=1,"CGE","Final execution")</f>
        <v>CGE</v>
      </c>
      <c r="D10" s="24" t="str">
        <f>IF(Indice_index!$Z$1=1,"Orçamento Inicial","Budget")</f>
        <v>Orçamento Inicial</v>
      </c>
      <c r="E10" s="378" t="str">
        <f>IF(Indice_index!$Z$1=1,"Execução Acumulada","Accumulated Execution")</f>
        <v>Execução Acumulada</v>
      </c>
      <c r="F10" s="375"/>
      <c r="G10" s="24" t="str">
        <f>IF(Indice_index!$Z$1=1,"Grau de Execução (%)","Execution Rate (%)")</f>
        <v>Grau de Execução (%)</v>
      </c>
      <c r="H10" s="378" t="str">
        <f>IF(Indice_index!$Z$1=1,"Variação Homóloga Acumulada","YOY Change Rate")</f>
        <v>Variação Homóloga Acumulada</v>
      </c>
      <c r="I10" s="375"/>
    </row>
    <row r="11" spans="2:9" ht="26.85" customHeight="1">
      <c r="B11" s="376"/>
      <c r="C11" s="24">
        <v>2023</v>
      </c>
      <c r="D11" s="24">
        <v>2024</v>
      </c>
      <c r="E11" s="24">
        <v>2023</v>
      </c>
      <c r="F11" s="24">
        <v>2024</v>
      </c>
      <c r="G11" s="24">
        <v>2024</v>
      </c>
      <c r="H11" s="24" t="str">
        <f>IF(Indice_index!$Z$1=1,"Relativa (%)","Relative change (%)")</f>
        <v>Relativa (%)</v>
      </c>
      <c r="I11" s="24" t="str">
        <f>IF(Indice_index!$Z$1=1,"Contributo VHA  (pp)","YOY Change Rate Contrib. (pp)")</f>
        <v>Contributo VHA  (pp)</v>
      </c>
    </row>
    <row r="12" spans="2:9" ht="14.1" customHeight="1">
      <c r="B12" s="212" t="str">
        <f>IF(Indice_index!$Z$1=1,"Receita fiscal","Tax revenue")</f>
        <v>Receita fiscal</v>
      </c>
      <c r="C12" s="161">
        <f>SUM(C13,C17)</f>
        <v>58917.759150190002</v>
      </c>
      <c r="D12" s="161">
        <f>SUM(D13,D17)</f>
        <v>60090.278767999996</v>
      </c>
      <c r="E12" s="161">
        <f>SUM(E13,E17)</f>
        <v>43082.046781169993</v>
      </c>
      <c r="F12" s="161">
        <f>SUM(F13,F17)</f>
        <v>45372.432163210004</v>
      </c>
      <c r="G12" s="161">
        <f>IFERROR(IF(F12/D12*100&lt;-500,"-",IF(F12/D12*100&gt;500,"-",F12/D12*100)),"-")</f>
        <v>75.50710879273251</v>
      </c>
      <c r="H12" s="161">
        <f t="shared" ref="H12:H25" si="0">IF(IFERROR((F12-E12)/E12*100,"")&gt;500,"-",IFERROR((F12-E12)/E12*100,""))</f>
        <v>5.3163337240538837</v>
      </c>
      <c r="I12" s="161">
        <f t="shared" ref="I12:I51" si="1">IFERROR((F12-E12)/$E$62*100,"-")</f>
        <v>4.9536388571714776</v>
      </c>
    </row>
    <row r="13" spans="2:9" ht="14.1" customHeight="1">
      <c r="B13" s="150" t="str">
        <f>IF(Indice_index!$Z$1=1,"Impostos diretos","Direct taxes")</f>
        <v>Impostos diretos</v>
      </c>
      <c r="C13" s="5">
        <f>SUM(C14:C16)</f>
        <v>27128.911549260003</v>
      </c>
      <c r="D13" s="5">
        <f>SUM(D14:D16)</f>
        <v>26748.463473999996</v>
      </c>
      <c r="E13" s="5">
        <f>SUM(E14:E16)</f>
        <v>19844.960008369999</v>
      </c>
      <c r="F13" s="5">
        <f>SUM(F14:F16)</f>
        <v>21407.024198309999</v>
      </c>
      <c r="G13" s="5">
        <f t="shared" ref="G13:G61" si="2">IFERROR(IF(F13/D13*100&lt;-500,"-",IF(F13/D13*100&gt;500,"-",F13/D13*100)),"-")</f>
        <v>80.030855675571885</v>
      </c>
      <c r="H13" s="5">
        <f t="shared" si="0"/>
        <v>7.8713395707583622</v>
      </c>
      <c r="I13" s="5">
        <f t="shared" si="1"/>
        <v>3.3784278966148653</v>
      </c>
    </row>
    <row r="14" spans="2:9" ht="14.1" customHeight="1">
      <c r="B14" s="210" t="str">
        <f>IF(Indice_index!$Z$1=1,"Imposto sobre o Rendimento Pessoas Singulares (IRS)","Personal income tax (IRS)")</f>
        <v>Imposto sobre o Rendimento Pessoas Singulares (IRS)</v>
      </c>
      <c r="C14" s="5">
        <v>17929.332101579999</v>
      </c>
      <c r="D14" s="5">
        <v>18071.336932999999</v>
      </c>
      <c r="E14" s="5">
        <v>13102.870858099999</v>
      </c>
      <c r="F14" s="5">
        <v>13245.39043738</v>
      </c>
      <c r="G14" s="5">
        <f>IFERROR(IF(F14/D14*100&lt;-500,"-",IF(F14/D14*100&gt;500,"-",F14/D14*100)),"-")</f>
        <v>73.295022313444022</v>
      </c>
      <c r="H14" s="5">
        <f t="shared" si="0"/>
        <v>1.0876973513930117</v>
      </c>
      <c r="I14" s="5">
        <f t="shared" si="1"/>
        <v>0.30824093244968515</v>
      </c>
    </row>
    <row r="15" spans="2:9" ht="14.1" customHeight="1">
      <c r="B15" s="210" t="str">
        <f>IF(Indice_index!$Z$1=1,"Imposto sobre o Rendimento Pessoas Coletivas (IRC)","Corporate income tax (IRC)")</f>
        <v>Imposto sobre o Rendimento Pessoas Coletivas (IRC)</v>
      </c>
      <c r="C15" s="5">
        <v>8685.3476082500001</v>
      </c>
      <c r="D15" s="5">
        <v>8147.7365410000002</v>
      </c>
      <c r="E15" s="5">
        <v>6315.6505160200004</v>
      </c>
      <c r="F15" s="5">
        <v>7797.2785446199996</v>
      </c>
      <c r="G15" s="5">
        <f t="shared" si="2"/>
        <v>95.698707308263209</v>
      </c>
      <c r="H15" s="5">
        <f t="shared" si="0"/>
        <v>23.459626602861682</v>
      </c>
      <c r="I15" s="5">
        <f t="shared" si="1"/>
        <v>3.2044608003087207</v>
      </c>
    </row>
    <row r="16" spans="2:9" ht="14.1" customHeight="1">
      <c r="B16" s="210" t="str">
        <f>IF(Indice_index!$Z$1=1,"Outros","Others")</f>
        <v>Outros</v>
      </c>
      <c r="C16" s="5">
        <v>514.23183943000004</v>
      </c>
      <c r="D16" s="5">
        <v>529.39</v>
      </c>
      <c r="E16" s="5">
        <v>426.43863425000001</v>
      </c>
      <c r="F16" s="5">
        <v>364.35521631</v>
      </c>
      <c r="G16" s="5">
        <f t="shared" si="2"/>
        <v>68.825481461682315</v>
      </c>
      <c r="H16" s="5">
        <f t="shared" si="0"/>
        <v>-14.558581928016295</v>
      </c>
      <c r="I16" s="5">
        <f t="shared" si="1"/>
        <v>-0.13427383614354049</v>
      </c>
    </row>
    <row r="17" spans="2:9" ht="14.1" customHeight="1">
      <c r="B17" s="150" t="str">
        <f>IF(Indice_index!$Z$1=1,"Impostos indiretos","Indirect taxes")</f>
        <v>Impostos indiretos</v>
      </c>
      <c r="C17" s="5">
        <f>SUM(C18:C25)</f>
        <v>31788.847600930003</v>
      </c>
      <c r="D17" s="5">
        <f>SUM(D18:D25)</f>
        <v>33341.815294</v>
      </c>
      <c r="E17" s="5">
        <f>SUM(E18:E25)</f>
        <v>23237.086772799998</v>
      </c>
      <c r="F17" s="5">
        <f>SUM(F18:F25)</f>
        <v>23965.407964900001</v>
      </c>
      <c r="G17" s="5">
        <f t="shared" si="2"/>
        <v>71.877933920450559</v>
      </c>
      <c r="H17" s="5">
        <f t="shared" si="0"/>
        <v>3.134305084028584</v>
      </c>
      <c r="I17" s="5">
        <f t="shared" si="1"/>
        <v>1.5752109605565956</v>
      </c>
    </row>
    <row r="18" spans="2:9" ht="14.1" customHeight="1">
      <c r="B18" s="210" t="str">
        <f>IF(Indice_index!$Z$1=1,"Imposto sobre os produtos petrolíferos e energéticos (ISP)","Tax on oil and energy products (ISP)")</f>
        <v>Imposto sobre os produtos petrolíferos e energéticos (ISP)</v>
      </c>
      <c r="C18" s="5">
        <v>3153.7839666899999</v>
      </c>
      <c r="D18" s="5">
        <v>3380.5979600000001</v>
      </c>
      <c r="E18" s="5">
        <v>2302.7795658499999</v>
      </c>
      <c r="F18" s="5">
        <v>2525.6628016499999</v>
      </c>
      <c r="G18" s="5">
        <f t="shared" si="2"/>
        <v>74.710534394631182</v>
      </c>
      <c r="H18" s="5">
        <f t="shared" si="0"/>
        <v>9.6788784782241848</v>
      </c>
      <c r="I18" s="5">
        <f t="shared" si="1"/>
        <v>0.48205121554155356</v>
      </c>
    </row>
    <row r="19" spans="2:9" ht="14.1" customHeight="1">
      <c r="B19" s="210" t="str">
        <f>IF(Indice_index!$Z$1=1,"Imposto sobre o Valor Acrescentado (IVA)","Value-added tax (IVA)")</f>
        <v>Imposto sobre o Valor Acrescentado (IVA)</v>
      </c>
      <c r="C19" s="5">
        <v>23521.794767089999</v>
      </c>
      <c r="D19" s="5">
        <v>24435.010590999998</v>
      </c>
      <c r="E19" s="5">
        <v>17095.52472714</v>
      </c>
      <c r="F19" s="5">
        <v>17391.903426559998</v>
      </c>
      <c r="G19" s="5">
        <f t="shared" si="2"/>
        <v>71.176164879444968</v>
      </c>
      <c r="H19" s="5">
        <f t="shared" si="0"/>
        <v>1.7336624885779737</v>
      </c>
      <c r="I19" s="5">
        <f t="shared" si="1"/>
        <v>0.64100699096201319</v>
      </c>
    </row>
    <row r="20" spans="2:9" ht="14.1" customHeight="1">
      <c r="B20" s="210" t="str">
        <f>IF(Indice_index!$Z$1=1,"Imposto sobre Veículos (ISV)","Tax on vehicles (ISV)")</f>
        <v>Imposto sobre Veículos (ISV)</v>
      </c>
      <c r="C20" s="5">
        <v>465.82869319000002</v>
      </c>
      <c r="D20" s="5">
        <v>514.44821999999999</v>
      </c>
      <c r="E20" s="5">
        <v>362.12647007999999</v>
      </c>
      <c r="F20" s="5">
        <v>350.39795631999999</v>
      </c>
      <c r="G20" s="5">
        <f t="shared" si="2"/>
        <v>68.11141387951541</v>
      </c>
      <c r="H20" s="5">
        <f t="shared" si="0"/>
        <v>-3.2387894089622797</v>
      </c>
      <c r="I20" s="5">
        <f t="shared" si="1"/>
        <v>-2.5366395521900606E-2</v>
      </c>
    </row>
    <row r="21" spans="2:9" ht="14.1" customHeight="1">
      <c r="B21" s="210" t="str">
        <f>IF(Indice_index!$Z$1=1,"Imposto de consumo sobre o Tabaco","Tax on tobacco")</f>
        <v>Imposto de consumo sobre o Tabaco</v>
      </c>
      <c r="C21" s="5">
        <v>1562.63199538</v>
      </c>
      <c r="D21" s="5">
        <v>1696.8964169999999</v>
      </c>
      <c r="E21" s="5">
        <v>1173.33070129</v>
      </c>
      <c r="F21" s="5">
        <v>1191.5916077300001</v>
      </c>
      <c r="G21" s="5">
        <f t="shared" si="2"/>
        <v>70.221823547524181</v>
      </c>
      <c r="H21" s="5">
        <f t="shared" si="0"/>
        <v>1.5563307445994068</v>
      </c>
      <c r="I21" s="5">
        <f t="shared" si="1"/>
        <v>3.9494635452042515E-2</v>
      </c>
    </row>
    <row r="22" spans="2:9" ht="14.1" customHeight="1">
      <c r="B22" s="210" t="str">
        <f>IF(Indice_index!$Z$1=1,"Imposto sobre o Álcool e as Bebidas Alcoólicas (IABA)","Tax on alcoholic beverages (IABA)")</f>
        <v>Imposto sobre o Álcool e as Bebidas Alcoólicas (IABA)</v>
      </c>
      <c r="C22" s="5">
        <v>330.02386225999999</v>
      </c>
      <c r="D22" s="5">
        <v>467.107596</v>
      </c>
      <c r="E22" s="5">
        <v>249.8014063</v>
      </c>
      <c r="F22" s="5">
        <v>264.16800611000002</v>
      </c>
      <c r="G22" s="5">
        <f t="shared" si="2"/>
        <v>56.553994919406115</v>
      </c>
      <c r="H22" s="5">
        <f t="shared" si="0"/>
        <v>5.7512085391330423</v>
      </c>
      <c r="I22" s="5">
        <f t="shared" si="1"/>
        <v>3.1072040374646986E-2</v>
      </c>
    </row>
    <row r="23" spans="2:9" ht="14.1" customHeight="1">
      <c r="B23" s="210" t="str">
        <f>IF(Indice_index!$Z$1=1,"Imposto do Selo","Stamp tax")</f>
        <v>Imposto do Selo</v>
      </c>
      <c r="C23" s="5">
        <v>1965.3387600200001</v>
      </c>
      <c r="D23" s="5">
        <v>2030.359686</v>
      </c>
      <c r="E23" s="5">
        <v>1466.2016146399999</v>
      </c>
      <c r="F23" s="5">
        <v>1625.59874455</v>
      </c>
      <c r="G23" s="5">
        <f t="shared" si="2"/>
        <v>80.064569630644257</v>
      </c>
      <c r="H23" s="5">
        <f t="shared" si="0"/>
        <v>10.871433254364359</v>
      </c>
      <c r="I23" s="5">
        <f t="shared" si="1"/>
        <v>0.34474364997060258</v>
      </c>
    </row>
    <row r="24" spans="2:9" ht="14.1" customHeight="1">
      <c r="B24" s="210" t="str">
        <f>IF(Indice_index!$Z$1=1,"Imposto Único de Circulação (IUC)","Tax on vehicle circulation (IUC)")</f>
        <v>Imposto Único de Circulação (IUC)</v>
      </c>
      <c r="C24" s="5">
        <v>487.56887201000001</v>
      </c>
      <c r="D24" s="5">
        <v>502.74180899999999</v>
      </c>
      <c r="E24" s="5">
        <v>364.96850337000001</v>
      </c>
      <c r="F24" s="5">
        <v>392.20013838</v>
      </c>
      <c r="G24" s="5">
        <f t="shared" si="2"/>
        <v>78.012238361500579</v>
      </c>
      <c r="H24" s="5">
        <f t="shared" si="0"/>
        <v>7.4613657777457405</v>
      </c>
      <c r="I24" s="5">
        <f t="shared" si="1"/>
        <v>5.8896501168592699E-2</v>
      </c>
    </row>
    <row r="25" spans="2:9" ht="14.1" customHeight="1">
      <c r="B25" s="210" t="str">
        <f>IF(Indice_index!$Z$1=1,"Outros","Others")</f>
        <v>Outros</v>
      </c>
      <c r="C25" s="5">
        <v>301.87668428999984</v>
      </c>
      <c r="D25" s="5">
        <v>314.6530150000001</v>
      </c>
      <c r="E25" s="5">
        <v>222.35378413000012</v>
      </c>
      <c r="F25" s="5">
        <v>223.88528360000004</v>
      </c>
      <c r="G25" s="5">
        <f t="shared" si="2"/>
        <v>71.153071137741989</v>
      </c>
      <c r="H25" s="5">
        <f t="shared" si="0"/>
        <v>0.68876699175243927</v>
      </c>
      <c r="I25" s="5">
        <f t="shared" si="1"/>
        <v>3.3123226090326888E-3</v>
      </c>
    </row>
    <row r="26" spans="2:9" ht="14.1" customHeight="1">
      <c r="B26" s="212" t="str">
        <f>IF(Indice_index!$Z$1=1,"Contribuições para Segurança Social, CGA e ADSE","Social security, CGA and ADSE contributions")</f>
        <v>Contribuições para Segurança Social, CGA e ADSE</v>
      </c>
      <c r="C26" s="161">
        <f>SUM(C27:C28)</f>
        <v>73.954541289999995</v>
      </c>
      <c r="D26" s="161">
        <f>SUM(D27:D28)</f>
        <v>73.666090999999994</v>
      </c>
      <c r="E26" s="161">
        <f>SUM(E27:E28)</f>
        <v>52.820154989999999</v>
      </c>
      <c r="F26" s="161">
        <f>SUM(F27:F28)</f>
        <v>58.085472330000002</v>
      </c>
      <c r="G26" s="161">
        <f>IFERROR(IF(F26/D26*100&lt;-500,"-",IF(F26/D26*100&gt;500,"-",F26/D26*100)),"-")</f>
        <v>78.849673630707514</v>
      </c>
      <c r="H26" s="161">
        <f>IF(IFERROR((F26-E26)/E26*100,"")&gt;500,"-",IFERROR((F26-E26)/E26*100,""))</f>
        <v>9.9683867663713617</v>
      </c>
      <c r="I26" s="161">
        <f>IFERROR((F26-E26)/$E$62*100,"-")</f>
        <v>1.1387813062067098E-2</v>
      </c>
    </row>
    <row r="27" spans="2:9" ht="14.1" hidden="1" customHeight="1">
      <c r="B27" s="150" t="str">
        <f>IF(Indice_index!$Z$1=1,"Comparticipações para a ADSE","ADSE co-payments")</f>
        <v>Comparticipações para a ADSE</v>
      </c>
      <c r="C27" s="5">
        <v>0</v>
      </c>
      <c r="D27" s="5">
        <v>0</v>
      </c>
      <c r="E27" s="5">
        <v>0</v>
      </c>
      <c r="F27" s="5">
        <v>0</v>
      </c>
      <c r="G27" s="5" t="str">
        <f t="shared" si="2"/>
        <v>-</v>
      </c>
      <c r="H27" s="5" t="str">
        <f>IF(IFERROR((F27-E27)/E27*100,"")&gt;500,"-",IFERROR((F27-E27)/E27*100,""))</f>
        <v>-</v>
      </c>
      <c r="I27" s="5">
        <f t="shared" si="1"/>
        <v>0</v>
      </c>
    </row>
    <row r="28" spans="2:9" ht="14.1" customHeight="1">
      <c r="B28" s="150" t="str">
        <f>IF(Indice_index!$Z$1=1,"Outros","Others")</f>
        <v>Outros</v>
      </c>
      <c r="C28" s="5">
        <v>73.954541289999995</v>
      </c>
      <c r="D28" s="5">
        <v>73.666090999999994</v>
      </c>
      <c r="E28" s="5">
        <v>52.820154989999999</v>
      </c>
      <c r="F28" s="5">
        <v>58.085472330000002</v>
      </c>
      <c r="G28" s="5">
        <f t="shared" si="2"/>
        <v>78.849673630707514</v>
      </c>
      <c r="H28" s="5">
        <f>IF(IFERROR((F28-E28)/E28*100,"")&gt;500,"-",IFERROR((F28-E28)/E28*100,""))</f>
        <v>9.9683867663713617</v>
      </c>
      <c r="I28" s="5">
        <f t="shared" si="1"/>
        <v>1.1387813062067098E-2</v>
      </c>
    </row>
    <row r="29" spans="2:9" ht="14.1" customHeight="1">
      <c r="B29" s="212" t="str">
        <f>IF(Indice_index!$Z$1=1,"Receita não fiscal","Non-tax revenue")</f>
        <v>Receita não fiscal</v>
      </c>
      <c r="C29" s="161">
        <f>+C30+C53</f>
        <v>5160.5439413200011</v>
      </c>
      <c r="D29" s="161">
        <f>+D30+D53</f>
        <v>5477.077475</v>
      </c>
      <c r="E29" s="161">
        <f>+E30+E53</f>
        <v>3101.5553804200003</v>
      </c>
      <c r="F29" s="161">
        <f>+F30+F53</f>
        <v>4161.4778967500006</v>
      </c>
      <c r="G29" s="161">
        <f t="shared" si="2"/>
        <v>75.979898326159798</v>
      </c>
      <c r="H29" s="161">
        <f t="shared" ref="H29:H51" si="3">IF(IFERROR((F29-E29)/E29*100,"")&gt;500,"-",IFERROR((F29-E29)/E29*100,""))</f>
        <v>34.173902649659269</v>
      </c>
      <c r="I29" s="161">
        <f t="shared" si="1"/>
        <v>2.2923973422353678</v>
      </c>
    </row>
    <row r="30" spans="2:9" ht="14.1" customHeight="1">
      <c r="B30" s="150" t="str">
        <f>IF(Indice_index!$Z$1=1,"Correntes","Current")</f>
        <v>Correntes</v>
      </c>
      <c r="C30" s="5">
        <f>SUM(C31,C36,C40,C45:C46,C50:C52)</f>
        <v>5051.9286916300007</v>
      </c>
      <c r="D30" s="5">
        <f>SUM(D31,D36,D40,D45:D46,D50:D52)</f>
        <v>4812.952029</v>
      </c>
      <c r="E30" s="5">
        <f>SUM(E31,E36,E40,E45:E46,E50:E52)</f>
        <v>3024.8430085700002</v>
      </c>
      <c r="F30" s="5">
        <f>SUM(F31,F36,F40,F45:F46,F50:F52)</f>
        <v>3896.9323155900001</v>
      </c>
      <c r="G30" s="5">
        <f t="shared" si="2"/>
        <v>80.967611813070079</v>
      </c>
      <c r="H30" s="5">
        <f t="shared" si="3"/>
        <v>28.830894844763588</v>
      </c>
      <c r="I30" s="5">
        <f t="shared" si="1"/>
        <v>1.8861522222649914</v>
      </c>
    </row>
    <row r="31" spans="2:9" ht="14.1" customHeight="1">
      <c r="B31" s="210" t="str">
        <f>IF(Indice_index!$Z$1=1,"Taxas, multas e outras penalidades","Taxes, fines and other penalties")</f>
        <v>Taxas, multas e outras penalidades</v>
      </c>
      <c r="C31" s="5">
        <f>SUM(C32:C35)</f>
        <v>1052.6745692100001</v>
      </c>
      <c r="D31" s="5">
        <f>SUM(D32:D35)</f>
        <v>1019.2500309999999</v>
      </c>
      <c r="E31" s="5">
        <f>SUM(E32:E35)</f>
        <v>810.2519231</v>
      </c>
      <c r="F31" s="5">
        <f>SUM(F32:F35)</f>
        <v>733.44794139999988</v>
      </c>
      <c r="G31" s="5">
        <f t="shared" si="2"/>
        <v>71.959570183226219</v>
      </c>
      <c r="H31" s="5">
        <f t="shared" si="3"/>
        <v>-9.4790249193300706</v>
      </c>
      <c r="I31" s="5">
        <f t="shared" si="1"/>
        <v>-0.16611142872198151</v>
      </c>
    </row>
    <row r="32" spans="2:9" ht="14.1" customHeight="1">
      <c r="B32" s="300" t="str">
        <f>IF(Indice_index!$Z$1=1,"Taxas","Taxes")</f>
        <v>Taxas</v>
      </c>
      <c r="C32" s="5">
        <v>682.48232384999994</v>
      </c>
      <c r="D32" s="5">
        <v>698.71270500000003</v>
      </c>
      <c r="E32" s="5">
        <v>538.43055715000003</v>
      </c>
      <c r="F32" s="5">
        <v>474.79189331999999</v>
      </c>
      <c r="G32" s="5">
        <f t="shared" si="2"/>
        <v>67.952377267850011</v>
      </c>
      <c r="H32" s="5">
        <f t="shared" si="3"/>
        <v>-11.819289040140992</v>
      </c>
      <c r="I32" s="5">
        <f t="shared" si="1"/>
        <v>-0.13763751744083311</v>
      </c>
    </row>
    <row r="33" spans="2:9" ht="14.1" customHeight="1">
      <c r="B33" s="300" t="str">
        <f>IF(Indice_index!$Z$1=1,"Juros de mora e compensatórios","Default and compensatory interests")</f>
        <v>Juros de mora e compensatórios</v>
      </c>
      <c r="C33" s="5">
        <v>114.54880453</v>
      </c>
      <c r="D33" s="5">
        <v>96.602259000000004</v>
      </c>
      <c r="E33" s="5">
        <v>82.757576720000003</v>
      </c>
      <c r="F33" s="5">
        <v>87.660030919999997</v>
      </c>
      <c r="G33" s="5">
        <f t="shared" si="2"/>
        <v>90.743251583795768</v>
      </c>
      <c r="H33" s="5">
        <f t="shared" si="3"/>
        <v>5.9238735524927701</v>
      </c>
      <c r="I33" s="5">
        <f t="shared" si="1"/>
        <v>1.0603013715968277E-2</v>
      </c>
    </row>
    <row r="34" spans="2:9" ht="14.1" customHeight="1">
      <c r="B34" s="300" t="str">
        <f>IF(Indice_index!$Z$1=1,"Multas do Código da Estrada","Highway code fines")</f>
        <v>Multas do Código da Estrada</v>
      </c>
      <c r="C34" s="5">
        <v>96.013611109999999</v>
      </c>
      <c r="D34" s="5">
        <v>122.96544299999999</v>
      </c>
      <c r="E34" s="5">
        <v>72.474766680000002</v>
      </c>
      <c r="F34" s="5">
        <v>50.845272229999999</v>
      </c>
      <c r="G34" s="5">
        <f t="shared" si="2"/>
        <v>41.34923681769682</v>
      </c>
      <c r="H34" s="5">
        <f t="shared" si="3"/>
        <v>-29.844172586993423</v>
      </c>
      <c r="I34" s="5">
        <f t="shared" si="1"/>
        <v>-4.6780207823830369E-2</v>
      </c>
    </row>
    <row r="35" spans="2:9" ht="14.1" customHeight="1">
      <c r="B35" s="300" t="str">
        <f>IF(Indice_index!$Z$1=1,"Outras multas e penalidades diversas","Other fines and diverse penalties")</f>
        <v>Outras multas e penalidades diversas</v>
      </c>
      <c r="C35" s="5">
        <v>159.62982972</v>
      </c>
      <c r="D35" s="5">
        <v>100.969624</v>
      </c>
      <c r="E35" s="5">
        <v>116.58902255</v>
      </c>
      <c r="F35" s="5">
        <v>120.15074493</v>
      </c>
      <c r="G35" s="5">
        <f t="shared" si="2"/>
        <v>118.99692221296181</v>
      </c>
      <c r="H35" s="5">
        <f t="shared" si="3"/>
        <v>3.0549380225505685</v>
      </c>
      <c r="I35" s="5">
        <f t="shared" si="1"/>
        <v>7.7032828267138706E-3</v>
      </c>
    </row>
    <row r="36" spans="2:9" ht="14.1" customHeight="1">
      <c r="B36" s="210" t="str">
        <f>IF(Indice_index!$Z$1=1,"Rendimentos da propriedade","Property income")</f>
        <v>Rendimentos da propriedade</v>
      </c>
      <c r="C36" s="5">
        <f>SUM(C37:C39)</f>
        <v>520.73846032000006</v>
      </c>
      <c r="D36" s="5">
        <f>SUM(D37:D39)</f>
        <v>560.82687199999998</v>
      </c>
      <c r="E36" s="5">
        <f>SUM(E37:E39)</f>
        <v>449.66340838000002</v>
      </c>
      <c r="F36" s="5">
        <f>SUM(F37:F39)</f>
        <v>735.37097490999997</v>
      </c>
      <c r="G36" s="5">
        <f t="shared" si="2"/>
        <v>131.12263545567055</v>
      </c>
      <c r="H36" s="5">
        <f t="shared" si="3"/>
        <v>63.538095652327385</v>
      </c>
      <c r="I36" s="5">
        <f t="shared" si="1"/>
        <v>0.61792749571704564</v>
      </c>
    </row>
    <row r="37" spans="2:9" ht="14.1" customHeight="1">
      <c r="B37" s="300" t="str">
        <f>IF(Indice_index!$Z$1=1,"Juros","Interests")</f>
        <v>Juros</v>
      </c>
      <c r="C37" s="5">
        <v>70.199211229999989</v>
      </c>
      <c r="D37" s="5">
        <v>90.058933999999994</v>
      </c>
      <c r="E37" s="5">
        <v>52.888032870000004</v>
      </c>
      <c r="F37" s="5">
        <v>63.928412969999997</v>
      </c>
      <c r="G37" s="5">
        <f t="shared" si="2"/>
        <v>70.985087354020877</v>
      </c>
      <c r="H37" s="5">
        <f t="shared" si="3"/>
        <v>20.875006123100665</v>
      </c>
      <c r="I37" s="5">
        <f t="shared" si="1"/>
        <v>2.3878102039138538E-2</v>
      </c>
    </row>
    <row r="38" spans="2:9" ht="14.1" customHeight="1">
      <c r="B38" s="300" t="str">
        <f>IF(Indice_index!$Z$1=1,"Dividendos e participações nos lucros","Dividends and profit participations")</f>
        <v>Dividendos e participações nos lucros</v>
      </c>
      <c r="C38" s="5">
        <v>445.10800478000004</v>
      </c>
      <c r="D38" s="5">
        <v>462.92486200000002</v>
      </c>
      <c r="E38" s="5">
        <v>393.81018518000002</v>
      </c>
      <c r="F38" s="5">
        <v>668.69676443000003</v>
      </c>
      <c r="G38" s="5">
        <f t="shared" si="2"/>
        <v>144.45038910655873</v>
      </c>
      <c r="H38" s="5">
        <f t="shared" si="3"/>
        <v>69.801795279712422</v>
      </c>
      <c r="I38" s="5">
        <f t="shared" si="1"/>
        <v>0.59452389583228626</v>
      </c>
    </row>
    <row r="39" spans="2:9" ht="14.1" customHeight="1">
      <c r="B39" s="300" t="str">
        <f>IF(Indice_index!$Z$1=1,"Outros","Others")</f>
        <v>Outros</v>
      </c>
      <c r="C39" s="5">
        <v>5.4312443100000003</v>
      </c>
      <c r="D39" s="5">
        <v>7.8430759999999999</v>
      </c>
      <c r="E39" s="5">
        <v>2.96519033</v>
      </c>
      <c r="F39" s="5">
        <v>2.7457975100000001</v>
      </c>
      <c r="G39" s="5">
        <f t="shared" si="2"/>
        <v>35.009191674286974</v>
      </c>
      <c r="H39" s="5">
        <f t="shared" si="3"/>
        <v>-7.3989456184419682</v>
      </c>
      <c r="I39" s="5">
        <f t="shared" si="1"/>
        <v>-4.7450215437911926E-4</v>
      </c>
    </row>
    <row r="40" spans="2:9" ht="14.1" customHeight="1">
      <c r="B40" s="210" t="str">
        <f>IF(Indice_index!$Z$1=1,"Transferências correntes","Current transfers")</f>
        <v>Transferências correntes</v>
      </c>
      <c r="C40" s="5">
        <f>SUM(C41:C44)</f>
        <v>1108.3681423799999</v>
      </c>
      <c r="D40" s="5">
        <f>SUM(D41:D44)</f>
        <v>1401.8219740000002</v>
      </c>
      <c r="E40" s="5">
        <f>SUM(E41:E44)</f>
        <v>661.87337264999996</v>
      </c>
      <c r="F40" s="5">
        <f>SUM(F41:F44)</f>
        <v>765.8635946899999</v>
      </c>
      <c r="G40" s="5">
        <f t="shared" si="2"/>
        <v>54.633441970142762</v>
      </c>
      <c r="H40" s="5">
        <f t="shared" si="3"/>
        <v>15.711498050396747</v>
      </c>
      <c r="I40" s="5">
        <f t="shared" si="1"/>
        <v>0.22490975043004119</v>
      </c>
    </row>
    <row r="41" spans="2:9" ht="14.1" customHeight="1">
      <c r="B41" s="300" t="str">
        <f>IF(Indice_index!$Z$1=1,"Administração Central","Central Administration")</f>
        <v>Administração Central</v>
      </c>
      <c r="C41" s="5">
        <v>650.24009655999998</v>
      </c>
      <c r="D41" s="5">
        <v>624.593253</v>
      </c>
      <c r="E41" s="5">
        <v>343.20707257999999</v>
      </c>
      <c r="F41" s="5">
        <v>368.7352272</v>
      </c>
      <c r="G41" s="5">
        <f t="shared" si="2"/>
        <v>59.036056734349643</v>
      </c>
      <c r="H41" s="5">
        <f t="shared" si="3"/>
        <v>7.4381202077499475</v>
      </c>
      <c r="I41" s="5">
        <f t="shared" si="1"/>
        <v>5.5212218724903006E-2</v>
      </c>
    </row>
    <row r="42" spans="2:9" ht="14.1" customHeight="1">
      <c r="B42" s="300" t="str">
        <f>IF(Indice_index!$Z$1=1,"Outros subsetores das Administrações Públicas","Other General Government subsectors")</f>
        <v>Outros subsetores das Administrações Públicas</v>
      </c>
      <c r="C42" s="5">
        <v>234.09742409</v>
      </c>
      <c r="D42" s="5">
        <v>283.07469700000001</v>
      </c>
      <c r="E42" s="5">
        <v>182.64553125</v>
      </c>
      <c r="F42" s="5">
        <v>206.58174152000001</v>
      </c>
      <c r="G42" s="5">
        <f t="shared" si="2"/>
        <v>72.977819532912903</v>
      </c>
      <c r="H42" s="5">
        <f t="shared" si="3"/>
        <v>13.105281090746645</v>
      </c>
      <c r="I42" s="5">
        <f t="shared" si="1"/>
        <v>5.1769166104827888E-2</v>
      </c>
    </row>
    <row r="43" spans="2:9" ht="14.1" customHeight="1">
      <c r="B43" s="300" t="str">
        <f>IF(Indice_index!$Z$1=1,"União Europeia","European Union")</f>
        <v>União Europeia</v>
      </c>
      <c r="C43" s="5">
        <v>201.99400455</v>
      </c>
      <c r="D43" s="5">
        <v>449.98149600000005</v>
      </c>
      <c r="E43" s="5">
        <v>119.66646906</v>
      </c>
      <c r="F43" s="5">
        <v>168.26015201999999</v>
      </c>
      <c r="G43" s="5">
        <f t="shared" si="2"/>
        <v>37.392682480436925</v>
      </c>
      <c r="H43" s="5">
        <f t="shared" si="3"/>
        <v>40.607601562669522</v>
      </c>
      <c r="I43" s="5">
        <f t="shared" si="1"/>
        <v>0.10509827647840027</v>
      </c>
    </row>
    <row r="44" spans="2:9" ht="14.1" customHeight="1">
      <c r="B44" s="300" t="str">
        <f>IF(Indice_index!$Z$1=1,"Outros","Others")</f>
        <v>Outros</v>
      </c>
      <c r="C44" s="5">
        <v>22.03661718</v>
      </c>
      <c r="D44" s="5">
        <v>44.172528</v>
      </c>
      <c r="E44" s="5">
        <v>16.35429976</v>
      </c>
      <c r="F44" s="5">
        <v>22.286473950000001</v>
      </c>
      <c r="G44" s="5">
        <f t="shared" si="2"/>
        <v>50.453245397229708</v>
      </c>
      <c r="H44" s="5">
        <f t="shared" si="3"/>
        <v>36.272871826094018</v>
      </c>
      <c r="I44" s="5">
        <f t="shared" si="1"/>
        <v>1.2830089121910226E-2</v>
      </c>
    </row>
    <row r="45" spans="2:9" ht="14.1" customHeight="1">
      <c r="B45" s="210" t="str">
        <f>IF(Indice_index!$Z$1=1,"Venda de bens e serviços correntes","Sale of current goods and services")</f>
        <v>Venda de bens e serviços correntes</v>
      </c>
      <c r="C45" s="5">
        <v>657.24778830000002</v>
      </c>
      <c r="D45" s="5">
        <v>1006.185526</v>
      </c>
      <c r="E45" s="5">
        <v>406.76836864000001</v>
      </c>
      <c r="F45" s="5">
        <v>341.86564336999999</v>
      </c>
      <c r="G45" s="5">
        <f t="shared" si="2"/>
        <v>33.976402416466485</v>
      </c>
      <c r="H45" s="5">
        <f t="shared" si="3"/>
        <v>-15.955696232476848</v>
      </c>
      <c r="I45" s="5">
        <f t="shared" si="1"/>
        <v>-0.14037142585473453</v>
      </c>
    </row>
    <row r="46" spans="2:9" ht="14.1" customHeight="1">
      <c r="B46" s="210" t="str">
        <f>IF(Indice_index!$Z$1=1,"Outras receitas correntes","Other current revenue")</f>
        <v>Outras receitas correntes</v>
      </c>
      <c r="C46" s="5">
        <f>SUM(C47:C49)</f>
        <v>280.90482262</v>
      </c>
      <c r="D46" s="5">
        <f>SUM(D47:D49)</f>
        <v>346.79313400000001</v>
      </c>
      <c r="E46" s="5">
        <f>SUM(E47:E49)</f>
        <v>216.75640589</v>
      </c>
      <c r="F46" s="5">
        <f>SUM(F47:F49)</f>
        <v>296.25976599000001</v>
      </c>
      <c r="G46" s="5">
        <f t="shared" si="2"/>
        <v>85.428382786263583</v>
      </c>
      <c r="H46" s="5">
        <f t="shared" si="3"/>
        <v>36.678666899628581</v>
      </c>
      <c r="I46" s="5">
        <f t="shared" si="1"/>
        <v>0.17194963649142631</v>
      </c>
    </row>
    <row r="47" spans="2:9" ht="14.1" customHeight="1">
      <c r="B47" s="300" t="str">
        <f>IF(Indice_index!$Z$1=1,"Prémios e taxas por garantias de riscos","Premiums and rates on risk guarantees")</f>
        <v>Prémios e taxas por garantias de riscos</v>
      </c>
      <c r="C47" s="5">
        <v>29.57045647</v>
      </c>
      <c r="D47" s="5">
        <v>30.911799999999999</v>
      </c>
      <c r="E47" s="5">
        <v>18.057301649999999</v>
      </c>
      <c r="F47" s="5">
        <v>113.97368035</v>
      </c>
      <c r="G47" s="5">
        <f t="shared" si="2"/>
        <v>368.70606160107144</v>
      </c>
      <c r="H47" s="5" t="str">
        <f t="shared" si="3"/>
        <v>-</v>
      </c>
      <c r="I47" s="5">
        <f>IFERROR((F47-E47)/$E$62*100,"-")</f>
        <v>0.20744766548601487</v>
      </c>
    </row>
    <row r="48" spans="2:9" ht="14.1" customHeight="1">
      <c r="B48" s="300" t="str">
        <f>IF(Indice_index!$Z$1=1,"Subsídios","Subsidies")</f>
        <v>Subsídios</v>
      </c>
      <c r="C48" s="5">
        <v>187.85157411</v>
      </c>
      <c r="D48" s="5">
        <v>219.15234000000001</v>
      </c>
      <c r="E48" s="5">
        <v>155.47062571000001</v>
      </c>
      <c r="F48" s="5">
        <v>100.7220374</v>
      </c>
      <c r="G48" s="5">
        <f t="shared" si="2"/>
        <v>45.959827488038684</v>
      </c>
      <c r="H48" s="5">
        <f t="shared" si="3"/>
        <v>-35.214747519009002</v>
      </c>
      <c r="I48" s="5">
        <f t="shared" si="1"/>
        <v>-0.11841008790675317</v>
      </c>
    </row>
    <row r="49" spans="2:9" ht="14.1" customHeight="1">
      <c r="B49" s="300" t="str">
        <f>IF(Indice_index!$Z$1=1,"Outras","Others")</f>
        <v>Outras</v>
      </c>
      <c r="C49" s="5">
        <v>63.48279204</v>
      </c>
      <c r="D49" s="5">
        <v>96.728994</v>
      </c>
      <c r="E49" s="5">
        <v>43.228478530000004</v>
      </c>
      <c r="F49" s="5">
        <v>81.564048240000005</v>
      </c>
      <c r="G49" s="5">
        <f t="shared" si="2"/>
        <v>84.322233559050559</v>
      </c>
      <c r="H49" s="5">
        <f t="shared" si="3"/>
        <v>88.681283759259799</v>
      </c>
      <c r="I49" s="5">
        <f t="shared" si="1"/>
        <v>8.2912058912164549E-2</v>
      </c>
    </row>
    <row r="50" spans="2:9" ht="14.1" customHeight="1">
      <c r="B50" s="210" t="str">
        <f>IF(Indice_index!$Z$1=1,"Recursos próprios comunitários","Community own resources")</f>
        <v>Recursos próprios comunitários</v>
      </c>
      <c r="C50" s="5">
        <v>304.35453831000001</v>
      </c>
      <c r="D50" s="5">
        <v>380</v>
      </c>
      <c r="E50" s="5">
        <v>228.27982492000001</v>
      </c>
      <c r="F50" s="5">
        <v>243.28236045</v>
      </c>
      <c r="G50" s="5">
        <f t="shared" si="2"/>
        <v>64.021673802631568</v>
      </c>
      <c r="H50" s="5">
        <f t="shared" si="3"/>
        <v>6.5719936202235925</v>
      </c>
      <c r="I50" s="5">
        <f t="shared" si="1"/>
        <v>3.2447440304264642E-2</v>
      </c>
    </row>
    <row r="51" spans="2:9" ht="14.1" customHeight="1">
      <c r="B51" s="210" t="str">
        <f>IF(Indice_index!$Z$1=1,"Reposições não abatidas nos pagamentos","Refunds not deducted from payments")</f>
        <v>Reposições não abatidas nos pagamentos</v>
      </c>
      <c r="C51" s="5">
        <v>1127.63936541</v>
      </c>
      <c r="D51" s="5">
        <v>98.070081000000002</v>
      </c>
      <c r="E51" s="5">
        <v>251.24969662999999</v>
      </c>
      <c r="F51" s="5">
        <v>607.12606331999996</v>
      </c>
      <c r="G51" s="5" t="str">
        <f t="shared" si="2"/>
        <v>-</v>
      </c>
      <c r="H51" s="5">
        <f t="shared" si="3"/>
        <v>141.64250602621712</v>
      </c>
      <c r="I51" s="5">
        <f t="shared" si="1"/>
        <v>0.76968837306078863</v>
      </c>
    </row>
    <row r="52" spans="2:9" ht="14.1" customHeight="1">
      <c r="B52" s="210" t="str">
        <f>IF(Indice_index!$Z$1=1,"Diferenças de consolidação","Consolidation differences")</f>
        <v>Diferenças de consolidação</v>
      </c>
      <c r="C52" s="5">
        <v>1.0050800000000002E-3</v>
      </c>
      <c r="D52" s="5">
        <v>4.4109999999999427E-3</v>
      </c>
      <c r="E52" s="5">
        <v>8.3600000000006586E-6</v>
      </c>
      <c r="F52" s="5">
        <v>173.71597145999999</v>
      </c>
      <c r="G52" s="5" t="str">
        <f t="shared" si="2"/>
        <v>-</v>
      </c>
      <c r="H52" s="5"/>
      <c r="I52" s="5"/>
    </row>
    <row r="53" spans="2:9" ht="14.1" customHeight="1">
      <c r="B53" s="150" t="s">
        <v>8</v>
      </c>
      <c r="C53" s="5">
        <f>SUM(C54:C55,C60:C61)</f>
        <v>108.61524969</v>
      </c>
      <c r="D53" s="5">
        <f>SUM(D54:D55,D60:D61)</f>
        <v>664.12544600000001</v>
      </c>
      <c r="E53" s="5">
        <f>SUM(E54:E55,E60:E61)</f>
        <v>76.712371850000011</v>
      </c>
      <c r="F53" s="5">
        <f>SUM(F54:F55,F60:F61)</f>
        <v>264.54558115999998</v>
      </c>
      <c r="G53" s="5">
        <f t="shared" si="2"/>
        <v>39.833676416608796</v>
      </c>
      <c r="H53" s="5">
        <f t="shared" ref="H53:H60" si="4">IF(IFERROR((F53-E53)/E53*100,"")&gt;500,"-",IFERROR((F53-E53)/E53*100,""))</f>
        <v>244.85386747952566</v>
      </c>
      <c r="I53" s="5">
        <f t="shared" ref="I53:I60" si="5">IFERROR((F53-E53)/$E$62*100,"-")</f>
        <v>0.40624511997037577</v>
      </c>
    </row>
    <row r="54" spans="2:9" ht="14.1" customHeight="1">
      <c r="B54" s="210" t="str">
        <f>IF(Indice_index!$Z$1=1,"Venda de bens de investimento","Sale of investment goods")</f>
        <v>Venda de bens de investimento</v>
      </c>
      <c r="C54" s="5">
        <v>6.65149539</v>
      </c>
      <c r="D54" s="5">
        <v>41.934125999999999</v>
      </c>
      <c r="E54" s="5">
        <v>6.54669436</v>
      </c>
      <c r="F54" s="5">
        <v>3.0555873899999999</v>
      </c>
      <c r="G54" s="5">
        <f t="shared" si="2"/>
        <v>7.286636640525189</v>
      </c>
      <c r="H54" s="5">
        <f t="shared" si="4"/>
        <v>-53.326255634148779</v>
      </c>
      <c r="I54" s="5">
        <f t="shared" si="5"/>
        <v>-7.5505560229043034E-3</v>
      </c>
    </row>
    <row r="55" spans="2:9" ht="14.1" customHeight="1">
      <c r="B55" s="210" t="str">
        <f>IF(Indice_index!$Z$1=1,"Transferências de capital","Capital transfers")</f>
        <v>Transferências de capital</v>
      </c>
      <c r="C55" s="5">
        <f>SUM(C56:C59)</f>
        <v>95.029210570000004</v>
      </c>
      <c r="D55" s="5">
        <f>SUM(D56:D59)</f>
        <v>605.88921700000003</v>
      </c>
      <c r="E55" s="5">
        <f>SUM(E56:E59)</f>
        <v>64.705039710000008</v>
      </c>
      <c r="F55" s="5">
        <f>SUM(F56:F59)</f>
        <v>119.96858281999999</v>
      </c>
      <c r="G55" s="5">
        <f t="shared" si="2"/>
        <v>19.80041556342799</v>
      </c>
      <c r="H55" s="5">
        <f t="shared" si="4"/>
        <v>85.408406142217615</v>
      </c>
      <c r="I55" s="5">
        <f t="shared" si="5"/>
        <v>0.11952383065370294</v>
      </c>
    </row>
    <row r="56" spans="2:9" ht="14.1" customHeight="1">
      <c r="B56" s="300" t="str">
        <f>IF(Indice_index!$Z$1=1,"Administração Central","Central Administration")</f>
        <v>Administração Central</v>
      </c>
      <c r="C56" s="5">
        <v>12.731157909999997</v>
      </c>
      <c r="D56" s="5">
        <v>129.89001400000001</v>
      </c>
      <c r="E56" s="5">
        <v>6.6493775500000005</v>
      </c>
      <c r="F56" s="5">
        <v>21.033747089999999</v>
      </c>
      <c r="G56" s="5">
        <f t="shared" si="2"/>
        <v>16.193505907236254</v>
      </c>
      <c r="H56" s="5">
        <f t="shared" si="4"/>
        <v>216.32655736325268</v>
      </c>
      <c r="I56" s="5">
        <f t="shared" si="5"/>
        <v>3.1110472695120024E-2</v>
      </c>
    </row>
    <row r="57" spans="2:9" ht="14.1" customHeight="1">
      <c r="B57" s="300" t="str">
        <f>IF(Indice_index!$Z$1=1,"Outros subsetores das Administrações Públicas","Other General Government subsectors")</f>
        <v>Outros subsetores das Administrações Públicas</v>
      </c>
      <c r="C57" s="5">
        <v>0.2997203</v>
      </c>
      <c r="D57" s="5">
        <v>4.458431</v>
      </c>
      <c r="E57" s="5">
        <v>0.13455827000000001</v>
      </c>
      <c r="F57" s="5"/>
      <c r="G57" s="5">
        <f>IFERROR(IF(F57/D57*100&lt;-500,"-",IF(F57/D57*100&gt;500,"-",F57/D57*100)),"-")</f>
        <v>0</v>
      </c>
      <c r="H57" s="5">
        <f t="shared" si="4"/>
        <v>-100</v>
      </c>
      <c r="I57" s="5">
        <f t="shared" si="5"/>
        <v>-2.9102223584403185E-4</v>
      </c>
    </row>
    <row r="58" spans="2:9" ht="14.1" customHeight="1">
      <c r="B58" s="300" t="str">
        <f>IF(Indice_index!$Z$1=1,"União Europeia","European Union")</f>
        <v>União Europeia</v>
      </c>
      <c r="C58" s="5">
        <v>78.647758940000003</v>
      </c>
      <c r="D58" s="5">
        <v>471.54077100000001</v>
      </c>
      <c r="E58" s="5">
        <v>55.914245940000001</v>
      </c>
      <c r="F58" s="5">
        <v>92.802921799999993</v>
      </c>
      <c r="G58" s="5">
        <f t="shared" si="2"/>
        <v>19.680784251845743</v>
      </c>
      <c r="H58" s="5">
        <f t="shared" si="4"/>
        <v>65.973662417953719</v>
      </c>
      <c r="I58" s="5">
        <f t="shared" si="5"/>
        <v>7.9782721092527153E-2</v>
      </c>
    </row>
    <row r="59" spans="2:9" ht="14.1" customHeight="1">
      <c r="B59" s="300" t="str">
        <f>IF(Indice_index!$Z$1=1,"Outros","Others")</f>
        <v>Outros</v>
      </c>
      <c r="C59" s="5">
        <v>3.3505734199999999</v>
      </c>
      <c r="D59" s="5">
        <v>9.9999999999999995E-7</v>
      </c>
      <c r="E59" s="5">
        <v>2.0068579500000001</v>
      </c>
      <c r="F59" s="5">
        <v>6.1319139299999996</v>
      </c>
      <c r="G59" s="5" t="str">
        <f t="shared" si="2"/>
        <v>-</v>
      </c>
      <c r="H59" s="5">
        <f t="shared" si="4"/>
        <v>205.54798011488549</v>
      </c>
      <c r="I59" s="5">
        <f t="shared" si="5"/>
        <v>8.9216591018998204E-3</v>
      </c>
    </row>
    <row r="60" spans="2:9" ht="14.1" customHeight="1">
      <c r="B60" s="210" t="str">
        <f>IF(Indice_index!$Z$1=1,"Outras receitas de capital","Other capital revenue")</f>
        <v>Outras receitas de capital</v>
      </c>
      <c r="C60" s="5">
        <v>6.9345437299999997</v>
      </c>
      <c r="D60" s="5">
        <v>5.1310000000000002</v>
      </c>
      <c r="E60" s="5">
        <v>5.4606377799999999</v>
      </c>
      <c r="F60" s="5">
        <v>141.52141094999999</v>
      </c>
      <c r="G60" s="5" t="str">
        <f t="shared" si="2"/>
        <v>-</v>
      </c>
      <c r="H60" s="5" t="str">
        <f t="shared" si="4"/>
        <v>-</v>
      </c>
      <c r="I60" s="5">
        <f t="shared" si="5"/>
        <v>0.29427184533957712</v>
      </c>
    </row>
    <row r="61" spans="2:9" ht="14.1" customHeight="1">
      <c r="B61" s="210" t="str">
        <f>IF(Indice_index!$Z$1=1,"Diferenças de consolidação","Consolidation differences")</f>
        <v>Diferenças de consolidação</v>
      </c>
      <c r="C61" s="5">
        <v>0</v>
      </c>
      <c r="D61" s="5">
        <v>11.171103000000002</v>
      </c>
      <c r="E61" s="5">
        <v>0</v>
      </c>
      <c r="F61" s="5">
        <v>0</v>
      </c>
      <c r="G61" s="5">
        <f t="shared" si="2"/>
        <v>0</v>
      </c>
      <c r="H61" s="5"/>
      <c r="I61" s="5"/>
    </row>
    <row r="62" spans="2:9" ht="14.1" customHeight="1">
      <c r="B62" s="32" t="str">
        <f>IF(Indice_index!$Z$1=1,"Receita efetiva","Effective Revenue")</f>
        <v>Receita efetiva</v>
      </c>
      <c r="C62" s="19">
        <f>+C12+C26+C29</f>
        <v>64152.2576328</v>
      </c>
      <c r="D62" s="19">
        <f>+D12+D26+D29</f>
        <v>65641.022333999994</v>
      </c>
      <c r="E62" s="19">
        <f>+E12+E26+E29</f>
        <v>46236.422316579992</v>
      </c>
      <c r="F62" s="19">
        <f>+F12+F26+F29</f>
        <v>49591.995532290006</v>
      </c>
      <c r="G62" s="19">
        <f>IFERROR(IF(F62/D62*100&lt;-500,"-",IF(F62/D62*100&gt;500,"-",F62/D62*100)),"-")</f>
        <v>75.550309499983072</v>
      </c>
      <c r="H62" s="19">
        <f>IFERROR((F62-E62)/E62*100,"-")</f>
        <v>7.2574240124689178</v>
      </c>
      <c r="I62" s="19"/>
    </row>
    <row r="63" spans="2:9" ht="14.1" customHeight="1">
      <c r="B63" s="253" t="str">
        <f>IF(Indice_index!$Z$1=1,"   Por memória:","   Memo item:")</f>
        <v xml:space="preserve">   Por memória:</v>
      </c>
      <c r="C63" s="5"/>
      <c r="D63" s="5"/>
      <c r="E63" s="5"/>
      <c r="F63" s="5"/>
      <c r="G63" s="5"/>
      <c r="H63" s="5"/>
      <c r="I63" s="5"/>
    </row>
    <row r="64" spans="2:9" ht="14.1" customHeight="1">
      <c r="B64" s="210" t="str">
        <f>IF(Indice_index!$Z$1=1,"Ativos financeiros","Financial assets")</f>
        <v>Ativos financeiros</v>
      </c>
      <c r="C64" s="5">
        <f>SUM(C65:C66)</f>
        <v>432.90679234999999</v>
      </c>
      <c r="D64" s="5">
        <f>SUM(D65:D66)</f>
        <v>5067.3159210000003</v>
      </c>
      <c r="E64" s="5">
        <f>SUM(E65:E66)</f>
        <v>139.73045275999999</v>
      </c>
      <c r="F64" s="5">
        <f>SUM(F65:F66)</f>
        <v>254.41774727999999</v>
      </c>
      <c r="G64" s="5"/>
      <c r="H64" s="5"/>
      <c r="I64" s="5"/>
    </row>
    <row r="65" spans="2:9" ht="14.1" customHeight="1">
      <c r="B65" s="300" t="str">
        <f>IF(Indice_index!$Z$1=1,"Alienação de partes sociais de empresas","Divestment of company shares")</f>
        <v>Alienação de partes sociais de empresas</v>
      </c>
      <c r="C65" s="5">
        <v>1.30435E-2</v>
      </c>
      <c r="D65" s="5"/>
      <c r="E65" s="5">
        <v>1.1361039999999999E-2</v>
      </c>
      <c r="F65" s="5"/>
      <c r="G65" s="5"/>
      <c r="H65" s="5"/>
      <c r="I65" s="5"/>
    </row>
    <row r="66" spans="2:9" ht="14.1" customHeight="1">
      <c r="B66" s="300" t="str">
        <f>IF(Indice_index!$Z$1=1,"Outros ativos","Other assets")</f>
        <v>Outros ativos</v>
      </c>
      <c r="C66" s="5">
        <v>432.89374885000001</v>
      </c>
      <c r="D66" s="5">
        <v>5067.3159210000003</v>
      </c>
      <c r="E66" s="5">
        <v>139.71909171999999</v>
      </c>
      <c r="F66" s="5">
        <v>254.41774727999999</v>
      </c>
      <c r="G66" s="5"/>
      <c r="H66" s="5"/>
      <c r="I66" s="5"/>
    </row>
    <row r="67" spans="2:9" ht="14.1" customHeight="1">
      <c r="B67" s="210" t="str">
        <f>IF(Indice_index!$Z$1=1,"Passivos financeiros","Financial liabilities")</f>
        <v>Passivos financeiros</v>
      </c>
      <c r="C67" s="5">
        <v>77673.892038390011</v>
      </c>
      <c r="D67" s="5">
        <v>140489.21453900001</v>
      </c>
      <c r="E67" s="5">
        <v>48436.664616980001</v>
      </c>
      <c r="F67" s="5">
        <v>76576.128034070003</v>
      </c>
      <c r="G67" s="5"/>
      <c r="H67" s="5"/>
      <c r="I67" s="5"/>
    </row>
    <row r="68" spans="2:9" ht="14.1" customHeight="1">
      <c r="B68" s="292" t="str">
        <f>IF(Indice_index!$Z$1=1,"Saldo da gerência anterior","Previous management balance")</f>
        <v>Saldo da gerência anterior</v>
      </c>
      <c r="C68" s="20"/>
      <c r="D68" s="20">
        <v>0</v>
      </c>
      <c r="E68" s="20"/>
      <c r="F68" s="20">
        <v>-2.8319349599999999</v>
      </c>
      <c r="G68" s="20"/>
      <c r="H68" s="20"/>
      <c r="I68" s="20"/>
    </row>
    <row r="69" spans="2:9">
      <c r="B69" s="10" t="str">
        <f>IF(Indice_index!$Z$1=1,"Notas:","Notes:")</f>
        <v>Notas:</v>
      </c>
      <c r="C69" s="10"/>
      <c r="D69" s="10"/>
      <c r="E69" s="10"/>
      <c r="F69" s="10"/>
      <c r="G69" s="10"/>
      <c r="H69" s="10"/>
      <c r="I69" s="10"/>
    </row>
    <row r="70" spans="2:9">
      <c r="B70" s="382" t="str">
        <f>IF(Indice_index!$Z$1=1,"Valores registados no Sistema Central de Receitas (SCR).","Amounts accounted for on the Central Revenue System (SCR).")</f>
        <v>Valores registados no Sistema Central de Receitas (SCR).</v>
      </c>
      <c r="C70" s="382"/>
      <c r="D70" s="382"/>
      <c r="E70" s="382"/>
      <c r="F70" s="382"/>
      <c r="G70" s="382"/>
      <c r="H70" s="382"/>
      <c r="I70" s="382"/>
    </row>
    <row r="71" spans="2:9">
      <c r="B71" s="379" t="str">
        <f>+'3 - Conta AC + SS'!$B$61</f>
        <v>Os dados de 2023 são mensalmente revistos e atualizados face ao publicado nas Sínteses de Execução Orçamental de 2023.</v>
      </c>
      <c r="C71" s="379"/>
      <c r="D71" s="379"/>
      <c r="E71" s="379"/>
      <c r="F71" s="379"/>
      <c r="G71" s="379"/>
      <c r="H71" s="379"/>
      <c r="I71" s="379"/>
    </row>
    <row r="72" spans="2:9">
      <c r="B72" s="382"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382"/>
      <c r="D72" s="382"/>
      <c r="E72" s="382"/>
      <c r="F72" s="382"/>
      <c r="G72" s="382"/>
      <c r="H72" s="382"/>
      <c r="I72" s="382"/>
    </row>
    <row r="73" spans="2:9">
      <c r="B73" s="183" t="str">
        <f>IF(Indice_index!$Z$1=1,"Fonte: Direção-Geral do Orçamento.","Source: Budget General Directorate.")</f>
        <v>Fonte: Direção-Geral do Orçamento.</v>
      </c>
      <c r="C73" s="183"/>
      <c r="D73" s="183"/>
    </row>
    <row r="74" spans="2:9"/>
  </sheetData>
  <mergeCells count="6">
    <mergeCell ref="B72:I72"/>
    <mergeCell ref="B10:B11"/>
    <mergeCell ref="E10:F10"/>
    <mergeCell ref="H10:I10"/>
    <mergeCell ref="B70:I70"/>
    <mergeCell ref="B71:I71"/>
  </mergeCells>
  <conditionalFormatting sqref="C12:I61">
    <cfRule type="cellIs" dxfId="83" priority="2" operator="equal">
      <formula>0</formula>
    </cfRule>
  </conditionalFormatting>
  <conditionalFormatting sqref="C63:I68">
    <cfRule type="cellIs" dxfId="82"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10</Mes>
    <_dlc_DocId xmlns="23bc334f-0e17-402a-872b-0123af4c73a8">X4XX2SRTQWXX-37-1843</_dlc_DocId>
    <_dlc_DocIdUrl xmlns="23bc334f-0e17-402a-872b-0123af4c73a8">
      <Url>https://www.dgo.gov.pt/execucaoorcamental/_layouts/15/DocIdRedir.aspx?ID=X4XX2SRTQWXX-37-1843</Url>
      <Description>X4XX2SRTQWXX-37-1843</Description>
    </_dlc_DocIdUrl>
    <Ano xmlns="23bc334f-0e17-402a-872b-0123af4c73a8">67</An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E11E14-F6D6-4D47-BB89-FC89C5887800}"/>
</file>

<file path=customXml/itemProps2.xml><?xml version="1.0" encoding="utf-8"?>
<ds:datastoreItem xmlns:ds="http://schemas.openxmlformats.org/officeDocument/2006/customXml" ds:itemID="{056923BD-AEEB-47C8-931A-DADC7752F3BE}"/>
</file>

<file path=customXml/itemProps3.xml><?xml version="1.0" encoding="utf-8"?>
<ds:datastoreItem xmlns:ds="http://schemas.openxmlformats.org/officeDocument/2006/customXml" ds:itemID="{D98B45A5-5815-4867-8019-F8B170C640BC}"/>
</file>

<file path=customXml/itemProps4.xml><?xml version="1.0" encoding="utf-8"?>
<ds:datastoreItem xmlns:ds="http://schemas.openxmlformats.org/officeDocument/2006/customXml" ds:itemID="{F431772A-C1C6-4204-A711-B5C4B3A2E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28</vt:i4>
      </vt:variant>
      <vt:variant>
        <vt:lpstr>Intervalos com Nome</vt:lpstr>
      </vt:variant>
      <vt:variant>
        <vt:i4>44</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Lista Entidades AC 2024</vt:lpstr>
      <vt:lpstr>'25 - Lista Entidades AC 2024'!_Toc168407188</vt:lpstr>
      <vt:lpstr>'25 - Lista Entidades AC 2024'!_Toc168407189</vt:lpstr>
      <vt:lpstr>'25 - Lista Entidades AC 2024'!_Toc168407190</vt:lpstr>
      <vt:lpstr>'25 - Lista Entidades AC 2024'!_Toc168407191</vt:lpstr>
      <vt:lpstr>'25 - Lista Entidades AC 2024'!_Toc168407192</vt:lpstr>
      <vt:lpstr>'25 - Lista Entidades AC 2024'!_Toc168407193</vt:lpstr>
      <vt:lpstr>'25 - Lista Entidades AC 2024'!_Toc168407194</vt:lpstr>
      <vt:lpstr>'25 - Lista Entidades AC 2024'!_Toc168407195</vt:lpstr>
      <vt:lpstr>'25 - Lista Entidades AC 2024'!_Toc168407196</vt:lpstr>
      <vt:lpstr>'25 - Lista Entidades AC 2024'!_Toc168407197</vt:lpstr>
      <vt:lpstr>'25 - Lista Entidades AC 2024'!_Toc168407198</vt:lpstr>
      <vt:lpstr>'25 - Lista Entidades AC 2024'!_Toc168407199</vt:lpstr>
      <vt:lpstr>'25 - Lista Entidades AC 2024'!_Toc168407200</vt:lpstr>
      <vt:lpstr>'25 - Lista Entidades AC 2024'!_Toc168407201</vt:lpstr>
      <vt:lpstr>'25 - Lista Entidades AC 2024'!_Toc168407202</vt:lpstr>
      <vt:lpstr>'25 - Lista Entidades AC 2024'!_Toc168407203</vt:lpstr>
      <vt:lpstr>'25 - Lista Entidades AC 2024'!_Toc168407204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'25 - Lista Entidades AC 2024'!Área_de_Impressão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2024-10-25T13:04:32Z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4e54eac6-98f7-401a-8f0c-cf818d4a33fe</vt:lpwstr>
  </property>
</Properties>
</file>