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24.xml" ContentType="application/vnd.openxmlformats-officedocument.drawing+xml"/>
  <Override PartName="/xl/drawings/drawing23.xml" ContentType="application/vnd.openxmlformats-officedocument.drawing+xml"/>
  <Override PartName="/xl/drawings/drawing22.xml" ContentType="application/vnd.openxmlformats-officedocument.drawing+xml"/>
  <Override PartName="/xl/drawings/drawing21.xml" ContentType="application/vnd.openxmlformats-officedocument.drawing+xml"/>
  <Override PartName="/xl/drawings/drawing20.xml" ContentType="application/vnd.openxmlformats-officedocument.drawing+xml"/>
  <Override PartName="/xl/drawings/drawing25.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26.xml" ContentType="application/vnd.openxmlformats-officedocument.drawing+xml"/>
  <Override PartName="/xl/worksheets/sheet1.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drawings/drawing4.xml" ContentType="application/vnd.openxmlformats-officedocument.drawing+xml"/>
  <Override PartName="/xl/drawings/drawing6.xml" ContentType="application/vnd.openxmlformats-officedocument.drawing+xml"/>
  <Override PartName="/xl/drawings/drawing19.xml" ContentType="application/vnd.openxmlformats-officedocument.drawing+xml"/>
  <Override PartName="/xl/styles.xml" ContentType="application/vnd.openxmlformats-officedocument.spreadsheetml.styles+xml"/>
  <Override PartName="/xl/theme/theme1.xml" ContentType="application/vnd.openxmlformats-officedocument.theme+xml"/>
  <Override PartName="/xl/worksheets/sheet27.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drawings/drawing5.xml" ContentType="application/vnd.openxmlformats-officedocument.drawing+xml"/>
  <Override PartName="/xl/drawings/drawing13.xml" ContentType="application/vnd.openxmlformats-officedocument.drawing+xml"/>
  <Override PartName="/xl/drawings/drawing12.xml" ContentType="application/vnd.openxmlformats-officedocument.drawing+xml"/>
  <Override PartName="/xl/drawings/drawing11.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8.xml" ContentType="application/vnd.openxmlformats-officedocument.drawing+xml"/>
  <Override PartName="/xl/drawings/drawing17.xml" ContentType="application/vnd.openxmlformats-officedocument.drawing+xml"/>
  <Override PartName="/xl/drawings/drawing16.xml" ContentType="application/vnd.openxmlformats-officedocument.drawing+xml"/>
  <Override PartName="/xl/drawings/drawing10.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7.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xl/externalLinks/externalLink1.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2"/>
  <workbookPr codeName="EsteLivro"/>
  <mc:AlternateContent xmlns:mc="http://schemas.openxmlformats.org/markup-compatibility/2006">
    <mc:Choice Requires="x15">
      <x15ac:absPath xmlns:x15ac="http://schemas.microsoft.com/office/spreadsheetml/2010/11/ac" url="C:\Users\jose.pereira\Documents\Dados_DGO\Boletins Síntese Execução Orçamental\2022\dezembro\"/>
    </mc:Choice>
  </mc:AlternateContent>
  <xr:revisionPtr revIDLastSave="0" documentId="8_{AD643EEE-8116-4634-AEF8-E1CBB605F85B}" xr6:coauthVersionLast="36" xr6:coauthVersionMax="36" xr10:uidLastSave="{00000000-0000-0000-0000-000000000000}"/>
  <bookViews>
    <workbookView xWindow="0" yWindow="0" windowWidth="20490" windowHeight="7550" tabRatio="874" activeTab="1" xr2:uid="{00000000-000D-0000-FFFF-FFFF00000000}"/>
  </bookViews>
  <sheets>
    <sheet name="Capa EN" sheetId="2" r:id="rId1"/>
    <sheet name="Indice_index" sheetId="4" r:id="rId2"/>
    <sheet name="1 - Saldo Global Rec Desp" sheetId="34" r:id="rId3"/>
    <sheet name="2 - Conta Consol AP" sheetId="6" r:id="rId4"/>
    <sheet name="2.A Conta Consol AP - texto" sheetId="25" state="hidden" r:id="rId5"/>
    <sheet name="Síntese Global" sheetId="24" state="hidden" r:id="rId6"/>
    <sheet name="3 - Medidas COVID-19 AP" sheetId="35" r:id="rId7"/>
    <sheet name="4 - Medidas COVID-19 Subsetores" sheetId="33" r:id="rId8"/>
    <sheet name="5 - Conta AC + SS" sheetId="7" r:id="rId9"/>
    <sheet name="6 - Conta AC" sheetId="8" r:id="rId10"/>
    <sheet name="7 - Estado" sheetId="9" r:id="rId11"/>
    <sheet name="8 - R_Est" sheetId="10" r:id="rId12"/>
    <sheet name="9 - SFA" sheetId="11" r:id="rId13"/>
    <sheet name="10 - EPR" sheetId="12" r:id="rId14"/>
    <sheet name="11 - CGA" sheetId="13" r:id="rId15"/>
    <sheet name="12 - SS" sheetId="14" r:id="rId16"/>
    <sheet name="13 - SS Eco" sheetId="15" r:id="rId17"/>
    <sheet name="14 - Adm R" sheetId="31" r:id="rId18"/>
    <sheet name="15 - Adm Loc" sheetId="17" r:id="rId19"/>
    <sheet name="16 - Despesa Ativos " sheetId="18" r:id="rId20"/>
    <sheet name="17 - SNS exec fin" sheetId="19" r:id="rId21"/>
    <sheet name="18 - Dív não Fin" sheetId="20" r:id="rId22"/>
    <sheet name="19 - CGA Ind" sheetId="27" r:id="rId23"/>
    <sheet name="20 - Ef Temp AC+SS" sheetId="28" r:id="rId24"/>
    <sheet name="21 - Estimativas" sheetId="30" r:id="rId25"/>
    <sheet name="22 - Util. Cond. Dot. Orç" sheetId="37" r:id="rId26"/>
    <sheet name="24 - Lista Entidades AC 2022" sheetId="36" r:id="rId27"/>
  </sheets>
  <externalReferences>
    <externalReference r:id="rId28"/>
  </externalReferences>
  <definedNames>
    <definedName name="_FilterDatabase" localSheetId="21" hidden="1">'18 - Dív não Fin'!$D$39:$R$52</definedName>
    <definedName name="_FilterDatabase" localSheetId="23" hidden="1">'20 - Ef Temp AC+SS'!$C$55:$E$86</definedName>
    <definedName name="_FilterDatabase" localSheetId="26" hidden="1">'24 - Lista Entidades AC 2022'!$C$4:$C$500</definedName>
    <definedName name="_FilterDatabase" localSheetId="5" hidden="1">'Síntese Global'!#REF!</definedName>
    <definedName name="_xlnm.Print_Area" localSheetId="2">'1 - Saldo Global Rec Desp'!$A$1:$P$20</definedName>
    <definedName name="_xlnm.Print_Area" localSheetId="13">'10 - EPR'!$A$1:$K$89</definedName>
    <definedName name="_xlnm.Print_Area" localSheetId="14">'11 - CGA'!$A$1:$K$56</definedName>
    <definedName name="_xlnm.Print_Area" localSheetId="15">'12 - SS'!$A$1:$J$84</definedName>
    <definedName name="_xlnm.Print_Area" localSheetId="16">'13 - SS Eco'!$A$1:$J$77</definedName>
    <definedName name="_xlnm.Print_Area" localSheetId="17">'14 - Adm R'!$A$1:$N$75</definedName>
    <definedName name="_xlnm.Print_Area" localSheetId="18">'15 - Adm Loc'!$A$1:$H$92</definedName>
    <definedName name="_xlnm.Print_Area" localSheetId="19">'16 - Despesa Ativos '!$A$1:$L$34</definedName>
    <definedName name="_xlnm.Print_Area" localSheetId="20">'17 - SNS exec fin'!$A$1:$J$43</definedName>
    <definedName name="_xlnm.Print_Area" localSheetId="21">'18 - Dív não Fin'!$A$1:$S$61</definedName>
    <definedName name="_xlnm.Print_Area" localSheetId="22">'19 - CGA Ind'!$A$1:$Q$598</definedName>
    <definedName name="_xlnm.Print_Area" localSheetId="3">'2 - Conta Consol AP'!$A$1:$S$117</definedName>
    <definedName name="_xlnm.Print_Area" localSheetId="4">'2.A Conta Consol AP - texto'!$A$1:$K$48</definedName>
    <definedName name="_xlnm.Print_Area" localSheetId="23">'20 - Ef Temp AC+SS'!$A$1:$AI$95</definedName>
    <definedName name="_xlnm.Print_Area" localSheetId="24">'21 - Estimativas'!$A$1:$I$52</definedName>
    <definedName name="_xlnm.Print_Area" localSheetId="25">'22 - Util. Cond. Dot. Orç'!$A$1:$H$174</definedName>
    <definedName name="_xlnm.Print_Area" localSheetId="26">'24 - Lista Entidades AC 2022'!$A$1:$D$510</definedName>
    <definedName name="_xlnm.Print_Area" localSheetId="6">'3 - Medidas COVID-19 AP'!$A$1:$F$75</definedName>
    <definedName name="_xlnm.Print_Area" localSheetId="7">'4 - Medidas COVID-19 Subsetores'!$A$1:$J$97</definedName>
    <definedName name="_xlnm.Print_Area" localSheetId="8">'5 - Conta AC + SS'!$A$1:$K$65</definedName>
    <definedName name="_xlnm.Print_Area" localSheetId="9">'6 - Conta AC'!$A$1:$K$63</definedName>
    <definedName name="_xlnm.Print_Area" localSheetId="10">'7 - Estado'!$A$1:$K$78</definedName>
    <definedName name="_xlnm.Print_Area" localSheetId="11">'8 - R_Est'!$A$1:$K$74</definedName>
    <definedName name="_xlnm.Print_Area" localSheetId="12">'9 - SFA'!$A$1:$K$89</definedName>
    <definedName name="_xlnm.Print_Area" localSheetId="1">Indice_index!$A$1:$G$29</definedName>
    <definedName name="_xlnm.Print_Area" localSheetId="5">'Síntese Global'!$A$1:$O$24</definedName>
    <definedName name="EPMWorkbookOptions_2" hidden="1">"OME3C+yiRqx5aARGYkV20diAuLd9TwHYeFtoRV1pPoBzCFYA5VuCFgJEDPTxfKb/NRfEe5rSH5KgrW0+2c9096ZPURTpGx658JbkD/1BUXRBEhUJXSIMvmtbphHCQN9Xhu2D/V+ODLEckPGeZ1tLI8NiYYRpDjxLxpwMfIAhOgIQ03ZgskGebbqzTBM4Q2sDHD+Ce971ANXHfJCXsnZ3+xyCa7twEMAt4MichtdCo1HkRJ6MLglEJATgORgb"</definedName>
    <definedName name="EPMWorkbookOptions_3" hidden="1">"Ty60AoQrmo84+KTtKP7Oelzb6BMowEbyAuadBaABl2vrkOdVnwJ4xhb0g8yA8tuPEu1HfZ7wol5ZP82xfm1BxCQvCJImqhyZ1/hajngG0YbRoWimT2cS5M1tFCtBE8ABxZHxRW5237ONlzl0PQCDlwHd6XZWYLFqdrom22Tbqy/NfgeAJmWANmsuemxvwYQ941E5iaeGv5+4Gdgs0BaY44aLPNcBucTxGZoeEhJ/tB7mvDwS1TsaXfI0g3aD"</definedName>
    <definedName name="EPMWorkbookOptions_4" hidden="1">"E+czSVM1vRxcG2i7vXEs+5YIVUMcLcfX57VYLEf+brjvygdb84Hx0a75yPJB0TUfmD6ung+OLLLvZkrHnytz2nCiqjI/mZavdBTFon8Lixc6uoKFbk8jrlVVUvlprdZcmCXUKvDq6G9J/l5aqwzT6bAsW1yr7eppNSURyRO9JVngZ0iu1y/T9+FjzqvyZCaJk+sn5OOsW6SviVp+1XZ7NNXv94qvWqZ6qzamEK8uI51Cr2uX6bsyEtuunJGP"</definedName>
    <definedName name="EPMWorkbookOptions_5" hidden="1">"s3CFKa8o+kiQxMstXrb44s3l90+Xzz0luPSGtepyYZZQ3Xgq3f+f25Ful2HecD/SqV61CBnE5TmOntPr/D+aotZKzYVZQqkTUR3JgnTBp8Td6ok1IRHXa2qspZoHs8ymqonDC+q097GreMgGLjiR10Njrbh8mCUUJ89VQZMRwUL5W7+3C69fvQ0yQ2T8kGKkybVMc2GWkKkiSPPRBQX6pXoCjSg82U5ja63TPJgldKpOZpeUKV3B8wghhbhM"</definedName>
    <definedName name="EPMWorkbookOptions_6" hidden="1">"2xTdb9W/0ryrUGcjXtHkkXJJsVbwN8WUxrjkf1frB0xvcsLQnHXCfNyNh4CdOejHkXmHDTFrmht1fXoeM2s8PcPJyWAFgb+WHMkDTnIcDrdFboINDBjmlBzFeALpIbxjc+SbnlVFAwsiylPv0wbcf2cmI+cm/jcDWsbCBjMAHw8ZTuyfPx3SJmdjB/8BpKhLmFYrAAA="</definedName>
    <definedName name="euro">200.482</definedName>
    <definedName name="FBX">[1]MapaSub_2008!$B$35:$B$36</definedName>
    <definedName name="NomeTabela">"Dummy"</definedName>
    <definedName name="Print_Area" localSheetId="2">'1 - Saldo Global Rec Desp'!$B$2:$O$20</definedName>
    <definedName name="Print_Area" localSheetId="13">'10 - EPR'!$B$2:$K$88</definedName>
    <definedName name="Print_Area" localSheetId="14">'11 - CGA'!$B$2:$J$56</definedName>
    <definedName name="Print_Area" localSheetId="15">'12 - SS'!$B$2:$I$83</definedName>
    <definedName name="Print_Area" localSheetId="16">'13 - SS Eco'!$B$2:$I$75</definedName>
    <definedName name="Print_Area" localSheetId="17">'14 - Adm R'!$B$2:$M$74</definedName>
    <definedName name="Print_Area" localSheetId="18">'15 - Adm Loc'!$B$2:$G$91</definedName>
    <definedName name="Print_Area" localSheetId="19">'16 - Despesa Ativos '!$B$2:$J$33</definedName>
    <definedName name="Print_Area" localSheetId="20">'17 - SNS exec fin'!$B$2:$I$42</definedName>
    <definedName name="Print_Area" localSheetId="21">'18 - Dív não Fin'!$B$2:$R$57</definedName>
    <definedName name="Print_Area" localSheetId="22">'19 - CGA Ind'!$B$2:$P$598</definedName>
    <definedName name="Print_Area" localSheetId="3">'2 - Conta Consol AP'!$B$2:$Q$116</definedName>
    <definedName name="Print_Area" localSheetId="4">'2.A Conta Consol AP - texto'!$B$2:$J$47</definedName>
    <definedName name="Print_Area" localSheetId="23">'20 - Ef Temp AC+SS'!$B$2:$AH$95</definedName>
    <definedName name="Print_Area" localSheetId="24">'21 - Estimativas'!$B$2:$I$52</definedName>
    <definedName name="Print_Area" localSheetId="26">'24 - Lista Entidades AC 2022'!$A$1:$D$508</definedName>
    <definedName name="Print_Area" localSheetId="6">'3 - Medidas COVID-19 AP'!$A$2:$E$75</definedName>
    <definedName name="Print_Area" localSheetId="7">'4 - Medidas COVID-19 Subsetores'!$B$2:$I$96</definedName>
    <definedName name="Print_Area" localSheetId="8">'5 - Conta AC + SS'!$B$2:$J$65</definedName>
    <definedName name="Print_Area" localSheetId="9">'6 - Conta AC'!$B$2:$J$61</definedName>
    <definedName name="Print_Area" localSheetId="10">'7 - Estado'!$B$2:$J$78</definedName>
    <definedName name="Print_Area" localSheetId="11">'8 - R_Est'!$B$2:$J$74</definedName>
    <definedName name="Print_Area" localSheetId="12">'9 - SFA'!$B$2:$K$88</definedName>
    <definedName name="Print_Area" localSheetId="0">'Capa EN'!$A$1:$L$54,'Capa EN'!$A$57:$L$111</definedName>
    <definedName name="Print_Area" localSheetId="1">Indice_index!$B$3:$G$26</definedName>
    <definedName name="Print_Area" localSheetId="5">'Síntese Global'!$B$2:$O$23</definedName>
    <definedName name="Print_Titles" localSheetId="14">'11 - CGA'!$3:$5</definedName>
    <definedName name="Print_Titles" localSheetId="22">'19 - CGA Ind'!$2:$3</definedName>
    <definedName name="Print_Titles" localSheetId="3">'2 - Conta Consol AP'!$2:$3</definedName>
    <definedName name="Print_Titles" localSheetId="23">'20 - Ef Temp AC+SS'!$2:$3</definedName>
    <definedName name="Print_Titles" localSheetId="24">'21 - Estimativas'!$B:$C,'21 - Estimativas'!$2:$3</definedName>
    <definedName name="Print_Titles" localSheetId="26">'24 - Lista Entidades AC 2022'!$1:$3</definedName>
    <definedName name="Print_Titles" localSheetId="9">'6 - Conta AC'!$5:$6</definedName>
    <definedName name="_xlnm.Print_Titles" localSheetId="2">'1 - Saldo Global Rec Desp'!$2:$3</definedName>
    <definedName name="_xlnm.Print_Titles" localSheetId="13">'10 - EPR'!$2:$3</definedName>
    <definedName name="_xlnm.Print_Titles" localSheetId="14">'11 - CGA'!$2:$3</definedName>
    <definedName name="_xlnm.Print_Titles" localSheetId="15">'12 - SS'!$2:$3</definedName>
    <definedName name="_xlnm.Print_Titles" localSheetId="16">'13 - SS Eco'!$2:$3</definedName>
    <definedName name="_xlnm.Print_Titles" localSheetId="17">'14 - Adm R'!$2:$3</definedName>
    <definedName name="_xlnm.Print_Titles" localSheetId="18">'15 - Adm Loc'!$2:$3</definedName>
    <definedName name="_xlnm.Print_Titles" localSheetId="19">'16 - Despesa Ativos '!$2:$3</definedName>
    <definedName name="_xlnm.Print_Titles" localSheetId="20">'17 - SNS exec fin'!$2:$3</definedName>
    <definedName name="_xlnm.Print_Titles" localSheetId="21">'18 - Dív não Fin'!$2:$3</definedName>
    <definedName name="_xlnm.Print_Titles" localSheetId="22">'19 - CGA Ind'!$2:$3</definedName>
    <definedName name="_xlnm.Print_Titles" localSheetId="3">'2 - Conta Consol AP'!$2:$3</definedName>
    <definedName name="_xlnm.Print_Titles" localSheetId="23">'20 - Ef Temp AC+SS'!$2:$3</definedName>
    <definedName name="_xlnm.Print_Titles" localSheetId="24">'21 - Estimativas'!$2:$3</definedName>
    <definedName name="_xlnm.Print_Titles" localSheetId="25">'22 - Util. Cond. Dot. Orç'!$2:$7</definedName>
    <definedName name="_xlnm.Print_Titles" localSheetId="26">'24 - Lista Entidades AC 2022'!$2:$3</definedName>
    <definedName name="_xlnm.Print_Titles" localSheetId="6">'3 - Medidas COVID-19 AP'!$2:$3</definedName>
    <definedName name="_xlnm.Print_Titles" localSheetId="7">'4 - Medidas COVID-19 Subsetores'!$2:$3</definedName>
    <definedName name="_xlnm.Print_Titles" localSheetId="8">'5 - Conta AC + SS'!$2:$3</definedName>
    <definedName name="_xlnm.Print_Titles" localSheetId="9">'6 - Conta AC'!$2:$3</definedName>
    <definedName name="_xlnm.Print_Titles" localSheetId="10">'7 - Estado'!$2:$3</definedName>
    <definedName name="_xlnm.Print_Titles" localSheetId="11">'8 - R_Est'!$2:$3</definedName>
    <definedName name="_xlnm.Print_Titles" localSheetId="12">'9 - SFA'!$2:$3</definedName>
    <definedName name="Z_0011D0C0_6BC7_4DE9_8F83_86F2D0A38DF4_.wvu.Cols" localSheetId="13" hidden="1">'10 - EPR'!#REF!</definedName>
    <definedName name="Z_0011D0C0_6BC7_4DE9_8F83_86F2D0A38DF4_.wvu.Cols" localSheetId="15" hidden="1">'12 - SS'!#REF!</definedName>
    <definedName name="Z_0011D0C0_6BC7_4DE9_8F83_86F2D0A38DF4_.wvu.Cols" localSheetId="21" hidden="1">'18 - Dív não Fin'!$AB:$AD</definedName>
    <definedName name="Z_0011D0C0_6BC7_4DE9_8F83_86F2D0A38DF4_.wvu.Cols" localSheetId="10" hidden="1">'7 - Estado'!#REF!</definedName>
    <definedName name="Z_0011D0C0_6BC7_4DE9_8F83_86F2D0A38DF4_.wvu.Cols" localSheetId="11" hidden="1">'8 - R_Est'!#REF!</definedName>
    <definedName name="Z_0011D0C0_6BC7_4DE9_8F83_86F2D0A38DF4_.wvu.Cols" localSheetId="12" hidden="1">'9 - SFA'!#REF!</definedName>
    <definedName name="Z_0011D0C0_6BC7_4DE9_8F83_86F2D0A38DF4_.wvu.Cols" localSheetId="1" hidden="1">Indice_index!$X:$Z</definedName>
    <definedName name="Z_0011D0C0_6BC7_4DE9_8F83_86F2D0A38DF4_.wvu.FilterData" localSheetId="5" hidden="1">'Síntese Global'!#REF!</definedName>
    <definedName name="Z_0011D0C0_6BC7_4DE9_8F83_86F2D0A38DF4_.wvu.PrintArea" localSheetId="13" hidden="1">'10 - EPR'!$C$2:$J$88</definedName>
    <definedName name="Z_0011D0C0_6BC7_4DE9_8F83_86F2D0A38DF4_.wvu.PrintArea" localSheetId="14" hidden="1">'11 - CGA'!$B$2:$J$52</definedName>
    <definedName name="Z_0011D0C0_6BC7_4DE9_8F83_86F2D0A38DF4_.wvu.PrintArea" localSheetId="15" hidden="1">'12 - SS'!$B$2:$G$76</definedName>
    <definedName name="Z_0011D0C0_6BC7_4DE9_8F83_86F2D0A38DF4_.wvu.PrintArea" localSheetId="17" hidden="1">'14 - Adm R'!#REF!</definedName>
    <definedName name="Z_0011D0C0_6BC7_4DE9_8F83_86F2D0A38DF4_.wvu.PrintArea" localSheetId="18" hidden="1">'15 - Adm Loc'!#REF!</definedName>
    <definedName name="Z_0011D0C0_6BC7_4DE9_8F83_86F2D0A38DF4_.wvu.PrintArea" localSheetId="20" hidden="1">'17 - SNS exec fin'!$B$2:$F$46</definedName>
    <definedName name="Z_0011D0C0_6BC7_4DE9_8F83_86F2D0A38DF4_.wvu.PrintArea" localSheetId="21" hidden="1">'18 - Dív não Fin'!$B$2:$R$32</definedName>
    <definedName name="Z_0011D0C0_6BC7_4DE9_8F83_86F2D0A38DF4_.wvu.PrintArea" localSheetId="22" hidden="1">'19 - CGA Ind'!$B$2:$O$451</definedName>
    <definedName name="Z_0011D0C0_6BC7_4DE9_8F83_86F2D0A38DF4_.wvu.PrintArea" localSheetId="24" hidden="1">'21 - Estimativas'!$B$2:$C$43</definedName>
    <definedName name="Z_0011D0C0_6BC7_4DE9_8F83_86F2D0A38DF4_.wvu.PrintArea" localSheetId="8" hidden="1">'5 - Conta AC + SS'!$B$1:$J$65</definedName>
    <definedName name="Z_0011D0C0_6BC7_4DE9_8F83_86F2D0A38DF4_.wvu.PrintArea" localSheetId="10" hidden="1">'7 - Estado'!$C$2:$C$73</definedName>
    <definedName name="Z_0011D0C0_6BC7_4DE9_8F83_86F2D0A38DF4_.wvu.PrintArea" localSheetId="11" hidden="1">'8 - R_Est'!$B$2:$J$74</definedName>
    <definedName name="Z_0011D0C0_6BC7_4DE9_8F83_86F2D0A38DF4_.wvu.PrintArea" localSheetId="12" hidden="1">'9 - SFA'!$C$2:$J$87</definedName>
    <definedName name="Z_0011D0C0_6BC7_4DE9_8F83_86F2D0A38DF4_.wvu.PrintArea" localSheetId="1" hidden="1">Indice_index!$B$3:$C$16</definedName>
    <definedName name="Z_0011D0C0_6BC7_4DE9_8F83_86F2D0A38DF4_.wvu.PrintArea" localSheetId="5" hidden="1">'Síntese Global'!$B$2:$N$4</definedName>
    <definedName name="Z_0011D0C0_6BC7_4DE9_8F83_86F2D0A38DF4_.wvu.PrintTitles" localSheetId="14" hidden="1">'11 - CGA'!$3:$5</definedName>
    <definedName name="Z_0011D0C0_6BC7_4DE9_8F83_86F2D0A38DF4_.wvu.Rows" localSheetId="5" hidden="1">'Síntese Global'!#REF!</definedName>
    <definedName name="Z_002C86D7_DEB9_4214_9360_3C52A2952F89_.wvu.FilterData" localSheetId="5" hidden="1">'Síntese Global'!#REF!</definedName>
    <definedName name="Z_050A4FBA_FDB7_4B92_B642_91A7335D3C37_.wvu.FilterData" localSheetId="5" hidden="1">'Síntese Global'!#REF!</definedName>
    <definedName name="Z_09518DF4_73EF_411B_9CE0_0471F93930DC_.wvu.FilterData" localSheetId="5" hidden="1">'Síntese Global'!#REF!</definedName>
    <definedName name="Z_0C0AE94C_28F1_4FD2_A8FE_F417DD17C0C4_.wvu.Cols" localSheetId="13" hidden="1">'10 - EPR'!#REF!,'10 - EPR'!#REF!</definedName>
    <definedName name="Z_0C0AE94C_28F1_4FD2_A8FE_F417DD17C0C4_.wvu.Cols" localSheetId="15" hidden="1">'12 - SS'!#REF!</definedName>
    <definedName name="Z_0C0AE94C_28F1_4FD2_A8FE_F417DD17C0C4_.wvu.Cols" localSheetId="21" hidden="1">'18 - Dív não Fin'!$AB:$AD</definedName>
    <definedName name="Z_0C0AE94C_28F1_4FD2_A8FE_F417DD17C0C4_.wvu.Cols" localSheetId="10" hidden="1">'7 - Estado'!#REF!,'7 - Estado'!#REF!</definedName>
    <definedName name="Z_0C0AE94C_28F1_4FD2_A8FE_F417DD17C0C4_.wvu.Cols" localSheetId="11" hidden="1">'8 - R_Est'!#REF!</definedName>
    <definedName name="Z_0C0AE94C_28F1_4FD2_A8FE_F417DD17C0C4_.wvu.Cols" localSheetId="12" hidden="1">'9 - SFA'!#REF!,'9 - SFA'!#REF!</definedName>
    <definedName name="Z_0C0AE94C_28F1_4FD2_A8FE_F417DD17C0C4_.wvu.Cols" localSheetId="1" hidden="1">Indice_index!$X:$Z</definedName>
    <definedName name="Z_0C0AE94C_28F1_4FD2_A8FE_F417DD17C0C4_.wvu.FilterData" localSheetId="5" hidden="1">'Síntese Global'!#REF!</definedName>
    <definedName name="Z_0C0AE94C_28F1_4FD2_A8FE_F417DD17C0C4_.wvu.PrintArea" localSheetId="2" hidden="1">'1 - Saldo Global Rec Desp'!$B$2:$O$3</definedName>
    <definedName name="Z_0C0AE94C_28F1_4FD2_A8FE_F417DD17C0C4_.wvu.PrintArea" localSheetId="13" hidden="1">'10 - EPR'!$B$2:$J$88</definedName>
    <definedName name="Z_0C0AE94C_28F1_4FD2_A8FE_F417DD17C0C4_.wvu.PrintArea" localSheetId="14" hidden="1">'11 - CGA'!$B$2:$J$52</definedName>
    <definedName name="Z_0C0AE94C_28F1_4FD2_A8FE_F417DD17C0C4_.wvu.PrintArea" localSheetId="15" hidden="1">'12 - SS'!$B$2:$G$76</definedName>
    <definedName name="Z_0C0AE94C_28F1_4FD2_A8FE_F417DD17C0C4_.wvu.PrintArea" localSheetId="17" hidden="1">'14 - Adm R'!#REF!</definedName>
    <definedName name="Z_0C0AE94C_28F1_4FD2_A8FE_F417DD17C0C4_.wvu.PrintArea" localSheetId="18" hidden="1">'15 - Adm Loc'!#REF!</definedName>
    <definedName name="Z_0C0AE94C_28F1_4FD2_A8FE_F417DD17C0C4_.wvu.PrintArea" localSheetId="20" hidden="1">'17 - SNS exec fin'!$B$2:$F$46</definedName>
    <definedName name="Z_0C0AE94C_28F1_4FD2_A8FE_F417DD17C0C4_.wvu.PrintArea" localSheetId="21" hidden="1">'18 - Dív não Fin'!$B$2:$R$56</definedName>
    <definedName name="Z_0C0AE94C_28F1_4FD2_A8FE_F417DD17C0C4_.wvu.PrintArea" localSheetId="22" hidden="1">'19 - CGA Ind'!$B$2:$O$451</definedName>
    <definedName name="Z_0C0AE94C_28F1_4FD2_A8FE_F417DD17C0C4_.wvu.PrintArea" localSheetId="24" hidden="1">'21 - Estimativas'!$B$2:$C$43</definedName>
    <definedName name="Z_0C0AE94C_28F1_4FD2_A8FE_F417DD17C0C4_.wvu.PrintArea" localSheetId="8" hidden="1">'5 - Conta AC + SS'!$B$2:$J$65</definedName>
    <definedName name="Z_0C0AE94C_28F1_4FD2_A8FE_F417DD17C0C4_.wvu.PrintArea" localSheetId="10" hidden="1">'7 - Estado'!$B$2:$C$73</definedName>
    <definedName name="Z_0C0AE94C_28F1_4FD2_A8FE_F417DD17C0C4_.wvu.PrintArea" localSheetId="11" hidden="1">'8 - R_Est'!$B$2:$J$74</definedName>
    <definedName name="Z_0C0AE94C_28F1_4FD2_A8FE_F417DD17C0C4_.wvu.PrintArea" localSheetId="12" hidden="1">'9 - SFA'!$B$2:$J$95</definedName>
    <definedName name="Z_0C0AE94C_28F1_4FD2_A8FE_F417DD17C0C4_.wvu.PrintArea" localSheetId="1" hidden="1">Indice_index!$B$3:$C$16,Indice_index!$B$17:$C$32</definedName>
    <definedName name="Z_0C0AE94C_28F1_4FD2_A8FE_F417DD17C0C4_.wvu.PrintArea" localSheetId="5" hidden="1">'Síntese Global'!$B$2:$N$4</definedName>
    <definedName name="Z_0C0AE94C_28F1_4FD2_A8FE_F417DD17C0C4_.wvu.PrintTitles" localSheetId="14" hidden="1">'11 - CGA'!$3:$5</definedName>
    <definedName name="Z_0C0AE94C_28F1_4FD2_A8FE_F417DD17C0C4_.wvu.Rows" localSheetId="1" hidden="1">Indice_index!#REF!</definedName>
    <definedName name="Z_10FD759A_8A85_4017_A8F8_793D381065B1_.wvu.Cols" localSheetId="9" hidden="1">'6 - Conta AC'!#REF!</definedName>
    <definedName name="Z_10FD759A_8A85_4017_A8F8_793D381065B1_.wvu.PrintArea" localSheetId="9" hidden="1">'6 - Conta AC'!$B$1:$G$57</definedName>
    <definedName name="Z_10FD759A_8A85_4017_A8F8_793D381065B1_.wvu.Rows" localSheetId="9" hidden="1">'6 - Conta AC'!#REF!</definedName>
    <definedName name="Z_19106D81_6880_4D7D_8D85_B19D0F8C539E_.wvu.FilterData" localSheetId="5" hidden="1">'Síntese Global'!#REF!</definedName>
    <definedName name="Z_1C59E64B_D7DD_4910_B456_1656811B6186_.wvu.PrintArea" localSheetId="9" hidden="1">'6 - Conta AC'!$B$1:$G$57</definedName>
    <definedName name="Z_1C59E64B_D7DD_4910_B456_1656811B6186_.wvu.Rows" localSheetId="9" hidden="1">'6 - Conta AC'!#REF!</definedName>
    <definedName name="Z_1C8A8EBD_B8E0_4A0A_BA98_B49A8F68A81D_.wvu.Cols" localSheetId="9" hidden="1">'6 - Conta AC'!#REF!</definedName>
    <definedName name="Z_1C8A8EBD_B8E0_4A0A_BA98_B49A8F68A81D_.wvu.PrintArea" localSheetId="9" hidden="1">'6 - Conta AC'!$B$1:$G$57</definedName>
    <definedName name="Z_1C8A8EBD_B8E0_4A0A_BA98_B49A8F68A81D_.wvu.Rows" localSheetId="9" hidden="1">'6 - Conta AC'!#REF!</definedName>
    <definedName name="Z_2C619B4E_8281_44A7_B391_DA0103A39A2A_.wvu.FilterData" localSheetId="5" hidden="1">'Síntese Global'!#REF!</definedName>
    <definedName name="Z_2EA2D52B_13B2_48C6_A647_E974628AB287_.wvu.Cols" localSheetId="13" hidden="1">'10 - EPR'!#REF!</definedName>
    <definedName name="Z_2EA2D52B_13B2_48C6_A647_E974628AB287_.wvu.Cols" localSheetId="15" hidden="1">'12 - SS'!#REF!</definedName>
    <definedName name="Z_2EA2D52B_13B2_48C6_A647_E974628AB287_.wvu.Cols" localSheetId="21" hidden="1">'18 - Dív não Fin'!$AB:$AD</definedName>
    <definedName name="Z_2EA2D52B_13B2_48C6_A647_E974628AB287_.wvu.Cols" localSheetId="10" hidden="1">'7 - Estado'!#REF!</definedName>
    <definedName name="Z_2EA2D52B_13B2_48C6_A647_E974628AB287_.wvu.Cols" localSheetId="11" hidden="1">'8 - R_Est'!#REF!</definedName>
    <definedName name="Z_2EA2D52B_13B2_48C6_A647_E974628AB287_.wvu.Cols" localSheetId="12" hidden="1">'9 - SFA'!#REF!</definedName>
    <definedName name="Z_2EA2D52B_13B2_48C6_A647_E974628AB287_.wvu.Cols" localSheetId="1" hidden="1">Indice_index!$X:$Z</definedName>
    <definedName name="Z_2EA2D52B_13B2_48C6_A647_E974628AB287_.wvu.FilterData" localSheetId="5" hidden="1">'Síntese Global'!#REF!</definedName>
    <definedName name="Z_2EA2D52B_13B2_48C6_A647_E974628AB287_.wvu.PrintArea" localSheetId="2" hidden="1">'1 - Saldo Global Rec Desp'!$B$2:$O$3</definedName>
    <definedName name="Z_2EA2D52B_13B2_48C6_A647_E974628AB287_.wvu.PrintArea" localSheetId="13" hidden="1">'10 - EPR'!$C$2:$J$88</definedName>
    <definedName name="Z_2EA2D52B_13B2_48C6_A647_E974628AB287_.wvu.PrintArea" localSheetId="14" hidden="1">'11 - CGA'!$B$2:$J$52</definedName>
    <definedName name="Z_2EA2D52B_13B2_48C6_A647_E974628AB287_.wvu.PrintArea" localSheetId="15" hidden="1">'12 - SS'!$B$2:$G$76</definedName>
    <definedName name="Z_2EA2D52B_13B2_48C6_A647_E974628AB287_.wvu.PrintArea" localSheetId="17" hidden="1">'14 - Adm R'!#REF!</definedName>
    <definedName name="Z_2EA2D52B_13B2_48C6_A647_E974628AB287_.wvu.PrintArea" localSheetId="18" hidden="1">'15 - Adm Loc'!#REF!</definedName>
    <definedName name="Z_2EA2D52B_13B2_48C6_A647_E974628AB287_.wvu.PrintArea" localSheetId="20" hidden="1">'17 - SNS exec fin'!$B$2:$F$46</definedName>
    <definedName name="Z_2EA2D52B_13B2_48C6_A647_E974628AB287_.wvu.PrintArea" localSheetId="21" hidden="1">'18 - Dív não Fin'!$B$2:$R$32</definedName>
    <definedName name="Z_2EA2D52B_13B2_48C6_A647_E974628AB287_.wvu.PrintArea" localSheetId="22" hidden="1">'19 - CGA Ind'!$B$2:$O$451</definedName>
    <definedName name="Z_2EA2D52B_13B2_48C6_A647_E974628AB287_.wvu.PrintArea" localSheetId="24" hidden="1">'21 - Estimativas'!$B$2:$C$43</definedName>
    <definedName name="Z_2EA2D52B_13B2_48C6_A647_E974628AB287_.wvu.PrintArea" localSheetId="8" hidden="1">'5 - Conta AC + SS'!$B$1:$C$59</definedName>
    <definedName name="Z_2EA2D52B_13B2_48C6_A647_E974628AB287_.wvu.PrintArea" localSheetId="10" hidden="1">'7 - Estado'!$C$2:$C$73</definedName>
    <definedName name="Z_2EA2D52B_13B2_48C6_A647_E974628AB287_.wvu.PrintArea" localSheetId="11" hidden="1">'8 - R_Est'!$B$2:$J$72</definedName>
    <definedName name="Z_2EA2D52B_13B2_48C6_A647_E974628AB287_.wvu.PrintArea" localSheetId="12" hidden="1">'9 - SFA'!$C$2:$J$96</definedName>
    <definedName name="Z_2EA2D52B_13B2_48C6_A647_E974628AB287_.wvu.PrintArea" localSheetId="1" hidden="1">Indice_index!$B$3:$C$16</definedName>
    <definedName name="Z_2EA2D52B_13B2_48C6_A647_E974628AB287_.wvu.PrintArea" localSheetId="5" hidden="1">'Síntese Global'!$B$2:$N$4</definedName>
    <definedName name="Z_2EA2D52B_13B2_48C6_A647_E974628AB287_.wvu.PrintTitles" localSheetId="14" hidden="1">'11 - CGA'!$3:$5</definedName>
    <definedName name="Z_2EA2D52B_13B2_48C6_A647_E974628AB287_.wvu.Rows" localSheetId="5" hidden="1">'Síntese Global'!#REF!</definedName>
    <definedName name="Z_2EBFBD63_3DBA_47FE_A87E_4C36399951BD_.wvu.PrintArea" localSheetId="14" hidden="1">'11 - CGA'!$C$3:$I$51</definedName>
    <definedName name="Z_2EBFBD63_3DBA_47FE_A87E_4C36399951BD_.wvu.PrintTitles" localSheetId="14" hidden="1">'11 - CGA'!$3:$5</definedName>
    <definedName name="Z_2EBFBD63_3DBA_47FE_A87E_4C36399951BD_.wvu.Rows" localSheetId="14" hidden="1">'11 - CGA'!#REF!</definedName>
    <definedName name="Z_32EFB476_A129_4F81_99B1_D66A28D18CC4_.wvu.FilterData" localSheetId="5" hidden="1">'Síntese Global'!#REF!</definedName>
    <definedName name="Z_397AD331_8EE9_49A3_85C5_CAAF9519E963_.wvu.Cols" localSheetId="13" hidden="1">'10 - EPR'!#REF!</definedName>
    <definedName name="Z_397AD331_8EE9_49A3_85C5_CAAF9519E963_.wvu.Cols" localSheetId="15" hidden="1">'12 - SS'!#REF!</definedName>
    <definedName name="Z_397AD331_8EE9_49A3_85C5_CAAF9519E963_.wvu.Cols" localSheetId="21" hidden="1">'18 - Dív não Fin'!$AB:$AD</definedName>
    <definedName name="Z_397AD331_8EE9_49A3_85C5_CAAF9519E963_.wvu.Cols" localSheetId="10" hidden="1">'7 - Estado'!#REF!</definedName>
    <definedName name="Z_397AD331_8EE9_49A3_85C5_CAAF9519E963_.wvu.Cols" localSheetId="11" hidden="1">'8 - R_Est'!#REF!</definedName>
    <definedName name="Z_397AD331_8EE9_49A3_85C5_CAAF9519E963_.wvu.Cols" localSheetId="12" hidden="1">'9 - SFA'!#REF!</definedName>
    <definedName name="Z_397AD331_8EE9_49A3_85C5_CAAF9519E963_.wvu.Cols" localSheetId="1" hidden="1">Indice_index!$X:$Z</definedName>
    <definedName name="Z_397AD331_8EE9_49A3_85C5_CAAF9519E963_.wvu.FilterData" localSheetId="5" hidden="1">'Síntese Global'!#REF!</definedName>
    <definedName name="Z_397AD331_8EE9_49A3_85C5_CAAF9519E963_.wvu.PrintArea" localSheetId="2" hidden="1">'1 - Saldo Global Rec Desp'!$B$2:$O$3</definedName>
    <definedName name="Z_397AD331_8EE9_49A3_85C5_CAAF9519E963_.wvu.PrintArea" localSheetId="13" hidden="1">'10 - EPR'!$C$2:$J$88</definedName>
    <definedName name="Z_397AD331_8EE9_49A3_85C5_CAAF9519E963_.wvu.PrintArea" localSheetId="14" hidden="1">'11 - CGA'!$B$2:$J$52</definedName>
    <definedName name="Z_397AD331_8EE9_49A3_85C5_CAAF9519E963_.wvu.PrintArea" localSheetId="15" hidden="1">'12 - SS'!$B$2:$G$76</definedName>
    <definedName name="Z_397AD331_8EE9_49A3_85C5_CAAF9519E963_.wvu.PrintArea" localSheetId="17" hidden="1">'14 - Adm R'!#REF!</definedName>
    <definedName name="Z_397AD331_8EE9_49A3_85C5_CAAF9519E963_.wvu.PrintArea" localSheetId="18" hidden="1">'15 - Adm Loc'!#REF!</definedName>
    <definedName name="Z_397AD331_8EE9_49A3_85C5_CAAF9519E963_.wvu.PrintArea" localSheetId="20" hidden="1">'17 - SNS exec fin'!$B$2:$F$46</definedName>
    <definedName name="Z_397AD331_8EE9_49A3_85C5_CAAF9519E963_.wvu.PrintArea" localSheetId="21" hidden="1">'18 - Dív não Fin'!$B$2:$R$32</definedName>
    <definedName name="Z_397AD331_8EE9_49A3_85C5_CAAF9519E963_.wvu.PrintArea" localSheetId="22" hidden="1">'19 - CGA Ind'!$B$2:$O$451</definedName>
    <definedName name="Z_397AD331_8EE9_49A3_85C5_CAAF9519E963_.wvu.PrintArea" localSheetId="24" hidden="1">'21 - Estimativas'!$B$2:$C$43</definedName>
    <definedName name="Z_397AD331_8EE9_49A3_85C5_CAAF9519E963_.wvu.PrintArea" localSheetId="8" hidden="1">'5 - Conta AC + SS'!$B$1:$C$59</definedName>
    <definedName name="Z_397AD331_8EE9_49A3_85C5_CAAF9519E963_.wvu.PrintArea" localSheetId="10" hidden="1">'7 - Estado'!$C$2:$C$73</definedName>
    <definedName name="Z_397AD331_8EE9_49A3_85C5_CAAF9519E963_.wvu.PrintArea" localSheetId="11" hidden="1">'8 - R_Est'!$B$2:$J$72</definedName>
    <definedName name="Z_397AD331_8EE9_49A3_85C5_CAAF9519E963_.wvu.PrintArea" localSheetId="12" hidden="1">'9 - SFA'!$C$2:$J$96</definedName>
    <definedName name="Z_397AD331_8EE9_49A3_85C5_CAAF9519E963_.wvu.PrintArea" localSheetId="1" hidden="1">Indice_index!$B$3:$C$16</definedName>
    <definedName name="Z_397AD331_8EE9_49A3_85C5_CAAF9519E963_.wvu.PrintArea" localSheetId="5" hidden="1">'Síntese Global'!$B$2:$N$4</definedName>
    <definedName name="Z_397AD331_8EE9_49A3_85C5_CAAF9519E963_.wvu.PrintTitles" localSheetId="14" hidden="1">'11 - CGA'!$3:$5</definedName>
    <definedName name="Z_3CBF401B_BA90_4504_A812_4461208B2AAF_.wvu.Cols" localSheetId="13" hidden="1">'10 - EPR'!#REF!,'10 - EPR'!#REF!</definedName>
    <definedName name="Z_3CBF401B_BA90_4504_A812_4461208B2AAF_.wvu.Cols" localSheetId="15" hidden="1">'12 - SS'!#REF!</definedName>
    <definedName name="Z_3CBF401B_BA90_4504_A812_4461208B2AAF_.wvu.Cols" localSheetId="21" hidden="1">'18 - Dív não Fin'!$AB:$AD</definedName>
    <definedName name="Z_3CBF401B_BA90_4504_A812_4461208B2AAF_.wvu.Cols" localSheetId="10" hidden="1">'7 - Estado'!#REF!,'7 - Estado'!#REF!</definedName>
    <definedName name="Z_3CBF401B_BA90_4504_A812_4461208B2AAF_.wvu.Cols" localSheetId="11" hidden="1">'8 - R_Est'!#REF!</definedName>
    <definedName name="Z_3CBF401B_BA90_4504_A812_4461208B2AAF_.wvu.Cols" localSheetId="12" hidden="1">'9 - SFA'!#REF!,'9 - SFA'!#REF!</definedName>
    <definedName name="Z_3CBF401B_BA90_4504_A812_4461208B2AAF_.wvu.Cols" localSheetId="1" hidden="1">Indice_index!$X:$Z</definedName>
    <definedName name="Z_3CBF401B_BA90_4504_A812_4461208B2AAF_.wvu.FilterData" localSheetId="5" hidden="1">'Síntese Global'!#REF!</definedName>
    <definedName name="Z_3CBF401B_BA90_4504_A812_4461208B2AAF_.wvu.PrintArea" localSheetId="2" hidden="1">'1 - Saldo Global Rec Desp'!$B$2:$O$3</definedName>
    <definedName name="Z_3CBF401B_BA90_4504_A812_4461208B2AAF_.wvu.PrintArea" localSheetId="13" hidden="1">'10 - EPR'!$B$2:$J$88</definedName>
    <definedName name="Z_3CBF401B_BA90_4504_A812_4461208B2AAF_.wvu.PrintArea" localSheetId="14" hidden="1">'11 - CGA'!$B$2:$J$52</definedName>
    <definedName name="Z_3CBF401B_BA90_4504_A812_4461208B2AAF_.wvu.PrintArea" localSheetId="15" hidden="1">'12 - SS'!$B$2:$G$76</definedName>
    <definedName name="Z_3CBF401B_BA90_4504_A812_4461208B2AAF_.wvu.PrintArea" localSheetId="17" hidden="1">'14 - Adm R'!#REF!</definedName>
    <definedName name="Z_3CBF401B_BA90_4504_A812_4461208B2AAF_.wvu.PrintArea" localSheetId="18" hidden="1">'15 - Adm Loc'!#REF!</definedName>
    <definedName name="Z_3CBF401B_BA90_4504_A812_4461208B2AAF_.wvu.PrintArea" localSheetId="20" hidden="1">'17 - SNS exec fin'!$B$2:$F$46</definedName>
    <definedName name="Z_3CBF401B_BA90_4504_A812_4461208B2AAF_.wvu.PrintArea" localSheetId="21" hidden="1">'18 - Dív não Fin'!$B$2:$R$56</definedName>
    <definedName name="Z_3CBF401B_BA90_4504_A812_4461208B2AAF_.wvu.PrintArea" localSheetId="22" hidden="1">'19 - CGA Ind'!$B$2:$O$451</definedName>
    <definedName name="Z_3CBF401B_BA90_4504_A812_4461208B2AAF_.wvu.PrintArea" localSheetId="24" hidden="1">'21 - Estimativas'!$B$2:$C$43</definedName>
    <definedName name="Z_3CBF401B_BA90_4504_A812_4461208B2AAF_.wvu.PrintArea" localSheetId="8" hidden="1">'5 - Conta AC + SS'!$B$2:$J$65</definedName>
    <definedName name="Z_3CBF401B_BA90_4504_A812_4461208B2AAF_.wvu.PrintArea" localSheetId="10" hidden="1">'7 - Estado'!$B$2:$C$73</definedName>
    <definedName name="Z_3CBF401B_BA90_4504_A812_4461208B2AAF_.wvu.PrintArea" localSheetId="11" hidden="1">'8 - R_Est'!$B$2:$J$72</definedName>
    <definedName name="Z_3CBF401B_BA90_4504_A812_4461208B2AAF_.wvu.PrintArea" localSheetId="12" hidden="1">'9 - SFA'!$B$2:$J$95</definedName>
    <definedName name="Z_3CBF401B_BA90_4504_A812_4461208B2AAF_.wvu.PrintArea" localSheetId="1" hidden="1">Indice_index!$B$3:$C$16,Indice_index!$B$17:$C$32</definedName>
    <definedName name="Z_3CBF401B_BA90_4504_A812_4461208B2AAF_.wvu.PrintArea" localSheetId="5" hidden="1">'Síntese Global'!$B$2:$N$4</definedName>
    <definedName name="Z_3CBF401B_BA90_4504_A812_4461208B2AAF_.wvu.PrintTitles" localSheetId="14" hidden="1">'11 - CGA'!$3:$5</definedName>
    <definedName name="Z_409D0809_DA86_4C14_803D_2162A19A44FF_.wvu.Cols" localSheetId="21" hidden="1">'18 - Dív não Fin'!$AB:$AD</definedName>
    <definedName name="Z_409D0809_DA86_4C14_803D_2162A19A44FF_.wvu.Cols" localSheetId="11" hidden="1">'8 - R_Est'!#REF!</definedName>
    <definedName name="Z_409D0809_DA86_4C14_803D_2162A19A44FF_.wvu.Cols" localSheetId="1" hidden="1">Indice_index!$X:$Z</definedName>
    <definedName name="Z_409D0809_DA86_4C14_803D_2162A19A44FF_.wvu.FilterData" localSheetId="5" hidden="1">'Síntese Global'!#REF!</definedName>
    <definedName name="Z_409D0809_DA86_4C14_803D_2162A19A44FF_.wvu.PrintArea" localSheetId="2" hidden="1">'1 - Saldo Global Rec Desp'!$B$2:$O$3</definedName>
    <definedName name="Z_409D0809_DA86_4C14_803D_2162A19A44FF_.wvu.PrintArea" localSheetId="13" hidden="1">'10 - EPR'!$C$2:$J$88</definedName>
    <definedName name="Z_409D0809_DA86_4C14_803D_2162A19A44FF_.wvu.PrintArea" localSheetId="14" hidden="1">'11 - CGA'!$B$2:$J$52</definedName>
    <definedName name="Z_409D0809_DA86_4C14_803D_2162A19A44FF_.wvu.PrintArea" localSheetId="15" hidden="1">'12 - SS'!$B$2:$G$77</definedName>
    <definedName name="Z_409D0809_DA86_4C14_803D_2162A19A44FF_.wvu.PrintArea" localSheetId="17" hidden="1">'14 - Adm R'!#REF!</definedName>
    <definedName name="Z_409D0809_DA86_4C14_803D_2162A19A44FF_.wvu.PrintArea" localSheetId="18" hidden="1">'15 - Adm Loc'!#REF!</definedName>
    <definedName name="Z_409D0809_DA86_4C14_803D_2162A19A44FF_.wvu.PrintArea" localSheetId="20" hidden="1">'17 - SNS exec fin'!$B$2:$F$46</definedName>
    <definedName name="Z_409D0809_DA86_4C14_803D_2162A19A44FF_.wvu.PrintArea" localSheetId="21" hidden="1">'18 - Dív não Fin'!$B$2:$R$56</definedName>
    <definedName name="Z_409D0809_DA86_4C14_803D_2162A19A44FF_.wvu.PrintArea" localSheetId="22" hidden="1">'19 - CGA Ind'!$B$2:$O$451</definedName>
    <definedName name="Z_409D0809_DA86_4C14_803D_2162A19A44FF_.wvu.PrintArea" localSheetId="24" hidden="1">'21 - Estimativas'!$B$2:$C$43</definedName>
    <definedName name="Z_409D0809_DA86_4C14_803D_2162A19A44FF_.wvu.PrintArea" localSheetId="8" hidden="1">'5 - Conta AC + SS'!$B$1:$J$65</definedName>
    <definedName name="Z_409D0809_DA86_4C14_803D_2162A19A44FF_.wvu.PrintArea" localSheetId="10" hidden="1">'7 - Estado'!$C$2:$C$73</definedName>
    <definedName name="Z_409D0809_DA86_4C14_803D_2162A19A44FF_.wvu.PrintArea" localSheetId="11" hidden="1">'8 - R_Est'!$B$2:$J$74</definedName>
    <definedName name="Z_409D0809_DA86_4C14_803D_2162A19A44FF_.wvu.PrintArea" localSheetId="12" hidden="1">'9 - SFA'!$C$2:$J$87</definedName>
    <definedName name="Z_409D0809_DA86_4C14_803D_2162A19A44FF_.wvu.PrintArea" localSheetId="1" hidden="1">Indice_index!$B$3:$C$16</definedName>
    <definedName name="Z_409D0809_DA86_4C14_803D_2162A19A44FF_.wvu.PrintArea" localSheetId="5" hidden="1">'Síntese Global'!$B$2:$N$4</definedName>
    <definedName name="Z_409D0809_DA86_4C14_803D_2162A19A44FF_.wvu.PrintTitles" localSheetId="14" hidden="1">'11 - CGA'!$3:$5</definedName>
    <definedName name="Z_409D0809_DA86_4C14_803D_2162A19A44FF_.wvu.Rows" localSheetId="5" hidden="1">'Síntese Global'!#REF!</definedName>
    <definedName name="Z_43AB44CB_B133_4B3C_9B24_AA3B4A5A58A7_.wvu.Cols" localSheetId="13" hidden="1">'10 - EPR'!#REF!</definedName>
    <definedName name="Z_43AB44CB_B133_4B3C_9B24_AA3B4A5A58A7_.wvu.Cols" localSheetId="21" hidden="1">'18 - Dív não Fin'!$AB:$AD</definedName>
    <definedName name="Z_43AB44CB_B133_4B3C_9B24_AA3B4A5A58A7_.wvu.Cols" localSheetId="10" hidden="1">'7 - Estado'!#REF!</definedName>
    <definedName name="Z_43AB44CB_B133_4B3C_9B24_AA3B4A5A58A7_.wvu.Cols" localSheetId="11" hidden="1">'8 - R_Est'!#REF!</definedName>
    <definedName name="Z_43AB44CB_B133_4B3C_9B24_AA3B4A5A58A7_.wvu.Cols" localSheetId="12" hidden="1">'9 - SFA'!#REF!</definedName>
    <definedName name="Z_43AB44CB_B133_4B3C_9B24_AA3B4A5A58A7_.wvu.Cols" localSheetId="1" hidden="1">Indice_index!$X:$Z</definedName>
    <definedName name="Z_43AB44CB_B133_4B3C_9B24_AA3B4A5A58A7_.wvu.FilterData" localSheetId="5" hidden="1">'Síntese Global'!#REF!</definedName>
    <definedName name="Z_43AB44CB_B133_4B3C_9B24_AA3B4A5A58A7_.wvu.PrintArea" localSheetId="2" hidden="1">'1 - Saldo Global Rec Desp'!$B$2:$O$3</definedName>
    <definedName name="Z_43AB44CB_B133_4B3C_9B24_AA3B4A5A58A7_.wvu.PrintArea" localSheetId="13" hidden="1">'10 - EPR'!$C$2:$J$88</definedName>
    <definedName name="Z_43AB44CB_B133_4B3C_9B24_AA3B4A5A58A7_.wvu.PrintArea" localSheetId="14" hidden="1">'11 - CGA'!$B$2:$J$52</definedName>
    <definedName name="Z_43AB44CB_B133_4B3C_9B24_AA3B4A5A58A7_.wvu.PrintArea" localSheetId="15" hidden="1">'12 - SS'!$B$2:$G$76</definedName>
    <definedName name="Z_43AB44CB_B133_4B3C_9B24_AA3B4A5A58A7_.wvu.PrintArea" localSheetId="17" hidden="1">'14 - Adm R'!#REF!</definedName>
    <definedName name="Z_43AB44CB_B133_4B3C_9B24_AA3B4A5A58A7_.wvu.PrintArea" localSheetId="18" hidden="1">'15 - Adm Loc'!#REF!</definedName>
    <definedName name="Z_43AB44CB_B133_4B3C_9B24_AA3B4A5A58A7_.wvu.PrintArea" localSheetId="20" hidden="1">'17 - SNS exec fin'!$B$2:$F$46</definedName>
    <definedName name="Z_43AB44CB_B133_4B3C_9B24_AA3B4A5A58A7_.wvu.PrintArea" localSheetId="21" hidden="1">'18 - Dív não Fin'!$B$2:$R$56</definedName>
    <definedName name="Z_43AB44CB_B133_4B3C_9B24_AA3B4A5A58A7_.wvu.PrintArea" localSheetId="22" hidden="1">'19 - CGA Ind'!$B$2:$O$451</definedName>
    <definedName name="Z_43AB44CB_B133_4B3C_9B24_AA3B4A5A58A7_.wvu.PrintArea" localSheetId="24" hidden="1">'21 - Estimativas'!$B$2:$C$43</definedName>
    <definedName name="Z_43AB44CB_B133_4B3C_9B24_AA3B4A5A58A7_.wvu.PrintArea" localSheetId="8" hidden="1">'5 - Conta AC + SS'!$B$1:$J$65</definedName>
    <definedName name="Z_43AB44CB_B133_4B3C_9B24_AA3B4A5A58A7_.wvu.PrintArea" localSheetId="10" hidden="1">'7 - Estado'!$C$2:$C$73</definedName>
    <definedName name="Z_43AB44CB_B133_4B3C_9B24_AA3B4A5A58A7_.wvu.PrintArea" localSheetId="11" hidden="1">'8 - R_Est'!$B$2:$J$74</definedName>
    <definedName name="Z_43AB44CB_B133_4B3C_9B24_AA3B4A5A58A7_.wvu.PrintArea" localSheetId="12" hidden="1">'9 - SFA'!$C$2:$J$87</definedName>
    <definedName name="Z_43AB44CB_B133_4B3C_9B24_AA3B4A5A58A7_.wvu.PrintArea" localSheetId="1" hidden="1">Indice_index!$B$3:$C$16</definedName>
    <definedName name="Z_43AB44CB_B133_4B3C_9B24_AA3B4A5A58A7_.wvu.PrintArea" localSheetId="5" hidden="1">'Síntese Global'!$B$2:$N$4</definedName>
    <definedName name="Z_43AB44CB_B133_4B3C_9B24_AA3B4A5A58A7_.wvu.PrintTitles" localSheetId="14" hidden="1">'11 - CGA'!$3:$5</definedName>
    <definedName name="Z_43AB44CB_B133_4B3C_9B24_AA3B4A5A58A7_.wvu.Rows" localSheetId="5" hidden="1">'Síntese Global'!#REF!</definedName>
    <definedName name="Z_4FDFE74B_B8E8_45D5_B3EE_9280ECE70BAA_.wvu.FilterData" localSheetId="5" hidden="1">'Síntese Global'!#REF!</definedName>
    <definedName name="Z_536C31F2_3B98_44EC_AFD0_C5BCDB62B873_.wvu.Cols" localSheetId="13" hidden="1">'10 - EPR'!#REF!</definedName>
    <definedName name="Z_536C31F2_3B98_44EC_AFD0_C5BCDB62B873_.wvu.Cols" localSheetId="15" hidden="1">'12 - SS'!#REF!</definedName>
    <definedName name="Z_536C31F2_3B98_44EC_AFD0_C5BCDB62B873_.wvu.Cols" localSheetId="21" hidden="1">'18 - Dív não Fin'!$AB:$AD</definedName>
    <definedName name="Z_536C31F2_3B98_44EC_AFD0_C5BCDB62B873_.wvu.Cols" localSheetId="10" hidden="1">'7 - Estado'!#REF!</definedName>
    <definedName name="Z_536C31F2_3B98_44EC_AFD0_C5BCDB62B873_.wvu.Cols" localSheetId="11" hidden="1">'8 - R_Est'!#REF!</definedName>
    <definedName name="Z_536C31F2_3B98_44EC_AFD0_C5BCDB62B873_.wvu.Cols" localSheetId="12" hidden="1">'9 - SFA'!#REF!</definedName>
    <definedName name="Z_536C31F2_3B98_44EC_AFD0_C5BCDB62B873_.wvu.Cols" localSheetId="1" hidden="1">Indice_index!$X:$Z</definedName>
    <definedName name="Z_536C31F2_3B98_44EC_AFD0_C5BCDB62B873_.wvu.FilterData" localSheetId="5" hidden="1">'Síntese Global'!#REF!</definedName>
    <definedName name="Z_536C31F2_3B98_44EC_AFD0_C5BCDB62B873_.wvu.PrintArea" localSheetId="2" hidden="1">'1 - Saldo Global Rec Desp'!$B$2:$O$3</definedName>
    <definedName name="Z_536C31F2_3B98_44EC_AFD0_C5BCDB62B873_.wvu.PrintArea" localSheetId="13" hidden="1">'10 - EPR'!$C$2:$J$88</definedName>
    <definedName name="Z_536C31F2_3B98_44EC_AFD0_C5BCDB62B873_.wvu.PrintArea" localSheetId="14" hidden="1">'11 - CGA'!$B$2:$J$52</definedName>
    <definedName name="Z_536C31F2_3B98_44EC_AFD0_C5BCDB62B873_.wvu.PrintArea" localSheetId="15" hidden="1">'12 - SS'!$B$2:$G$76</definedName>
    <definedName name="Z_536C31F2_3B98_44EC_AFD0_C5BCDB62B873_.wvu.PrintArea" localSheetId="17" hidden="1">'14 - Adm R'!#REF!</definedName>
    <definedName name="Z_536C31F2_3B98_44EC_AFD0_C5BCDB62B873_.wvu.PrintArea" localSheetId="18" hidden="1">'15 - Adm Loc'!#REF!</definedName>
    <definedName name="Z_536C31F2_3B98_44EC_AFD0_C5BCDB62B873_.wvu.PrintArea" localSheetId="20" hidden="1">'17 - SNS exec fin'!$B$2:$F$46</definedName>
    <definedName name="Z_536C31F2_3B98_44EC_AFD0_C5BCDB62B873_.wvu.PrintArea" localSheetId="21" hidden="1">'18 - Dív não Fin'!$B$2:$R$56</definedName>
    <definedName name="Z_536C31F2_3B98_44EC_AFD0_C5BCDB62B873_.wvu.PrintArea" localSheetId="22" hidden="1">'19 - CGA Ind'!$B$2:$O$451</definedName>
    <definedName name="Z_536C31F2_3B98_44EC_AFD0_C5BCDB62B873_.wvu.PrintArea" localSheetId="24" hidden="1">'21 - Estimativas'!$B$2:$C$43</definedName>
    <definedName name="Z_536C31F2_3B98_44EC_AFD0_C5BCDB62B873_.wvu.PrintArea" localSheetId="8" hidden="1">'5 - Conta AC + SS'!$B$1:$J$65</definedName>
    <definedName name="Z_536C31F2_3B98_44EC_AFD0_C5BCDB62B873_.wvu.PrintArea" localSheetId="10" hidden="1">'7 - Estado'!$C$2:$C$73</definedName>
    <definedName name="Z_536C31F2_3B98_44EC_AFD0_C5BCDB62B873_.wvu.PrintArea" localSheetId="11" hidden="1">'8 - R_Est'!$B$2:$J$74</definedName>
    <definedName name="Z_536C31F2_3B98_44EC_AFD0_C5BCDB62B873_.wvu.PrintArea" localSheetId="12" hidden="1">'9 - SFA'!$C$2:$J$87</definedName>
    <definedName name="Z_536C31F2_3B98_44EC_AFD0_C5BCDB62B873_.wvu.PrintArea" localSheetId="1" hidden="1">Indice_index!$B$3:$C$16</definedName>
    <definedName name="Z_536C31F2_3B98_44EC_AFD0_C5BCDB62B873_.wvu.PrintArea" localSheetId="5" hidden="1">'Síntese Global'!$B$2:$N$4</definedName>
    <definedName name="Z_536C31F2_3B98_44EC_AFD0_C5BCDB62B873_.wvu.PrintTitles" localSheetId="14" hidden="1">'11 - CGA'!$3:$5</definedName>
    <definedName name="Z_536C31F2_3B98_44EC_AFD0_C5BCDB62B873_.wvu.Rows" localSheetId="5" hidden="1">'Síntese Global'!#REF!</definedName>
    <definedName name="Z_59138F59_74DA_41AA_B5AC_3A9EC191F461_.wvu.FilterData" localSheetId="5" hidden="1">'Síntese Global'!#REF!</definedName>
    <definedName name="Z_594D7528_349E_4A53_9456_ED22FC4DC2D5_.wvu.FilterData" localSheetId="5" hidden="1">'Síntese Global'!#REF!</definedName>
    <definedName name="Z_60062E94_E9B0_4825_A812_182FE1DB6021_.wvu.Cols" localSheetId="13" hidden="1">'10 - EPR'!#REF!</definedName>
    <definedName name="Z_60062E94_E9B0_4825_A812_182FE1DB6021_.wvu.Cols" localSheetId="15" hidden="1">'12 - SS'!#REF!</definedName>
    <definedName name="Z_60062E94_E9B0_4825_A812_182FE1DB6021_.wvu.Cols" localSheetId="21" hidden="1">'18 - Dív não Fin'!$AB:$AD</definedName>
    <definedName name="Z_60062E94_E9B0_4825_A812_182FE1DB6021_.wvu.Cols" localSheetId="10" hidden="1">'7 - Estado'!#REF!</definedName>
    <definedName name="Z_60062E94_E9B0_4825_A812_182FE1DB6021_.wvu.Cols" localSheetId="11" hidden="1">'8 - R_Est'!#REF!</definedName>
    <definedName name="Z_60062E94_E9B0_4825_A812_182FE1DB6021_.wvu.Cols" localSheetId="12" hidden="1">'9 - SFA'!#REF!</definedName>
    <definedName name="Z_60062E94_E9B0_4825_A812_182FE1DB6021_.wvu.Cols" localSheetId="1" hidden="1">Indice_index!$X:$Z</definedName>
    <definedName name="Z_60062E94_E9B0_4825_A812_182FE1DB6021_.wvu.FilterData" localSheetId="5" hidden="1">'Síntese Global'!#REF!</definedName>
    <definedName name="Z_60062E94_E9B0_4825_A812_182FE1DB6021_.wvu.PrintArea" localSheetId="2" hidden="1">'1 - Saldo Global Rec Desp'!$B$2:$O$3</definedName>
    <definedName name="Z_60062E94_E9B0_4825_A812_182FE1DB6021_.wvu.PrintArea" localSheetId="13" hidden="1">'10 - EPR'!$C$2:$J$88</definedName>
    <definedName name="Z_60062E94_E9B0_4825_A812_182FE1DB6021_.wvu.PrintArea" localSheetId="14" hidden="1">'11 - CGA'!$B$2:$J$52</definedName>
    <definedName name="Z_60062E94_E9B0_4825_A812_182FE1DB6021_.wvu.PrintArea" localSheetId="15" hidden="1">'12 - SS'!$B$2:$G$76</definedName>
    <definedName name="Z_60062E94_E9B0_4825_A812_182FE1DB6021_.wvu.PrintArea" localSheetId="17" hidden="1">'14 - Adm R'!#REF!</definedName>
    <definedName name="Z_60062E94_E9B0_4825_A812_182FE1DB6021_.wvu.PrintArea" localSheetId="18" hidden="1">'15 - Adm Loc'!#REF!</definedName>
    <definedName name="Z_60062E94_E9B0_4825_A812_182FE1DB6021_.wvu.PrintArea" localSheetId="20" hidden="1">'17 - SNS exec fin'!$B$2:$F$46</definedName>
    <definedName name="Z_60062E94_E9B0_4825_A812_182FE1DB6021_.wvu.PrintArea" localSheetId="21" hidden="1">'18 - Dív não Fin'!$B$2:$R$32</definedName>
    <definedName name="Z_60062E94_E9B0_4825_A812_182FE1DB6021_.wvu.PrintArea" localSheetId="22" hidden="1">'19 - CGA Ind'!$B$2:$O$451</definedName>
    <definedName name="Z_60062E94_E9B0_4825_A812_182FE1DB6021_.wvu.PrintArea" localSheetId="24" hidden="1">'21 - Estimativas'!$B$2:$C$43</definedName>
    <definedName name="Z_60062E94_E9B0_4825_A812_182FE1DB6021_.wvu.PrintArea" localSheetId="8" hidden="1">'5 - Conta AC + SS'!$B$1:$J$66</definedName>
    <definedName name="Z_60062E94_E9B0_4825_A812_182FE1DB6021_.wvu.PrintArea" localSheetId="10" hidden="1">'7 - Estado'!$C$2:$C$73</definedName>
    <definedName name="Z_60062E94_E9B0_4825_A812_182FE1DB6021_.wvu.PrintArea" localSheetId="11" hidden="1">'8 - R_Est'!$B$2:$J$72</definedName>
    <definedName name="Z_60062E94_E9B0_4825_A812_182FE1DB6021_.wvu.PrintArea" localSheetId="12" hidden="1">'9 - SFA'!$C$2:$J$96</definedName>
    <definedName name="Z_60062E94_E9B0_4825_A812_182FE1DB6021_.wvu.PrintArea" localSheetId="1" hidden="1">Indice_index!$B$3:$C$16</definedName>
    <definedName name="Z_60062E94_E9B0_4825_A812_182FE1DB6021_.wvu.PrintArea" localSheetId="5" hidden="1">'Síntese Global'!$B$2:$N$4</definedName>
    <definedName name="Z_60062E94_E9B0_4825_A812_182FE1DB6021_.wvu.PrintTitles" localSheetId="14" hidden="1">'11 - CGA'!$3:$5</definedName>
    <definedName name="Z_645327DC_9261_4825_AC39_50ECCE512556_.wvu.FilterData" localSheetId="5" hidden="1">'Síntese Global'!#REF!</definedName>
    <definedName name="Z_68687FA3_7DD6_4345_9892_D3D104C1FB65_.wvu.FilterData" localSheetId="5" hidden="1">'Síntese Global'!#REF!</definedName>
    <definedName name="Z_68B2539D_0201_40E8_9D65_194898562BC8_.wvu.Cols" localSheetId="9" hidden="1">'6 - Conta AC'!#REF!</definedName>
    <definedName name="Z_68B2539D_0201_40E8_9D65_194898562BC8_.wvu.PrintArea" localSheetId="9" hidden="1">'6 - Conta AC'!$B$1:$G$57</definedName>
    <definedName name="Z_68B2539D_0201_40E8_9D65_194898562BC8_.wvu.Rows" localSheetId="9" hidden="1">'6 - Conta AC'!#REF!</definedName>
    <definedName name="Z_7C9CF15C_1C68_49F7_9700_3FAC67AFF208_.wvu.Cols" localSheetId="13" hidden="1">'10 - EPR'!#REF!,'10 - EPR'!#REF!</definedName>
    <definedName name="Z_7C9CF15C_1C68_49F7_9700_3FAC67AFF208_.wvu.Cols" localSheetId="15" hidden="1">'12 - SS'!#REF!</definedName>
    <definedName name="Z_7C9CF15C_1C68_49F7_9700_3FAC67AFF208_.wvu.Cols" localSheetId="21" hidden="1">'18 - Dív não Fin'!$AB:$AD</definedName>
    <definedName name="Z_7C9CF15C_1C68_49F7_9700_3FAC67AFF208_.wvu.Cols" localSheetId="10" hidden="1">'7 - Estado'!#REF!,'7 - Estado'!#REF!</definedName>
    <definedName name="Z_7C9CF15C_1C68_49F7_9700_3FAC67AFF208_.wvu.Cols" localSheetId="11" hidden="1">'8 - R_Est'!#REF!</definedName>
    <definedName name="Z_7C9CF15C_1C68_49F7_9700_3FAC67AFF208_.wvu.Cols" localSheetId="12" hidden="1">'9 - SFA'!#REF!,'9 - SFA'!#REF!</definedName>
    <definedName name="Z_7C9CF15C_1C68_49F7_9700_3FAC67AFF208_.wvu.Cols" localSheetId="1" hidden="1">Indice_index!$X:$Z</definedName>
    <definedName name="Z_7C9CF15C_1C68_49F7_9700_3FAC67AFF208_.wvu.FilterData" localSheetId="5" hidden="1">'Síntese Global'!#REF!</definedName>
    <definedName name="Z_7C9CF15C_1C68_49F7_9700_3FAC67AFF208_.wvu.PrintArea" localSheetId="2" hidden="1">'1 - Saldo Global Rec Desp'!$B$2:$O$3</definedName>
    <definedName name="Z_7C9CF15C_1C68_49F7_9700_3FAC67AFF208_.wvu.PrintArea" localSheetId="13" hidden="1">'10 - EPR'!$C$2:$J$88</definedName>
    <definedName name="Z_7C9CF15C_1C68_49F7_9700_3FAC67AFF208_.wvu.PrintArea" localSheetId="14" hidden="1">'11 - CGA'!$B$2:$J$52</definedName>
    <definedName name="Z_7C9CF15C_1C68_49F7_9700_3FAC67AFF208_.wvu.PrintArea" localSheetId="15" hidden="1">'12 - SS'!$B$2:$G$76</definedName>
    <definedName name="Z_7C9CF15C_1C68_49F7_9700_3FAC67AFF208_.wvu.PrintArea" localSheetId="17" hidden="1">'14 - Adm R'!#REF!</definedName>
    <definedName name="Z_7C9CF15C_1C68_49F7_9700_3FAC67AFF208_.wvu.PrintArea" localSheetId="18" hidden="1">'15 - Adm Loc'!#REF!</definedName>
    <definedName name="Z_7C9CF15C_1C68_49F7_9700_3FAC67AFF208_.wvu.PrintArea" localSheetId="20" hidden="1">'17 - SNS exec fin'!$B$2:$F$46</definedName>
    <definedName name="Z_7C9CF15C_1C68_49F7_9700_3FAC67AFF208_.wvu.PrintArea" localSheetId="21" hidden="1">'18 - Dív não Fin'!$B$2:$R$32</definedName>
    <definedName name="Z_7C9CF15C_1C68_49F7_9700_3FAC67AFF208_.wvu.PrintArea" localSheetId="22" hidden="1">'19 - CGA Ind'!$B$2:$O$451</definedName>
    <definedName name="Z_7C9CF15C_1C68_49F7_9700_3FAC67AFF208_.wvu.PrintArea" localSheetId="24" hidden="1">'21 - Estimativas'!$B$2:$C$43</definedName>
    <definedName name="Z_7C9CF15C_1C68_49F7_9700_3FAC67AFF208_.wvu.PrintArea" localSheetId="8" hidden="1">'5 - Conta AC + SS'!$B$1:$J$62</definedName>
    <definedName name="Z_7C9CF15C_1C68_49F7_9700_3FAC67AFF208_.wvu.PrintArea" localSheetId="10" hidden="1">'7 - Estado'!$C$2:$C$73</definedName>
    <definedName name="Z_7C9CF15C_1C68_49F7_9700_3FAC67AFF208_.wvu.PrintArea" localSheetId="11" hidden="1">'8 - R_Est'!$B$2:$J$72</definedName>
    <definedName name="Z_7C9CF15C_1C68_49F7_9700_3FAC67AFF208_.wvu.PrintArea" localSheetId="12" hidden="1">'9 - SFA'!$C$2:$J$96</definedName>
    <definedName name="Z_7C9CF15C_1C68_49F7_9700_3FAC67AFF208_.wvu.PrintArea" localSheetId="1" hidden="1">Indice_index!$B$3:$C$16</definedName>
    <definedName name="Z_7C9CF15C_1C68_49F7_9700_3FAC67AFF208_.wvu.PrintArea" localSheetId="5" hidden="1">'Síntese Global'!$B$2:$N$4</definedName>
    <definedName name="Z_7C9CF15C_1C68_49F7_9700_3FAC67AFF208_.wvu.PrintTitles" localSheetId="14" hidden="1">'11 - CGA'!$3:$5</definedName>
    <definedName name="Z_7CA5BB97_2187_416C_9857_772DA4746ED0_.wvu.FilterData" localSheetId="5" hidden="1">'Síntese Global'!#REF!</definedName>
    <definedName name="Z_8F7B2197_80F0_43A5_ABDC_5B4D3DE510E2_.wvu.FilterData" localSheetId="5" hidden="1">'Síntese Global'!#REF!</definedName>
    <definedName name="Z_9177A1FF_E4C8_4A1B_B90F_C92196CC7C57_.wvu.Cols" localSheetId="13" hidden="1">'10 - EPR'!#REF!</definedName>
    <definedName name="Z_9177A1FF_E4C8_4A1B_B90F_C92196CC7C57_.wvu.Cols" localSheetId="21" hidden="1">'18 - Dív não Fin'!$AB:$AD</definedName>
    <definedName name="Z_9177A1FF_E4C8_4A1B_B90F_C92196CC7C57_.wvu.Cols" localSheetId="10" hidden="1">'7 - Estado'!#REF!</definedName>
    <definedName name="Z_9177A1FF_E4C8_4A1B_B90F_C92196CC7C57_.wvu.Cols" localSheetId="11" hidden="1">'8 - R_Est'!#REF!</definedName>
    <definedName name="Z_9177A1FF_E4C8_4A1B_B90F_C92196CC7C57_.wvu.Cols" localSheetId="12" hidden="1">'9 - SFA'!#REF!</definedName>
    <definedName name="Z_9177A1FF_E4C8_4A1B_B90F_C92196CC7C57_.wvu.Cols" localSheetId="1" hidden="1">Indice_index!$X:$Z</definedName>
    <definedName name="Z_9177A1FF_E4C8_4A1B_B90F_C92196CC7C57_.wvu.FilterData" localSheetId="5" hidden="1">'Síntese Global'!#REF!</definedName>
    <definedName name="Z_9177A1FF_E4C8_4A1B_B90F_C92196CC7C57_.wvu.PrintArea" localSheetId="2" hidden="1">'1 - Saldo Global Rec Desp'!$B$2:$O$3</definedName>
    <definedName name="Z_9177A1FF_E4C8_4A1B_B90F_C92196CC7C57_.wvu.PrintArea" localSheetId="13" hidden="1">'10 - EPR'!$C$2:$J$88</definedName>
    <definedName name="Z_9177A1FF_E4C8_4A1B_B90F_C92196CC7C57_.wvu.PrintArea" localSheetId="14" hidden="1">'11 - CGA'!$B$2:$J$52</definedName>
    <definedName name="Z_9177A1FF_E4C8_4A1B_B90F_C92196CC7C57_.wvu.PrintArea" localSheetId="15" hidden="1">'12 - SS'!$B$2:$G$76</definedName>
    <definedName name="Z_9177A1FF_E4C8_4A1B_B90F_C92196CC7C57_.wvu.PrintArea" localSheetId="17" hidden="1">'14 - Adm R'!#REF!</definedName>
    <definedName name="Z_9177A1FF_E4C8_4A1B_B90F_C92196CC7C57_.wvu.PrintArea" localSheetId="18" hidden="1">'15 - Adm Loc'!#REF!</definedName>
    <definedName name="Z_9177A1FF_E4C8_4A1B_B90F_C92196CC7C57_.wvu.PrintArea" localSheetId="20" hidden="1">'17 - SNS exec fin'!$B$2:$F$46</definedName>
    <definedName name="Z_9177A1FF_E4C8_4A1B_B90F_C92196CC7C57_.wvu.PrintArea" localSheetId="21" hidden="1">'18 - Dív não Fin'!$B$2:$R$56</definedName>
    <definedName name="Z_9177A1FF_E4C8_4A1B_B90F_C92196CC7C57_.wvu.PrintArea" localSheetId="22" hidden="1">'19 - CGA Ind'!$B$2:$O$451</definedName>
    <definedName name="Z_9177A1FF_E4C8_4A1B_B90F_C92196CC7C57_.wvu.PrintArea" localSheetId="24" hidden="1">'21 - Estimativas'!$B$2:$C$43</definedName>
    <definedName name="Z_9177A1FF_E4C8_4A1B_B90F_C92196CC7C57_.wvu.PrintArea" localSheetId="8" hidden="1">'5 - Conta AC + SS'!$B$1:$J$65</definedName>
    <definedName name="Z_9177A1FF_E4C8_4A1B_B90F_C92196CC7C57_.wvu.PrintArea" localSheetId="10" hidden="1">'7 - Estado'!$C$2:$C$73</definedName>
    <definedName name="Z_9177A1FF_E4C8_4A1B_B90F_C92196CC7C57_.wvu.PrintArea" localSheetId="11" hidden="1">'8 - R_Est'!$B$2:$J$74</definedName>
    <definedName name="Z_9177A1FF_E4C8_4A1B_B90F_C92196CC7C57_.wvu.PrintArea" localSheetId="12" hidden="1">'9 - SFA'!$C$2:$J$87</definedName>
    <definedName name="Z_9177A1FF_E4C8_4A1B_B90F_C92196CC7C57_.wvu.PrintArea" localSheetId="1" hidden="1">Indice_index!$B$3:$C$16</definedName>
    <definedName name="Z_9177A1FF_E4C8_4A1B_B90F_C92196CC7C57_.wvu.PrintArea" localSheetId="5" hidden="1">'Síntese Global'!$B$2:$N$4</definedName>
    <definedName name="Z_9177A1FF_E4C8_4A1B_B90F_C92196CC7C57_.wvu.PrintTitles" localSheetId="14" hidden="1">'11 - CGA'!$3:$5</definedName>
    <definedName name="Z_9177A1FF_E4C8_4A1B_B90F_C92196CC7C57_.wvu.Rows" localSheetId="5" hidden="1">'Síntese Global'!#REF!</definedName>
    <definedName name="Z_928709E5_E088_4902_B90C_CBF565F9DB38_.wvu.FilterData" localSheetId="5" hidden="1">'Síntese Global'!#REF!</definedName>
    <definedName name="Z_995CCCB8_BF97_4653_A7C0_86012B807DB5_.wvu.Cols" localSheetId="13" hidden="1">'10 - EPR'!#REF!,'10 - EPR'!#REF!</definedName>
    <definedName name="Z_995CCCB8_BF97_4653_A7C0_86012B807DB5_.wvu.Cols" localSheetId="15" hidden="1">'12 - SS'!#REF!</definedName>
    <definedName name="Z_995CCCB8_BF97_4653_A7C0_86012B807DB5_.wvu.Cols" localSheetId="21" hidden="1">'18 - Dív não Fin'!$AB:$AD</definedName>
    <definedName name="Z_995CCCB8_BF97_4653_A7C0_86012B807DB5_.wvu.Cols" localSheetId="10" hidden="1">'7 - Estado'!#REF!,'7 - Estado'!#REF!</definedName>
    <definedName name="Z_995CCCB8_BF97_4653_A7C0_86012B807DB5_.wvu.Cols" localSheetId="11" hidden="1">'8 - R_Est'!#REF!</definedName>
    <definedName name="Z_995CCCB8_BF97_4653_A7C0_86012B807DB5_.wvu.Cols" localSheetId="12" hidden="1">'9 - SFA'!#REF!,'9 - SFA'!#REF!</definedName>
    <definedName name="Z_995CCCB8_BF97_4653_A7C0_86012B807DB5_.wvu.Cols" localSheetId="1" hidden="1">Indice_index!$X:$Z</definedName>
    <definedName name="Z_995CCCB8_BF97_4653_A7C0_86012B807DB5_.wvu.FilterData" localSheetId="5" hidden="1">'Síntese Global'!#REF!</definedName>
    <definedName name="Z_995CCCB8_BF97_4653_A7C0_86012B807DB5_.wvu.PrintArea" localSheetId="2" hidden="1">'1 - Saldo Global Rec Desp'!$B$2:$O$3</definedName>
    <definedName name="Z_995CCCB8_BF97_4653_A7C0_86012B807DB5_.wvu.PrintArea" localSheetId="13" hidden="1">'10 - EPR'!$C$2:$J$88</definedName>
    <definedName name="Z_995CCCB8_BF97_4653_A7C0_86012B807DB5_.wvu.PrintArea" localSheetId="14" hidden="1">'11 - CGA'!$B$2:$J$52</definedName>
    <definedName name="Z_995CCCB8_BF97_4653_A7C0_86012B807DB5_.wvu.PrintArea" localSheetId="15" hidden="1">'12 - SS'!$B$2:$G$76</definedName>
    <definedName name="Z_995CCCB8_BF97_4653_A7C0_86012B807DB5_.wvu.PrintArea" localSheetId="17" hidden="1">'14 - Adm R'!#REF!</definedName>
    <definedName name="Z_995CCCB8_BF97_4653_A7C0_86012B807DB5_.wvu.PrintArea" localSheetId="18" hidden="1">'15 - Adm Loc'!#REF!</definedName>
    <definedName name="Z_995CCCB8_BF97_4653_A7C0_86012B807DB5_.wvu.PrintArea" localSheetId="20" hidden="1">'17 - SNS exec fin'!$B$2:$F$46</definedName>
    <definedName name="Z_995CCCB8_BF97_4653_A7C0_86012B807DB5_.wvu.PrintArea" localSheetId="21" hidden="1">'18 - Dív não Fin'!$B$2:$R$32</definedName>
    <definedName name="Z_995CCCB8_BF97_4653_A7C0_86012B807DB5_.wvu.PrintArea" localSheetId="22" hidden="1">'19 - CGA Ind'!$B$2:$O$451</definedName>
    <definedName name="Z_995CCCB8_BF97_4653_A7C0_86012B807DB5_.wvu.PrintArea" localSheetId="24" hidden="1">'21 - Estimativas'!$B$2:$C$43</definedName>
    <definedName name="Z_995CCCB8_BF97_4653_A7C0_86012B807DB5_.wvu.PrintArea" localSheetId="8" hidden="1">'5 - Conta AC + SS'!$B$1:$J$62</definedName>
    <definedName name="Z_995CCCB8_BF97_4653_A7C0_86012B807DB5_.wvu.PrintArea" localSheetId="10" hidden="1">'7 - Estado'!$C$2:$C$73</definedName>
    <definedName name="Z_995CCCB8_BF97_4653_A7C0_86012B807DB5_.wvu.PrintArea" localSheetId="11" hidden="1">'8 - R_Est'!$B$2:$J$72</definedName>
    <definedName name="Z_995CCCB8_BF97_4653_A7C0_86012B807DB5_.wvu.PrintArea" localSheetId="12" hidden="1">'9 - SFA'!$C$2:$J$96</definedName>
    <definedName name="Z_995CCCB8_BF97_4653_A7C0_86012B807DB5_.wvu.PrintArea" localSheetId="1" hidden="1">Indice_index!$B$3:$C$16</definedName>
    <definedName name="Z_995CCCB8_BF97_4653_A7C0_86012B807DB5_.wvu.PrintArea" localSheetId="5" hidden="1">'Síntese Global'!$B$2:$N$4</definedName>
    <definedName name="Z_995CCCB8_BF97_4653_A7C0_86012B807DB5_.wvu.PrintTitles" localSheetId="14" hidden="1">'11 - CGA'!$3:$5</definedName>
    <definedName name="Z_9C8E7FE3_A7A1_4D36_A156_3751861446D4_.wvu.Cols" localSheetId="13" hidden="1">'10 - EPR'!#REF!</definedName>
    <definedName name="Z_9C8E7FE3_A7A1_4D36_A156_3751861446D4_.wvu.Cols" localSheetId="15" hidden="1">'12 - SS'!#REF!</definedName>
    <definedName name="Z_9C8E7FE3_A7A1_4D36_A156_3751861446D4_.wvu.Cols" localSheetId="21" hidden="1">'18 - Dív não Fin'!$AB:$AD</definedName>
    <definedName name="Z_9C8E7FE3_A7A1_4D36_A156_3751861446D4_.wvu.Cols" localSheetId="10" hidden="1">'7 - Estado'!#REF!</definedName>
    <definedName name="Z_9C8E7FE3_A7A1_4D36_A156_3751861446D4_.wvu.Cols" localSheetId="11" hidden="1">'8 - R_Est'!#REF!</definedName>
    <definedName name="Z_9C8E7FE3_A7A1_4D36_A156_3751861446D4_.wvu.Cols" localSheetId="12" hidden="1">'9 - SFA'!#REF!</definedName>
    <definedName name="Z_9C8E7FE3_A7A1_4D36_A156_3751861446D4_.wvu.Cols" localSheetId="1" hidden="1">Indice_index!$X:$Z</definedName>
    <definedName name="Z_9C8E7FE3_A7A1_4D36_A156_3751861446D4_.wvu.FilterData" localSheetId="5" hidden="1">'Síntese Global'!#REF!</definedName>
    <definedName name="Z_9C8E7FE3_A7A1_4D36_A156_3751861446D4_.wvu.PrintArea" localSheetId="13" hidden="1">'10 - EPR'!$C$2:$J$88</definedName>
    <definedName name="Z_9C8E7FE3_A7A1_4D36_A156_3751861446D4_.wvu.PrintArea" localSheetId="14" hidden="1">'11 - CGA'!$B$2:$J$52</definedName>
    <definedName name="Z_9C8E7FE3_A7A1_4D36_A156_3751861446D4_.wvu.PrintArea" localSheetId="15" hidden="1">'12 - SS'!$B$2:$G$76</definedName>
    <definedName name="Z_9C8E7FE3_A7A1_4D36_A156_3751861446D4_.wvu.PrintArea" localSheetId="17" hidden="1">'14 - Adm R'!#REF!</definedName>
    <definedName name="Z_9C8E7FE3_A7A1_4D36_A156_3751861446D4_.wvu.PrintArea" localSheetId="18" hidden="1">'15 - Adm Loc'!#REF!</definedName>
    <definedName name="Z_9C8E7FE3_A7A1_4D36_A156_3751861446D4_.wvu.PrintArea" localSheetId="20" hidden="1">'17 - SNS exec fin'!$B$2:$F$46</definedName>
    <definedName name="Z_9C8E7FE3_A7A1_4D36_A156_3751861446D4_.wvu.PrintArea" localSheetId="21" hidden="1">'18 - Dív não Fin'!$B$2:$R$32</definedName>
    <definedName name="Z_9C8E7FE3_A7A1_4D36_A156_3751861446D4_.wvu.PrintArea" localSheetId="22" hidden="1">'19 - CGA Ind'!$B$2:$O$451</definedName>
    <definedName name="Z_9C8E7FE3_A7A1_4D36_A156_3751861446D4_.wvu.PrintArea" localSheetId="24" hidden="1">'21 - Estimativas'!$B$2:$C$43</definedName>
    <definedName name="Z_9C8E7FE3_A7A1_4D36_A156_3751861446D4_.wvu.PrintArea" localSheetId="8" hidden="1">'5 - Conta AC + SS'!$B$2:$J$65</definedName>
    <definedName name="Z_9C8E7FE3_A7A1_4D36_A156_3751861446D4_.wvu.PrintArea" localSheetId="10" hidden="1">'7 - Estado'!$C$2:$C$73</definedName>
    <definedName name="Z_9C8E7FE3_A7A1_4D36_A156_3751861446D4_.wvu.PrintArea" localSheetId="11" hidden="1">'8 - R_Est'!$B$2:$J$72</definedName>
    <definedName name="Z_9C8E7FE3_A7A1_4D36_A156_3751861446D4_.wvu.PrintArea" localSheetId="12" hidden="1">'9 - SFA'!$C$2:$J$96</definedName>
    <definedName name="Z_9C8E7FE3_A7A1_4D36_A156_3751861446D4_.wvu.PrintArea" localSheetId="1" hidden="1">Indice_index!$B$3:$C$16</definedName>
    <definedName name="Z_9C8E7FE3_A7A1_4D36_A156_3751861446D4_.wvu.PrintArea" localSheetId="5" hidden="1">'Síntese Global'!$B$2:$N$4</definedName>
    <definedName name="Z_9C8E7FE3_A7A1_4D36_A156_3751861446D4_.wvu.PrintTitles" localSheetId="14" hidden="1">'11 - CGA'!$3:$5</definedName>
    <definedName name="Z_B10FF006_E78C_40A1_9FED_8E3DAA7518D8_.wvu.Cols" localSheetId="9" hidden="1">'6 - Conta AC'!#REF!</definedName>
    <definedName name="Z_B10FF006_E78C_40A1_9FED_8E3DAA7518D8_.wvu.PrintArea" localSheetId="9" hidden="1">'6 - Conta AC'!$B$1:$G$57</definedName>
    <definedName name="Z_B10FF006_E78C_40A1_9FED_8E3DAA7518D8_.wvu.Rows" localSheetId="9" hidden="1">'6 - Conta AC'!#REF!</definedName>
    <definedName name="Z_B22C7842_6BF9_4A1C_B06C_2AD9B9A784D4_.wvu.Cols" localSheetId="13" hidden="1">'10 - EPR'!#REF!</definedName>
    <definedName name="Z_B22C7842_6BF9_4A1C_B06C_2AD9B9A784D4_.wvu.Cols" localSheetId="21" hidden="1">'18 - Dív não Fin'!$AB:$AD</definedName>
    <definedName name="Z_B22C7842_6BF9_4A1C_B06C_2AD9B9A784D4_.wvu.Cols" localSheetId="10" hidden="1">'7 - Estado'!#REF!</definedName>
    <definedName name="Z_B22C7842_6BF9_4A1C_B06C_2AD9B9A784D4_.wvu.Cols" localSheetId="11" hidden="1">'8 - R_Est'!#REF!</definedName>
    <definedName name="Z_B22C7842_6BF9_4A1C_B06C_2AD9B9A784D4_.wvu.Cols" localSheetId="12" hidden="1">'9 - SFA'!#REF!</definedName>
    <definedName name="Z_B22C7842_6BF9_4A1C_B06C_2AD9B9A784D4_.wvu.Cols" localSheetId="1" hidden="1">Indice_index!$X:$Z</definedName>
    <definedName name="Z_B22C7842_6BF9_4A1C_B06C_2AD9B9A784D4_.wvu.FilterData" localSheetId="5" hidden="1">'Síntese Global'!#REF!</definedName>
    <definedName name="Z_B22C7842_6BF9_4A1C_B06C_2AD9B9A784D4_.wvu.PrintArea" localSheetId="2" hidden="1">'1 - Saldo Global Rec Desp'!$B$2:$O$3</definedName>
    <definedName name="Z_B22C7842_6BF9_4A1C_B06C_2AD9B9A784D4_.wvu.PrintArea" localSheetId="13" hidden="1">'10 - EPR'!$C$2:$J$88</definedName>
    <definedName name="Z_B22C7842_6BF9_4A1C_B06C_2AD9B9A784D4_.wvu.PrintArea" localSheetId="14" hidden="1">'11 - CGA'!$B$2:$J$52</definedName>
    <definedName name="Z_B22C7842_6BF9_4A1C_B06C_2AD9B9A784D4_.wvu.PrintArea" localSheetId="15" hidden="1">'12 - SS'!$B$2:$G$76</definedName>
    <definedName name="Z_B22C7842_6BF9_4A1C_B06C_2AD9B9A784D4_.wvu.PrintArea" localSheetId="17" hidden="1">'14 - Adm R'!#REF!</definedName>
    <definedName name="Z_B22C7842_6BF9_4A1C_B06C_2AD9B9A784D4_.wvu.PrintArea" localSheetId="18" hidden="1">'15 - Adm Loc'!#REF!</definedName>
    <definedName name="Z_B22C7842_6BF9_4A1C_B06C_2AD9B9A784D4_.wvu.PrintArea" localSheetId="20" hidden="1">'17 - SNS exec fin'!$B$2:$F$46</definedName>
    <definedName name="Z_B22C7842_6BF9_4A1C_B06C_2AD9B9A784D4_.wvu.PrintArea" localSheetId="21" hidden="1">'18 - Dív não Fin'!$B$2:$R$32</definedName>
    <definedName name="Z_B22C7842_6BF9_4A1C_B06C_2AD9B9A784D4_.wvu.PrintArea" localSheetId="22" hidden="1">'19 - CGA Ind'!$B$2:$O$451</definedName>
    <definedName name="Z_B22C7842_6BF9_4A1C_B06C_2AD9B9A784D4_.wvu.PrintArea" localSheetId="24" hidden="1">'21 - Estimativas'!$B$2:$C$43</definedName>
    <definedName name="Z_B22C7842_6BF9_4A1C_B06C_2AD9B9A784D4_.wvu.PrintArea" localSheetId="8" hidden="1">'5 - Conta AC + SS'!$B$1:$C$59</definedName>
    <definedName name="Z_B22C7842_6BF9_4A1C_B06C_2AD9B9A784D4_.wvu.PrintArea" localSheetId="10" hidden="1">'7 - Estado'!$C$2:$C$73</definedName>
    <definedName name="Z_B22C7842_6BF9_4A1C_B06C_2AD9B9A784D4_.wvu.PrintArea" localSheetId="11" hidden="1">'8 - R_Est'!$B$2:$J$72</definedName>
    <definedName name="Z_B22C7842_6BF9_4A1C_B06C_2AD9B9A784D4_.wvu.PrintArea" localSheetId="12" hidden="1">'9 - SFA'!$C$2:$J$96</definedName>
    <definedName name="Z_B22C7842_6BF9_4A1C_B06C_2AD9B9A784D4_.wvu.PrintArea" localSheetId="1" hidden="1">Indice_index!$B$3:$C$16</definedName>
    <definedName name="Z_B22C7842_6BF9_4A1C_B06C_2AD9B9A784D4_.wvu.PrintArea" localSheetId="5" hidden="1">'Síntese Global'!$B$2:$N$4</definedName>
    <definedName name="Z_B22C7842_6BF9_4A1C_B06C_2AD9B9A784D4_.wvu.PrintTitles" localSheetId="14" hidden="1">'11 - CGA'!$3:$5</definedName>
    <definedName name="Z_C2013F6E_CF9D_4172_87F3_B954A090B414_.wvu.PrintArea" localSheetId="14" hidden="1">'11 - CGA'!$C$3:$I$51</definedName>
    <definedName name="Z_C2013F6E_CF9D_4172_87F3_B954A090B414_.wvu.PrintArea" localSheetId="8" hidden="1">'5 - Conta AC + SS'!$C$4:$C$55</definedName>
    <definedName name="Z_C2013F6E_CF9D_4172_87F3_B954A090B414_.wvu.PrintArea" localSheetId="9" hidden="1">'6 - Conta AC'!$C$4:$C$57</definedName>
    <definedName name="Z_C2013F6E_CF9D_4172_87F3_B954A090B414_.wvu.PrintTitles" localSheetId="14" hidden="1">'11 - CGA'!$3:$5</definedName>
    <definedName name="Z_C2013F6E_CF9D_4172_87F3_B954A090B414_.wvu.Rows" localSheetId="14" hidden="1">'11 - CGA'!#REF!,'11 - CGA'!#REF!,'11 - CGA'!#REF!,'11 - CGA'!$19:$19,'11 - CGA'!#REF!,'11 - CGA'!#REF!,'11 - CGA'!#REF!</definedName>
    <definedName name="Z_C403553D_352C_44B6_83D8_441F3A96C5BE_.wvu.Cols" localSheetId="13" hidden="1">'10 - EPR'!#REF!,'10 - EPR'!#REF!</definedName>
    <definedName name="Z_C403553D_352C_44B6_83D8_441F3A96C5BE_.wvu.Cols" localSheetId="21" hidden="1">'18 - Dív não Fin'!$AB:$AD</definedName>
    <definedName name="Z_C403553D_352C_44B6_83D8_441F3A96C5BE_.wvu.Cols" localSheetId="10" hidden="1">'7 - Estado'!#REF!,'7 - Estado'!#REF!</definedName>
    <definedName name="Z_C403553D_352C_44B6_83D8_441F3A96C5BE_.wvu.Cols" localSheetId="11" hidden="1">'8 - R_Est'!#REF!</definedName>
    <definedName name="Z_C403553D_352C_44B6_83D8_441F3A96C5BE_.wvu.Cols" localSheetId="12" hidden="1">'9 - SFA'!#REF!,'9 - SFA'!#REF!</definedName>
    <definedName name="Z_C403553D_352C_44B6_83D8_441F3A96C5BE_.wvu.Cols" localSheetId="1" hidden="1">Indice_index!$X:$Z</definedName>
    <definedName name="Z_C403553D_352C_44B6_83D8_441F3A96C5BE_.wvu.FilterData" localSheetId="5" hidden="1">'Síntese Global'!#REF!</definedName>
    <definedName name="Z_C403553D_352C_44B6_83D8_441F3A96C5BE_.wvu.PrintArea" localSheetId="2" hidden="1">'1 - Saldo Global Rec Desp'!$B$2:$O$3</definedName>
    <definedName name="Z_C403553D_352C_44B6_83D8_441F3A96C5BE_.wvu.PrintArea" localSheetId="13" hidden="1">'10 - EPR'!$B$2:$J$88</definedName>
    <definedName name="Z_C403553D_352C_44B6_83D8_441F3A96C5BE_.wvu.PrintArea" localSheetId="14" hidden="1">'11 - CGA'!$B$2:$J$52</definedName>
    <definedName name="Z_C403553D_352C_44B6_83D8_441F3A96C5BE_.wvu.PrintArea" localSheetId="15" hidden="1">'12 - SS'!$B$2:$G$76</definedName>
    <definedName name="Z_C403553D_352C_44B6_83D8_441F3A96C5BE_.wvu.PrintArea" localSheetId="17" hidden="1">'14 - Adm R'!#REF!</definedName>
    <definedName name="Z_C403553D_352C_44B6_83D8_441F3A96C5BE_.wvu.PrintArea" localSheetId="18" hidden="1">'15 - Adm Loc'!#REF!</definedName>
    <definedName name="Z_C403553D_352C_44B6_83D8_441F3A96C5BE_.wvu.PrintArea" localSheetId="20" hidden="1">'17 - SNS exec fin'!$B$2:$F$46</definedName>
    <definedName name="Z_C403553D_352C_44B6_83D8_441F3A96C5BE_.wvu.PrintArea" localSheetId="21" hidden="1">'18 - Dív não Fin'!$B$2:$R$56</definedName>
    <definedName name="Z_C403553D_352C_44B6_83D8_441F3A96C5BE_.wvu.PrintArea" localSheetId="22" hidden="1">'19 - CGA Ind'!$B$2:$O$451</definedName>
    <definedName name="Z_C403553D_352C_44B6_83D8_441F3A96C5BE_.wvu.PrintArea" localSheetId="24" hidden="1">'21 - Estimativas'!$B$2:$C$43</definedName>
    <definedName name="Z_C403553D_352C_44B6_83D8_441F3A96C5BE_.wvu.PrintArea" localSheetId="8" hidden="1">'5 - Conta AC + SS'!$B$2:$J$65</definedName>
    <definedName name="Z_C403553D_352C_44B6_83D8_441F3A96C5BE_.wvu.PrintArea" localSheetId="10" hidden="1">'7 - Estado'!$B$2:$C$73</definedName>
    <definedName name="Z_C403553D_352C_44B6_83D8_441F3A96C5BE_.wvu.PrintArea" localSheetId="11" hidden="1">'8 - R_Est'!$B$2:$J$72</definedName>
    <definedName name="Z_C403553D_352C_44B6_83D8_441F3A96C5BE_.wvu.PrintArea" localSheetId="12" hidden="1">'9 - SFA'!$B$2:$J$95</definedName>
    <definedName name="Z_C403553D_352C_44B6_83D8_441F3A96C5BE_.wvu.PrintArea" localSheetId="1" hidden="1">Indice_index!$B$3:$C$16,Indice_index!$B$17:$C$32</definedName>
    <definedName name="Z_C403553D_352C_44B6_83D8_441F3A96C5BE_.wvu.PrintArea" localSheetId="5" hidden="1">'Síntese Global'!$B$2:$N$4</definedName>
    <definedName name="Z_C403553D_352C_44B6_83D8_441F3A96C5BE_.wvu.PrintTitles" localSheetId="14" hidden="1">'11 - CGA'!$3:$5</definedName>
    <definedName name="Z_C90EBEBD_E196_487F_B236_71FE5B48DAD7_.wvu.Cols" localSheetId="9" hidden="1">'6 - Conta AC'!#REF!</definedName>
    <definedName name="Z_C90EBEBD_E196_487F_B236_71FE5B48DAD7_.wvu.PrintArea" localSheetId="9" hidden="1">'6 - Conta AC'!$B$1:$G$57</definedName>
    <definedName name="Z_C90EBEBD_E196_487F_B236_71FE5B48DAD7_.wvu.Rows" localSheetId="9" hidden="1">'6 - Conta AC'!#REF!</definedName>
    <definedName name="Z_CF250844_B48C_42F6_8C4A_591AAA695937_.wvu.FilterData" localSheetId="5" hidden="1">'Síntese Global'!#REF!</definedName>
    <definedName name="Z_D7DA4577_1080_46D0_B4E0_3AEF0BA0C7DE_.wvu.PrintArea" localSheetId="14" hidden="1">'11 - CGA'!$C$3:$I$51</definedName>
    <definedName name="Z_D7DA4577_1080_46D0_B4E0_3AEF0BA0C7DE_.wvu.PrintTitles" localSheetId="14" hidden="1">'11 - CGA'!$3:$5</definedName>
    <definedName name="Z_D7DA4577_1080_46D0_B4E0_3AEF0BA0C7DE_.wvu.Rows" localSheetId="14" hidden="1">'11 - CGA'!#REF!</definedName>
    <definedName name="Z_DB1D3FDB_E0D5_4FD7_BD6E_EC28675EBF68_.wvu.Cols" localSheetId="13" hidden="1">'10 - EPR'!#REF!,'10 - EPR'!#REF!</definedName>
    <definedName name="Z_DB1D3FDB_E0D5_4FD7_BD6E_EC28675EBF68_.wvu.Cols" localSheetId="15" hidden="1">'12 - SS'!#REF!</definedName>
    <definedName name="Z_DB1D3FDB_E0D5_4FD7_BD6E_EC28675EBF68_.wvu.Cols" localSheetId="21" hidden="1">'18 - Dív não Fin'!$AB:$AD</definedName>
    <definedName name="Z_DB1D3FDB_E0D5_4FD7_BD6E_EC28675EBF68_.wvu.Cols" localSheetId="10" hidden="1">'7 - Estado'!#REF!,'7 - Estado'!#REF!</definedName>
    <definedName name="Z_DB1D3FDB_E0D5_4FD7_BD6E_EC28675EBF68_.wvu.Cols" localSheetId="11" hidden="1">'8 - R_Est'!#REF!</definedName>
    <definedName name="Z_DB1D3FDB_E0D5_4FD7_BD6E_EC28675EBF68_.wvu.Cols" localSheetId="12" hidden="1">'9 - SFA'!#REF!,'9 - SFA'!#REF!</definedName>
    <definedName name="Z_DB1D3FDB_E0D5_4FD7_BD6E_EC28675EBF68_.wvu.Cols" localSheetId="1" hidden="1">Indice_index!$X:$Z</definedName>
    <definedName name="Z_DB1D3FDB_E0D5_4FD7_BD6E_EC28675EBF68_.wvu.FilterData" localSheetId="5" hidden="1">'Síntese Global'!#REF!</definedName>
    <definedName name="Z_DB1D3FDB_E0D5_4FD7_BD6E_EC28675EBF68_.wvu.PrintArea" localSheetId="2" hidden="1">'1 - Saldo Global Rec Desp'!$B$2:$O$3</definedName>
    <definedName name="Z_DB1D3FDB_E0D5_4FD7_BD6E_EC28675EBF68_.wvu.PrintArea" localSheetId="13" hidden="1">'10 - EPR'!$C$2:$J$88</definedName>
    <definedName name="Z_DB1D3FDB_E0D5_4FD7_BD6E_EC28675EBF68_.wvu.PrintArea" localSheetId="14" hidden="1">'11 - CGA'!$B$2:$J$52</definedName>
    <definedName name="Z_DB1D3FDB_E0D5_4FD7_BD6E_EC28675EBF68_.wvu.PrintArea" localSheetId="15" hidden="1">'12 - SS'!$B$2:$G$76</definedName>
    <definedName name="Z_DB1D3FDB_E0D5_4FD7_BD6E_EC28675EBF68_.wvu.PrintArea" localSheetId="17" hidden="1">'14 - Adm R'!#REF!</definedName>
    <definedName name="Z_DB1D3FDB_E0D5_4FD7_BD6E_EC28675EBF68_.wvu.PrintArea" localSheetId="18" hidden="1">'15 - Adm Loc'!#REF!</definedName>
    <definedName name="Z_DB1D3FDB_E0D5_4FD7_BD6E_EC28675EBF68_.wvu.PrintArea" localSheetId="20" hidden="1">'17 - SNS exec fin'!$B$2:$F$46</definedName>
    <definedName name="Z_DB1D3FDB_E0D5_4FD7_BD6E_EC28675EBF68_.wvu.PrintArea" localSheetId="21" hidden="1">'18 - Dív não Fin'!$B$2:$R$32</definedName>
    <definedName name="Z_DB1D3FDB_E0D5_4FD7_BD6E_EC28675EBF68_.wvu.PrintArea" localSheetId="22" hidden="1">'19 - CGA Ind'!$B$2:$O$451</definedName>
    <definedName name="Z_DB1D3FDB_E0D5_4FD7_BD6E_EC28675EBF68_.wvu.PrintArea" localSheetId="24" hidden="1">'21 - Estimativas'!$B$2:$C$43</definedName>
    <definedName name="Z_DB1D3FDB_E0D5_4FD7_BD6E_EC28675EBF68_.wvu.PrintArea" localSheetId="8" hidden="1">'5 - Conta AC + SS'!$B$1:$C$59</definedName>
    <definedName name="Z_DB1D3FDB_E0D5_4FD7_BD6E_EC28675EBF68_.wvu.PrintArea" localSheetId="10" hidden="1">'7 - Estado'!$C$2:$C$73</definedName>
    <definedName name="Z_DB1D3FDB_E0D5_4FD7_BD6E_EC28675EBF68_.wvu.PrintArea" localSheetId="11" hidden="1">'8 - R_Est'!$B$2:$J$72</definedName>
    <definedName name="Z_DB1D3FDB_E0D5_4FD7_BD6E_EC28675EBF68_.wvu.PrintArea" localSheetId="12" hidden="1">'9 - SFA'!$C$2:$J$96</definedName>
    <definedName name="Z_DB1D3FDB_E0D5_4FD7_BD6E_EC28675EBF68_.wvu.PrintArea" localSheetId="1" hidden="1">Indice_index!$B$3:$C$16</definedName>
    <definedName name="Z_DB1D3FDB_E0D5_4FD7_BD6E_EC28675EBF68_.wvu.PrintArea" localSheetId="5" hidden="1">'Síntese Global'!$B$2:$N$4</definedName>
    <definedName name="Z_DB1D3FDB_E0D5_4FD7_BD6E_EC28675EBF68_.wvu.PrintTitles" localSheetId="14" hidden="1">'11 - CGA'!$3:$5</definedName>
    <definedName name="Z_DB1D3FDB_E0D5_4FD7_BD6E_EC28675EBF68_.wvu.Rows" localSheetId="20" hidden="1">'17 - SNS exec fin'!#REF!</definedName>
    <definedName name="Z_DB1D3FDB_E0D5_4FD7_BD6E_EC28675EBF68_.wvu.Rows" localSheetId="24" hidden="1">'21 - Estimativas'!#REF!</definedName>
    <definedName name="Z_E424CD16_C6CB_4435_8379_83DB8236700E_.wvu.Cols" localSheetId="13" hidden="1">'10 - EPR'!#REF!,'10 - EPR'!#REF!</definedName>
    <definedName name="Z_E424CD16_C6CB_4435_8379_83DB8236700E_.wvu.Cols" localSheetId="15" hidden="1">'12 - SS'!#REF!</definedName>
    <definedName name="Z_E424CD16_C6CB_4435_8379_83DB8236700E_.wvu.Cols" localSheetId="21" hidden="1">'18 - Dív não Fin'!$AB:$AD</definedName>
    <definedName name="Z_E424CD16_C6CB_4435_8379_83DB8236700E_.wvu.Cols" localSheetId="10" hidden="1">'7 - Estado'!#REF!,'7 - Estado'!#REF!</definedName>
    <definedName name="Z_E424CD16_C6CB_4435_8379_83DB8236700E_.wvu.Cols" localSheetId="11" hidden="1">'8 - R_Est'!#REF!</definedName>
    <definedName name="Z_E424CD16_C6CB_4435_8379_83DB8236700E_.wvu.Cols" localSheetId="12" hidden="1">'9 - SFA'!#REF!,'9 - SFA'!#REF!</definedName>
    <definedName name="Z_E424CD16_C6CB_4435_8379_83DB8236700E_.wvu.Cols" localSheetId="1" hidden="1">Indice_index!$X:$Z</definedName>
    <definedName name="Z_E424CD16_C6CB_4435_8379_83DB8236700E_.wvu.FilterData" localSheetId="5" hidden="1">'Síntese Global'!#REF!</definedName>
    <definedName name="Z_E424CD16_C6CB_4435_8379_83DB8236700E_.wvu.PrintArea" localSheetId="2" hidden="1">'1 - Saldo Global Rec Desp'!$B$2:$O$3</definedName>
    <definedName name="Z_E424CD16_C6CB_4435_8379_83DB8236700E_.wvu.PrintArea" localSheetId="13" hidden="1">'10 - EPR'!$B$2:$J$88</definedName>
    <definedName name="Z_E424CD16_C6CB_4435_8379_83DB8236700E_.wvu.PrintArea" localSheetId="14" hidden="1">'11 - CGA'!$B$2:$J$52</definedName>
    <definedName name="Z_E424CD16_C6CB_4435_8379_83DB8236700E_.wvu.PrintArea" localSheetId="15" hidden="1">'12 - SS'!$B$2:$G$76</definedName>
    <definedName name="Z_E424CD16_C6CB_4435_8379_83DB8236700E_.wvu.PrintArea" localSheetId="17" hidden="1">'14 - Adm R'!#REF!</definedName>
    <definedName name="Z_E424CD16_C6CB_4435_8379_83DB8236700E_.wvu.PrintArea" localSheetId="18" hidden="1">'15 - Adm Loc'!#REF!</definedName>
    <definedName name="Z_E424CD16_C6CB_4435_8379_83DB8236700E_.wvu.PrintArea" localSheetId="20" hidden="1">'17 - SNS exec fin'!$B$2:$F$46</definedName>
    <definedName name="Z_E424CD16_C6CB_4435_8379_83DB8236700E_.wvu.PrintArea" localSheetId="21" hidden="1">'18 - Dív não Fin'!$B$2:$R$56</definedName>
    <definedName name="Z_E424CD16_C6CB_4435_8379_83DB8236700E_.wvu.PrintArea" localSheetId="22" hidden="1">'19 - CGA Ind'!$B$2:$O$451</definedName>
    <definedName name="Z_E424CD16_C6CB_4435_8379_83DB8236700E_.wvu.PrintArea" localSheetId="24" hidden="1">'21 - Estimativas'!$B$2:$C$43</definedName>
    <definedName name="Z_E424CD16_C6CB_4435_8379_83DB8236700E_.wvu.PrintArea" localSheetId="8" hidden="1">'5 - Conta AC + SS'!$B$2:$J$65</definedName>
    <definedName name="Z_E424CD16_C6CB_4435_8379_83DB8236700E_.wvu.PrintArea" localSheetId="10" hidden="1">'7 - Estado'!$B$2:$C$73</definedName>
    <definedName name="Z_E424CD16_C6CB_4435_8379_83DB8236700E_.wvu.PrintArea" localSheetId="11" hidden="1">'8 - R_Est'!$B$2:$J$74</definedName>
    <definedName name="Z_E424CD16_C6CB_4435_8379_83DB8236700E_.wvu.PrintArea" localSheetId="12" hidden="1">'9 - SFA'!$B$2:$J$95</definedName>
    <definedName name="Z_E424CD16_C6CB_4435_8379_83DB8236700E_.wvu.PrintArea" localSheetId="1" hidden="1">Indice_index!$B$3:$C$16,Indice_index!$B$17:$C$32</definedName>
    <definedName name="Z_E424CD16_C6CB_4435_8379_83DB8236700E_.wvu.PrintArea" localSheetId="5" hidden="1">'Síntese Global'!$B$2:$N$4</definedName>
    <definedName name="Z_E424CD16_C6CB_4435_8379_83DB8236700E_.wvu.PrintTitles" localSheetId="14" hidden="1">'11 - CGA'!$3:$5</definedName>
    <definedName name="Z_E424CD16_C6CB_4435_8379_83DB8236700E_.wvu.Rows" localSheetId="1" hidden="1">Indice_index!#REF!</definedName>
    <definedName name="Z_E5E53890_67F8_4CB0_899E_FED556844856_.wvu.FilterData" localSheetId="5" hidden="1">'Síntese Global'!#REF!</definedName>
    <definedName name="Z_E9495A6A_B111_4F85_812B_8DC9C181785A_.wvu.Cols" localSheetId="9" hidden="1">'6 - Conta AC'!#REF!</definedName>
    <definedName name="Z_E9495A6A_B111_4F85_812B_8DC9C181785A_.wvu.PrintArea" localSheetId="9" hidden="1">'6 - Conta AC'!$B$1:$G$57</definedName>
    <definedName name="Z_E9495A6A_B111_4F85_812B_8DC9C181785A_.wvu.Rows" localSheetId="9" hidden="1">'6 - Conta AC'!#REF!</definedName>
    <definedName name="Z_EBA68B69_6D6E_44F8_8C51_9491A55275C5_.wvu.Cols" localSheetId="13" hidden="1">'10 - EPR'!#REF!</definedName>
    <definedName name="Z_EBA68B69_6D6E_44F8_8C51_9491A55275C5_.wvu.Cols" localSheetId="15" hidden="1">'12 - SS'!#REF!</definedName>
    <definedName name="Z_EBA68B69_6D6E_44F8_8C51_9491A55275C5_.wvu.Cols" localSheetId="21" hidden="1">'18 - Dív não Fin'!$AB:$AD</definedName>
    <definedName name="Z_EBA68B69_6D6E_44F8_8C51_9491A55275C5_.wvu.Cols" localSheetId="10" hidden="1">'7 - Estado'!#REF!</definedName>
    <definedName name="Z_EBA68B69_6D6E_44F8_8C51_9491A55275C5_.wvu.Cols" localSheetId="11" hidden="1">'8 - R_Est'!#REF!</definedName>
    <definedName name="Z_EBA68B69_6D6E_44F8_8C51_9491A55275C5_.wvu.Cols" localSheetId="12" hidden="1">'9 - SFA'!#REF!</definedName>
    <definedName name="Z_EBA68B69_6D6E_44F8_8C51_9491A55275C5_.wvu.Cols" localSheetId="1" hidden="1">Indice_index!$X:$Z</definedName>
    <definedName name="Z_EBA68B69_6D6E_44F8_8C51_9491A55275C5_.wvu.FilterData" localSheetId="5" hidden="1">'Síntese Global'!#REF!</definedName>
    <definedName name="Z_EBA68B69_6D6E_44F8_8C51_9491A55275C5_.wvu.PrintArea" localSheetId="13" hidden="1">'10 - EPR'!$C$2:$J$88</definedName>
    <definedName name="Z_EBA68B69_6D6E_44F8_8C51_9491A55275C5_.wvu.PrintArea" localSheetId="14" hidden="1">'11 - CGA'!$B$2:$J$52</definedName>
    <definedName name="Z_EBA68B69_6D6E_44F8_8C51_9491A55275C5_.wvu.PrintArea" localSheetId="15" hidden="1">'12 - SS'!$B$2:$G$76</definedName>
    <definedName name="Z_EBA68B69_6D6E_44F8_8C51_9491A55275C5_.wvu.PrintArea" localSheetId="17" hidden="1">'14 - Adm R'!#REF!</definedName>
    <definedName name="Z_EBA68B69_6D6E_44F8_8C51_9491A55275C5_.wvu.PrintArea" localSheetId="18" hidden="1">'15 - Adm Loc'!#REF!</definedName>
    <definedName name="Z_EBA68B69_6D6E_44F8_8C51_9491A55275C5_.wvu.PrintArea" localSheetId="20" hidden="1">'17 - SNS exec fin'!$B$2:$F$46</definedName>
    <definedName name="Z_EBA68B69_6D6E_44F8_8C51_9491A55275C5_.wvu.PrintArea" localSheetId="21" hidden="1">'18 - Dív não Fin'!$B$2:$R$32</definedName>
    <definedName name="Z_EBA68B69_6D6E_44F8_8C51_9491A55275C5_.wvu.PrintArea" localSheetId="22" hidden="1">'19 - CGA Ind'!$B$2:$O$451</definedName>
    <definedName name="Z_EBA68B69_6D6E_44F8_8C51_9491A55275C5_.wvu.PrintArea" localSheetId="24" hidden="1">'21 - Estimativas'!$B$2:$C$43</definedName>
    <definedName name="Z_EBA68B69_6D6E_44F8_8C51_9491A55275C5_.wvu.PrintArea" localSheetId="8" hidden="1">'5 - Conta AC + SS'!$B$1:$C$59</definedName>
    <definedName name="Z_EBA68B69_6D6E_44F8_8C51_9491A55275C5_.wvu.PrintArea" localSheetId="10" hidden="1">'7 - Estado'!$C$2:$C$73</definedName>
    <definedName name="Z_EBA68B69_6D6E_44F8_8C51_9491A55275C5_.wvu.PrintArea" localSheetId="11" hidden="1">'8 - R_Est'!$B$2:$J$72</definedName>
    <definedName name="Z_EBA68B69_6D6E_44F8_8C51_9491A55275C5_.wvu.PrintArea" localSheetId="12" hidden="1">'9 - SFA'!$C$2:$J$96</definedName>
    <definedName name="Z_EBA68B69_6D6E_44F8_8C51_9491A55275C5_.wvu.PrintArea" localSheetId="1" hidden="1">Indice_index!$B$3:$C$16</definedName>
    <definedName name="Z_EBA68B69_6D6E_44F8_8C51_9491A55275C5_.wvu.PrintArea" localSheetId="5" hidden="1">'Síntese Global'!$B$2:$N$4</definedName>
    <definedName name="Z_EBA68B69_6D6E_44F8_8C51_9491A55275C5_.wvu.PrintTitles" localSheetId="14" hidden="1">'11 - CGA'!$3:$5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95" i="33" l="1"/>
  <c r="C74" i="35"/>
  <c r="C92" i="33" l="1"/>
  <c r="C91" i="33"/>
  <c r="C90" i="33"/>
  <c r="C88" i="33"/>
  <c r="C70" i="35"/>
  <c r="C69" i="35"/>
  <c r="C68" i="35"/>
  <c r="C67" i="35"/>
  <c r="C87" i="17" l="1"/>
  <c r="H7" i="18" l="1"/>
  <c r="G7" i="18"/>
  <c r="C49" i="30"/>
  <c r="G33" i="30"/>
  <c r="C48" i="30"/>
  <c r="D42" i="30"/>
  <c r="G42" i="30"/>
  <c r="E42" i="30"/>
  <c r="H42" i="30"/>
  <c r="H33" i="30"/>
  <c r="H22" i="30"/>
  <c r="H20" i="30"/>
  <c r="H15" i="30"/>
  <c r="H7" i="30"/>
  <c r="H5" i="30"/>
  <c r="H38" i="30"/>
  <c r="H40" i="30"/>
  <c r="Q52" i="20"/>
  <c r="Q43" i="20"/>
  <c r="P43" i="20"/>
  <c r="P52" i="20" s="1"/>
  <c r="R52" i="20" s="1"/>
  <c r="O43" i="20"/>
  <c r="O52" i="20" s="1"/>
  <c r="N43" i="20"/>
  <c r="N52" i="20" s="1"/>
  <c r="M43" i="20"/>
  <c r="M52" i="20" s="1"/>
  <c r="L43" i="20"/>
  <c r="L52" i="20" s="1"/>
  <c r="K43" i="20"/>
  <c r="K52" i="20" s="1"/>
  <c r="J43" i="20"/>
  <c r="J52" i="20"/>
  <c r="I43" i="20"/>
  <c r="I52" i="20"/>
  <c r="H43" i="20"/>
  <c r="H52" i="20"/>
  <c r="G43" i="20"/>
  <c r="G52" i="20"/>
  <c r="F43" i="20"/>
  <c r="F52" i="20"/>
  <c r="E43" i="20"/>
  <c r="E52" i="20" s="1"/>
  <c r="I8" i="25"/>
  <c r="G8" i="25"/>
  <c r="H8" i="25"/>
  <c r="F8" i="25"/>
  <c r="C77" i="9"/>
  <c r="G72" i="9"/>
  <c r="F72" i="9"/>
  <c r="E14" i="33"/>
  <c r="E8" i="33"/>
  <c r="C23" i="15"/>
  <c r="H23" i="15"/>
  <c r="G36" i="14"/>
  <c r="F36" i="14"/>
  <c r="C28" i="20"/>
  <c r="F42" i="20"/>
  <c r="F9" i="20"/>
  <c r="G130" i="37"/>
  <c r="G120" i="37"/>
  <c r="G107" i="37"/>
  <c r="G104" i="37"/>
  <c r="G94" i="37"/>
  <c r="G88" i="37"/>
  <c r="G81" i="37"/>
  <c r="G82" i="37"/>
  <c r="G78" i="37"/>
  <c r="G69" i="37"/>
  <c r="G65" i="37"/>
  <c r="G56" i="37"/>
  <c r="G43" i="37"/>
  <c r="G31" i="37"/>
  <c r="G27" i="37"/>
  <c r="G26" i="37"/>
  <c r="G20" i="37"/>
  <c r="G11" i="37"/>
  <c r="S56" i="28"/>
  <c r="S86" i="28"/>
  <c r="S85" i="28"/>
  <c r="S84" i="28"/>
  <c r="S83" i="28"/>
  <c r="S82" i="28"/>
  <c r="S81" i="28"/>
  <c r="S80" i="28"/>
  <c r="S79" i="28"/>
  <c r="S78" i="28"/>
  <c r="S77" i="28"/>
  <c r="S76" i="28"/>
  <c r="S75" i="28"/>
  <c r="S74" i="28"/>
  <c r="S73" i="28"/>
  <c r="S72" i="28"/>
  <c r="S71" i="28"/>
  <c r="S70" i="28"/>
  <c r="S69" i="28"/>
  <c r="S68" i="28"/>
  <c r="S67" i="28"/>
  <c r="S66" i="28"/>
  <c r="S65" i="28"/>
  <c r="S64" i="28"/>
  <c r="S63" i="28"/>
  <c r="S62" i="28"/>
  <c r="S61" i="28"/>
  <c r="S60" i="28"/>
  <c r="S59" i="28"/>
  <c r="S58" i="28"/>
  <c r="S57" i="28"/>
  <c r="D71" i="9"/>
  <c r="D70" i="9"/>
  <c r="C4" i="37"/>
  <c r="C142" i="37" s="1"/>
  <c r="C5" i="7"/>
  <c r="G6" i="4"/>
  <c r="F6" i="4"/>
  <c r="E6" i="4"/>
  <c r="I53" i="33"/>
  <c r="C84" i="17"/>
  <c r="F68" i="17"/>
  <c r="D48" i="35"/>
  <c r="D25" i="35"/>
  <c r="E69" i="33"/>
  <c r="I72" i="33"/>
  <c r="C72" i="33"/>
  <c r="D72" i="33"/>
  <c r="Q30" i="6"/>
  <c r="Q29" i="6"/>
  <c r="Q50" i="6"/>
  <c r="Q42" i="6"/>
  <c r="K30" i="6"/>
  <c r="K42" i="6"/>
  <c r="P30" i="6"/>
  <c r="P42" i="6"/>
  <c r="J30" i="6"/>
  <c r="J29" i="6"/>
  <c r="J42" i="6"/>
  <c r="O30" i="6"/>
  <c r="O29" i="6"/>
  <c r="O42" i="6"/>
  <c r="I30" i="6"/>
  <c r="I29" i="6"/>
  <c r="I42" i="6"/>
  <c r="N30" i="6"/>
  <c r="N29" i="6"/>
  <c r="N42" i="6"/>
  <c r="H30" i="6"/>
  <c r="H29" i="6"/>
  <c r="H42" i="6"/>
  <c r="H50" i="6"/>
  <c r="M30" i="6"/>
  <c r="M29" i="6"/>
  <c r="M42" i="6"/>
  <c r="G30" i="6"/>
  <c r="G42" i="6"/>
  <c r="Q100" i="6"/>
  <c r="Q19" i="6"/>
  <c r="Q77" i="6"/>
  <c r="K19" i="6"/>
  <c r="P19" i="6"/>
  <c r="J19" i="6"/>
  <c r="P77" i="6"/>
  <c r="O19" i="6"/>
  <c r="I19" i="6"/>
  <c r="N19" i="6"/>
  <c r="H19" i="6"/>
  <c r="N77" i="6"/>
  <c r="M19" i="6"/>
  <c r="G19" i="6"/>
  <c r="I10" i="6"/>
  <c r="I9" i="6"/>
  <c r="O10" i="6"/>
  <c r="M10" i="6"/>
  <c r="G10" i="6"/>
  <c r="G9" i="6"/>
  <c r="N10" i="6"/>
  <c r="H10" i="6"/>
  <c r="P10" i="6"/>
  <c r="P9" i="6"/>
  <c r="J10" i="6"/>
  <c r="K10" i="6"/>
  <c r="K9" i="6"/>
  <c r="Q10" i="6"/>
  <c r="Q68" i="6"/>
  <c r="Q9" i="6"/>
  <c r="Q27" i="6"/>
  <c r="E42" i="6"/>
  <c r="E30" i="6"/>
  <c r="E29" i="6"/>
  <c r="E19" i="6"/>
  <c r="E10" i="6"/>
  <c r="E9" i="6"/>
  <c r="E55" i="6"/>
  <c r="Q74" i="6"/>
  <c r="Q104" i="6"/>
  <c r="Q81" i="6"/>
  <c r="K74" i="6"/>
  <c r="K81" i="6"/>
  <c r="K104" i="6"/>
  <c r="K96" i="6"/>
  <c r="Q96" i="6"/>
  <c r="J100" i="6"/>
  <c r="J55" i="6"/>
  <c r="P93" i="6"/>
  <c r="J93" i="6"/>
  <c r="P72" i="6"/>
  <c r="J72" i="6"/>
  <c r="J83" i="6"/>
  <c r="P90" i="6"/>
  <c r="J90" i="6"/>
  <c r="J79" i="6"/>
  <c r="P79" i="6"/>
  <c r="J102" i="6"/>
  <c r="P102" i="6"/>
  <c r="J99" i="6"/>
  <c r="P71" i="6"/>
  <c r="J71" i="6"/>
  <c r="P70" i="6"/>
  <c r="J70" i="6"/>
  <c r="J106" i="6"/>
  <c r="J92" i="6"/>
  <c r="P92" i="6"/>
  <c r="J91" i="6"/>
  <c r="P91" i="6"/>
  <c r="J98" i="6"/>
  <c r="P98" i="6"/>
  <c r="P89" i="6"/>
  <c r="J89" i="6"/>
  <c r="J94" i="6"/>
  <c r="P94" i="6"/>
  <c r="J105" i="6"/>
  <c r="P105" i="6"/>
  <c r="J82" i="6"/>
  <c r="P82" i="6"/>
  <c r="J75" i="6"/>
  <c r="P75" i="6"/>
  <c r="J97" i="6"/>
  <c r="P97" i="6"/>
  <c r="J69" i="6"/>
  <c r="P69" i="6"/>
  <c r="J76" i="6"/>
  <c r="G81" i="6"/>
  <c r="M81" i="6"/>
  <c r="J104" i="6"/>
  <c r="P104" i="6"/>
  <c r="H96" i="6"/>
  <c r="N96" i="6"/>
  <c r="P74" i="6"/>
  <c r="J74" i="6"/>
  <c r="P81" i="6"/>
  <c r="J81" i="6"/>
  <c r="N104" i="6"/>
  <c r="H104" i="6"/>
  <c r="I81" i="6"/>
  <c r="O81" i="6"/>
  <c r="N74" i="6"/>
  <c r="H74" i="6"/>
  <c r="G104" i="6"/>
  <c r="M104" i="6"/>
  <c r="J96" i="6"/>
  <c r="P96" i="6"/>
  <c r="M96" i="6"/>
  <c r="G96" i="6"/>
  <c r="N81" i="6"/>
  <c r="H81" i="6"/>
  <c r="G74" i="6"/>
  <c r="M74" i="6"/>
  <c r="P80" i="6"/>
  <c r="J80" i="6"/>
  <c r="O104" i="6"/>
  <c r="I104" i="6"/>
  <c r="P103" i="6"/>
  <c r="J103" i="6"/>
  <c r="J95" i="6"/>
  <c r="P95" i="6"/>
  <c r="I96" i="6"/>
  <c r="O96" i="6"/>
  <c r="J73" i="6"/>
  <c r="P73" i="6"/>
  <c r="I74" i="6"/>
  <c r="O74" i="6"/>
  <c r="P78" i="6"/>
  <c r="J78" i="6"/>
  <c r="P55" i="6"/>
  <c r="P101" i="6"/>
  <c r="J101" i="6"/>
  <c r="P88" i="6"/>
  <c r="I72" i="6"/>
  <c r="O72" i="6"/>
  <c r="I102" i="6"/>
  <c r="O102" i="6"/>
  <c r="I99" i="6"/>
  <c r="I92" i="6"/>
  <c r="O92" i="6"/>
  <c r="I106" i="6"/>
  <c r="O91" i="6"/>
  <c r="I91" i="6"/>
  <c r="I93" i="6"/>
  <c r="O93" i="6"/>
  <c r="O90" i="6"/>
  <c r="I90" i="6"/>
  <c r="I89" i="6"/>
  <c r="O89" i="6"/>
  <c r="O70" i="6"/>
  <c r="I70" i="6"/>
  <c r="O71" i="6"/>
  <c r="I71" i="6"/>
  <c r="I83" i="6"/>
  <c r="I69" i="6"/>
  <c r="O69" i="6"/>
  <c r="I79" i="6"/>
  <c r="O79" i="6"/>
  <c r="O98" i="6"/>
  <c r="I98" i="6"/>
  <c r="I94" i="6"/>
  <c r="O94" i="6"/>
  <c r="I77" i="6"/>
  <c r="I76" i="6"/>
  <c r="I105" i="6"/>
  <c r="O105" i="6"/>
  <c r="I103" i="6"/>
  <c r="O103" i="6"/>
  <c r="I101" i="6"/>
  <c r="O101" i="6"/>
  <c r="I75" i="6"/>
  <c r="O75" i="6"/>
  <c r="O97" i="6"/>
  <c r="I97" i="6"/>
  <c r="I73" i="6"/>
  <c r="O73" i="6"/>
  <c r="O95" i="6"/>
  <c r="I95" i="6"/>
  <c r="O55" i="6"/>
  <c r="O88" i="6"/>
  <c r="O82" i="6"/>
  <c r="I82" i="6"/>
  <c r="O80" i="6"/>
  <c r="I80" i="6"/>
  <c r="I78" i="6"/>
  <c r="O78" i="6"/>
  <c r="G27" i="6"/>
  <c r="K55" i="6"/>
  <c r="G82" i="6"/>
  <c r="M82" i="6"/>
  <c r="G89" i="6"/>
  <c r="M89" i="6"/>
  <c r="G91" i="6"/>
  <c r="M91" i="6"/>
  <c r="G97" i="6"/>
  <c r="M97" i="6"/>
  <c r="H82" i="6"/>
  <c r="N82" i="6"/>
  <c r="N94" i="6"/>
  <c r="H94" i="6"/>
  <c r="H83" i="6"/>
  <c r="N75" i="6"/>
  <c r="H75" i="6"/>
  <c r="G83" i="6"/>
  <c r="N70" i="6"/>
  <c r="H70" i="6"/>
  <c r="G75" i="6"/>
  <c r="M75" i="6"/>
  <c r="N89" i="6"/>
  <c r="H89" i="6"/>
  <c r="M94" i="6"/>
  <c r="G94" i="6"/>
  <c r="N90" i="6"/>
  <c r="H90" i="6"/>
  <c r="N105" i="6"/>
  <c r="H105" i="6"/>
  <c r="M90" i="6"/>
  <c r="G90" i="6"/>
  <c r="M79" i="6"/>
  <c r="G79" i="6"/>
  <c r="G106" i="6"/>
  <c r="M102" i="6"/>
  <c r="G102" i="6"/>
  <c r="H106" i="6"/>
  <c r="G99" i="6"/>
  <c r="M72" i="6"/>
  <c r="G72" i="6"/>
  <c r="M71" i="6"/>
  <c r="G71" i="6"/>
  <c r="N92" i="6"/>
  <c r="H92" i="6"/>
  <c r="G92" i="6"/>
  <c r="M92" i="6"/>
  <c r="H99" i="6"/>
  <c r="H91" i="6"/>
  <c r="N91" i="6"/>
  <c r="H97" i="6"/>
  <c r="N97" i="6"/>
  <c r="G105" i="6"/>
  <c r="M105" i="6"/>
  <c r="N79" i="6"/>
  <c r="H79" i="6"/>
  <c r="G70" i="6"/>
  <c r="M70" i="6"/>
  <c r="N71" i="6"/>
  <c r="H71" i="6"/>
  <c r="H72" i="6"/>
  <c r="N72" i="6"/>
  <c r="N102" i="6"/>
  <c r="H102" i="6"/>
  <c r="G69" i="6"/>
  <c r="M69" i="6"/>
  <c r="G93" i="6"/>
  <c r="M93" i="6"/>
  <c r="G98" i="6"/>
  <c r="M98" i="6"/>
  <c r="H93" i="6"/>
  <c r="N93" i="6"/>
  <c r="H76" i="6"/>
  <c r="H69" i="6"/>
  <c r="N69" i="6"/>
  <c r="N98" i="6"/>
  <c r="H98" i="6"/>
  <c r="N73" i="6"/>
  <c r="H73" i="6"/>
  <c r="G73" i="6"/>
  <c r="M73" i="6"/>
  <c r="K72" i="6"/>
  <c r="Q72" i="6"/>
  <c r="G77" i="6"/>
  <c r="H100" i="6"/>
  <c r="H80" i="6"/>
  <c r="N80" i="6"/>
  <c r="G76" i="6"/>
  <c r="N78" i="6"/>
  <c r="H78" i="6"/>
  <c r="H77" i="6"/>
  <c r="K77" i="6"/>
  <c r="G103" i="6"/>
  <c r="M103" i="6"/>
  <c r="N95" i="6"/>
  <c r="H95" i="6"/>
  <c r="H103" i="6"/>
  <c r="N103" i="6"/>
  <c r="G95" i="6"/>
  <c r="M95" i="6"/>
  <c r="M80" i="6"/>
  <c r="G80" i="6"/>
  <c r="G68" i="6"/>
  <c r="G88" i="6"/>
  <c r="M88" i="6"/>
  <c r="M78" i="6"/>
  <c r="G78" i="6"/>
  <c r="M55" i="6"/>
  <c r="H88" i="6"/>
  <c r="N88" i="6"/>
  <c r="G101" i="6"/>
  <c r="M101" i="6"/>
  <c r="N101" i="6"/>
  <c r="H101" i="6"/>
  <c r="N55" i="6"/>
  <c r="Q98" i="6"/>
  <c r="K98" i="6"/>
  <c r="K99" i="6"/>
  <c r="K91" i="6"/>
  <c r="Q91" i="6"/>
  <c r="K90" i="6"/>
  <c r="Q90" i="6"/>
  <c r="K93" i="6"/>
  <c r="Q93" i="6"/>
  <c r="Q94" i="6"/>
  <c r="K94" i="6"/>
  <c r="K92" i="6"/>
  <c r="Q92" i="6"/>
  <c r="K106" i="6"/>
  <c r="K102" i="6"/>
  <c r="Q102" i="6"/>
  <c r="K105" i="6"/>
  <c r="Q105" i="6"/>
  <c r="Q97" i="6"/>
  <c r="K97" i="6"/>
  <c r="Q89" i="6"/>
  <c r="K89" i="6"/>
  <c r="K83" i="6"/>
  <c r="K70" i="6"/>
  <c r="Q70" i="6"/>
  <c r="K95" i="6"/>
  <c r="Q95" i="6"/>
  <c r="K88" i="6"/>
  <c r="K71" i="6"/>
  <c r="Q71" i="6"/>
  <c r="K103" i="6"/>
  <c r="Q103" i="6"/>
  <c r="K101" i="6"/>
  <c r="Q101" i="6"/>
  <c r="K82" i="6"/>
  <c r="Q82" i="6"/>
  <c r="Q75" i="6"/>
  <c r="K75" i="6"/>
  <c r="K69" i="6"/>
  <c r="Q69" i="6"/>
  <c r="K80" i="6"/>
  <c r="Q80" i="6"/>
  <c r="Q73" i="6"/>
  <c r="K73" i="6"/>
  <c r="Q79" i="6"/>
  <c r="K79" i="6"/>
  <c r="Q55" i="6"/>
  <c r="K78" i="6"/>
  <c r="Q78" i="6"/>
  <c r="K76" i="6"/>
  <c r="C28" i="35"/>
  <c r="C53" i="33"/>
  <c r="D53" i="33"/>
  <c r="H42" i="14"/>
  <c r="C42" i="14"/>
  <c r="G163" i="37"/>
  <c r="C76" i="9"/>
  <c r="D68" i="9"/>
  <c r="R28" i="20"/>
  <c r="F70" i="9"/>
  <c r="G70" i="9"/>
  <c r="F71" i="9"/>
  <c r="F68" i="9"/>
  <c r="G71" i="9"/>
  <c r="G68" i="9"/>
  <c r="F9" i="15"/>
  <c r="G9" i="15"/>
  <c r="G8" i="15"/>
  <c r="C172" i="37"/>
  <c r="E106" i="37"/>
  <c r="F107" i="37"/>
  <c r="AH56" i="28"/>
  <c r="T56" i="28"/>
  <c r="C506" i="36"/>
  <c r="C503" i="36"/>
  <c r="C14" i="18"/>
  <c r="C83" i="28"/>
  <c r="AH83" i="28"/>
  <c r="T83" i="28"/>
  <c r="D83" i="28"/>
  <c r="S9" i="28"/>
  <c r="D120" i="27"/>
  <c r="I82" i="33"/>
  <c r="I81" i="33"/>
  <c r="I80" i="33"/>
  <c r="I79" i="33"/>
  <c r="I78" i="33"/>
  <c r="I77" i="33"/>
  <c r="I83" i="33" s="1"/>
  <c r="I76" i="33"/>
  <c r="I71" i="33"/>
  <c r="I70" i="33"/>
  <c r="I65" i="33"/>
  <c r="I64" i="33"/>
  <c r="I63" i="33"/>
  <c r="I62" i="33"/>
  <c r="I61" i="33"/>
  <c r="I60" i="33"/>
  <c r="I59" i="33"/>
  <c r="I58" i="33"/>
  <c r="I57" i="33"/>
  <c r="I56" i="33"/>
  <c r="I55" i="33"/>
  <c r="I54" i="33"/>
  <c r="I52" i="33"/>
  <c r="I51" i="33"/>
  <c r="I50" i="33"/>
  <c r="I49" i="33"/>
  <c r="I48" i="33"/>
  <c r="I47" i="33"/>
  <c r="I46" i="33"/>
  <c r="I45" i="33"/>
  <c r="I44" i="33"/>
  <c r="I43" i="33"/>
  <c r="I42" i="33"/>
  <c r="I41" i="33"/>
  <c r="I40" i="33"/>
  <c r="I39" i="33"/>
  <c r="I38" i="33"/>
  <c r="I37" i="33"/>
  <c r="I36" i="33"/>
  <c r="I35" i="33"/>
  <c r="I34" i="33"/>
  <c r="I33" i="33"/>
  <c r="I32" i="33"/>
  <c r="I31" i="33"/>
  <c r="I30" i="33"/>
  <c r="I29" i="33"/>
  <c r="I28" i="33"/>
  <c r="I27" i="33"/>
  <c r="I26" i="33"/>
  <c r="I25" i="33"/>
  <c r="I24" i="33"/>
  <c r="I23" i="33"/>
  <c r="I22" i="33"/>
  <c r="I21" i="33"/>
  <c r="I20" i="33"/>
  <c r="I19" i="33"/>
  <c r="I18" i="33"/>
  <c r="I17" i="33"/>
  <c r="I16" i="33"/>
  <c r="G142" i="37"/>
  <c r="G4" i="37"/>
  <c r="C27" i="4"/>
  <c r="C2" i="37"/>
  <c r="G137" i="37"/>
  <c r="G138" i="37"/>
  <c r="G165" i="37"/>
  <c r="G144" i="37"/>
  <c r="F144" i="37"/>
  <c r="G6" i="37"/>
  <c r="F6" i="37"/>
  <c r="S37" i="28"/>
  <c r="S27" i="28"/>
  <c r="S15" i="28"/>
  <c r="S10" i="28"/>
  <c r="C2" i="36"/>
  <c r="C28" i="4"/>
  <c r="C170" i="37"/>
  <c r="C17" i="19"/>
  <c r="C38" i="19"/>
  <c r="E6" i="19"/>
  <c r="E6" i="18"/>
  <c r="C8" i="4"/>
  <c r="C9" i="4"/>
  <c r="C10" i="4"/>
  <c r="C12" i="4"/>
  <c r="C14" i="4"/>
  <c r="C131" i="37"/>
  <c r="C162" i="37" s="1"/>
  <c r="C71" i="37"/>
  <c r="C154" i="37" s="1"/>
  <c r="F137" i="37"/>
  <c r="F130" i="37"/>
  <c r="F120" i="37"/>
  <c r="F104" i="37"/>
  <c r="F94" i="37"/>
  <c r="F88" i="37"/>
  <c r="F81" i="37"/>
  <c r="F82" i="37"/>
  <c r="F78" i="37"/>
  <c r="F69" i="37"/>
  <c r="F65" i="37"/>
  <c r="F56" i="37"/>
  <c r="F43" i="37"/>
  <c r="F31" i="37"/>
  <c r="F26" i="37"/>
  <c r="F20" i="37"/>
  <c r="F11" i="37"/>
  <c r="E109" i="37"/>
  <c r="E131" i="37"/>
  <c r="E136" i="37"/>
  <c r="E132" i="37"/>
  <c r="E133" i="37"/>
  <c r="E134" i="37"/>
  <c r="E135" i="37"/>
  <c r="D131" i="37"/>
  <c r="D162" i="37" s="1"/>
  <c r="E127" i="37"/>
  <c r="E129" i="37"/>
  <c r="D121" i="37"/>
  <c r="E118" i="37"/>
  <c r="E110" i="37"/>
  <c r="D109" i="37"/>
  <c r="E120" i="37" s="1"/>
  <c r="D105" i="37"/>
  <c r="D159" i="37" s="1"/>
  <c r="D96" i="37"/>
  <c r="D158" i="37" s="1"/>
  <c r="D90" i="37"/>
  <c r="E94" i="37" s="1"/>
  <c r="D83" i="37"/>
  <c r="D156" i="37" s="1"/>
  <c r="E82" i="37"/>
  <c r="E79" i="37"/>
  <c r="E80" i="37"/>
  <c r="D79" i="37"/>
  <c r="D155" i="37" s="1"/>
  <c r="E71" i="37"/>
  <c r="E72" i="37"/>
  <c r="E73" i="37"/>
  <c r="E74" i="37"/>
  <c r="E75" i="37"/>
  <c r="E76" i="37"/>
  <c r="E77" i="37"/>
  <c r="D71" i="37"/>
  <c r="D154" i="37" s="1"/>
  <c r="D70" i="37"/>
  <c r="D66" i="37"/>
  <c r="D153" i="37" s="1"/>
  <c r="D57" i="37"/>
  <c r="E65" i="37" s="1"/>
  <c r="E64" i="37"/>
  <c r="E63" i="37"/>
  <c r="E62" i="37"/>
  <c r="E61" i="37"/>
  <c r="E60" i="37"/>
  <c r="E59" i="37"/>
  <c r="E58" i="37"/>
  <c r="E57" i="37"/>
  <c r="C57" i="37"/>
  <c r="C152" i="37" s="1"/>
  <c r="E55" i="37"/>
  <c r="E54" i="37"/>
  <c r="D44" i="37"/>
  <c r="D151" i="37" s="1"/>
  <c r="D32" i="37"/>
  <c r="D150" i="37" s="1"/>
  <c r="D28" i="37"/>
  <c r="D149" i="37" s="1"/>
  <c r="E25" i="37"/>
  <c r="E24" i="37"/>
  <c r="E23" i="37"/>
  <c r="E19" i="37"/>
  <c r="E18" i="37"/>
  <c r="E17" i="37"/>
  <c r="F27" i="37"/>
  <c r="E16" i="37"/>
  <c r="E14" i="37"/>
  <c r="C173" i="37"/>
  <c r="C171" i="37"/>
  <c r="C169" i="37"/>
  <c r="C167" i="37"/>
  <c r="C165" i="37"/>
  <c r="F163" i="37"/>
  <c r="E162" i="37"/>
  <c r="E161" i="37"/>
  <c r="E160" i="37"/>
  <c r="E159" i="37"/>
  <c r="E158" i="37"/>
  <c r="E157" i="37"/>
  <c r="E156" i="37"/>
  <c r="E155" i="37"/>
  <c r="E154" i="37"/>
  <c r="E153" i="37"/>
  <c r="E152" i="37"/>
  <c r="E151" i="37"/>
  <c r="E150" i="37"/>
  <c r="E149" i="37"/>
  <c r="E148" i="37"/>
  <c r="E147" i="37"/>
  <c r="E146" i="37"/>
  <c r="E143" i="37"/>
  <c r="D143" i="37"/>
  <c r="C143" i="37"/>
  <c r="C140" i="37"/>
  <c r="C138" i="37"/>
  <c r="E128" i="37"/>
  <c r="E126" i="37"/>
  <c r="E125" i="37"/>
  <c r="E124" i="37"/>
  <c r="E123" i="37"/>
  <c r="E122" i="37"/>
  <c r="E121" i="37"/>
  <c r="C121" i="37"/>
  <c r="C161" i="37" s="1"/>
  <c r="E119" i="37"/>
  <c r="E117" i="37"/>
  <c r="E116" i="37"/>
  <c r="E115" i="37"/>
  <c r="E114" i="37"/>
  <c r="E113" i="37"/>
  <c r="E112" i="37"/>
  <c r="E111" i="37"/>
  <c r="C109" i="37"/>
  <c r="C160" i="37" s="1"/>
  <c r="E108" i="37"/>
  <c r="E105" i="37"/>
  <c r="C105" i="37"/>
  <c r="C159" i="37" s="1"/>
  <c r="E103" i="37"/>
  <c r="E102" i="37"/>
  <c r="E101" i="37"/>
  <c r="E100" i="37"/>
  <c r="E99" i="37"/>
  <c r="E98" i="37"/>
  <c r="E97" i="37"/>
  <c r="E96" i="37"/>
  <c r="C96" i="37"/>
  <c r="C158" i="37" s="1"/>
  <c r="E95" i="37"/>
  <c r="E93" i="37"/>
  <c r="E92" i="37"/>
  <c r="E91" i="37"/>
  <c r="E90" i="37"/>
  <c r="C90" i="37"/>
  <c r="C157" i="37" s="1"/>
  <c r="E89" i="37"/>
  <c r="E87" i="37"/>
  <c r="E86" i="37"/>
  <c r="E85" i="37"/>
  <c r="E84" i="37"/>
  <c r="E83" i="37"/>
  <c r="C83" i="37"/>
  <c r="C156" i="37" s="1"/>
  <c r="C79" i="37"/>
  <c r="C155" i="37" s="1"/>
  <c r="E53" i="37"/>
  <c r="E52" i="37"/>
  <c r="E51" i="37"/>
  <c r="E50" i="37"/>
  <c r="E49" i="37"/>
  <c r="E48" i="37"/>
  <c r="E47" i="37"/>
  <c r="E46" i="37"/>
  <c r="E45" i="37"/>
  <c r="E44" i="37"/>
  <c r="C44" i="37"/>
  <c r="C151" i="37" s="1"/>
  <c r="E42" i="37"/>
  <c r="E41" i="37"/>
  <c r="E40" i="37"/>
  <c r="E39" i="37"/>
  <c r="E38" i="37"/>
  <c r="E37" i="37"/>
  <c r="E36" i="37"/>
  <c r="E35" i="37"/>
  <c r="E34" i="37"/>
  <c r="E33" i="37"/>
  <c r="E32" i="37"/>
  <c r="C32" i="37"/>
  <c r="C150" i="37" s="1"/>
  <c r="E70" i="37"/>
  <c r="E68" i="37"/>
  <c r="E67" i="37"/>
  <c r="E66" i="37"/>
  <c r="C66" i="37"/>
  <c r="C153" i="37" s="1"/>
  <c r="E30" i="37"/>
  <c r="E29" i="37"/>
  <c r="E28" i="37"/>
  <c r="C28" i="37"/>
  <c r="C149" i="37" s="1"/>
  <c r="E22" i="37"/>
  <c r="E21" i="37"/>
  <c r="D21" i="37"/>
  <c r="E27" i="37" s="1"/>
  <c r="C21" i="37"/>
  <c r="C148" i="37" s="1"/>
  <c r="E15" i="37"/>
  <c r="E13" i="37"/>
  <c r="E12" i="37"/>
  <c r="D12" i="37"/>
  <c r="D147" i="37" s="1"/>
  <c r="C12" i="37"/>
  <c r="C147" i="37" s="1"/>
  <c r="E10" i="37"/>
  <c r="E9" i="37"/>
  <c r="E8" i="37"/>
  <c r="D8" i="37"/>
  <c r="D146" i="37" s="1"/>
  <c r="C8" i="37"/>
  <c r="C146" i="37" s="1"/>
  <c r="E5" i="37"/>
  <c r="D5" i="37"/>
  <c r="C5" i="37"/>
  <c r="C54" i="35"/>
  <c r="C44" i="33"/>
  <c r="R44" i="20"/>
  <c r="R45" i="20"/>
  <c r="R46" i="20"/>
  <c r="R47" i="20"/>
  <c r="R48" i="20"/>
  <c r="R49" i="20"/>
  <c r="D44" i="33"/>
  <c r="H50" i="14"/>
  <c r="H51" i="14"/>
  <c r="G47" i="15"/>
  <c r="G45" i="15"/>
  <c r="F47" i="15"/>
  <c r="F45" i="15"/>
  <c r="E47" i="15"/>
  <c r="E45" i="15"/>
  <c r="G10" i="10"/>
  <c r="I10" i="10"/>
  <c r="F10" i="10"/>
  <c r="D33" i="30"/>
  <c r="E33" i="30"/>
  <c r="E22" i="30"/>
  <c r="E15" i="30"/>
  <c r="E7" i="30"/>
  <c r="G22" i="30"/>
  <c r="G15" i="30"/>
  <c r="G7" i="30"/>
  <c r="C480" i="36"/>
  <c r="C160" i="36"/>
  <c r="C158" i="36"/>
  <c r="C124" i="36"/>
  <c r="C87" i="36"/>
  <c r="C69" i="36"/>
  <c r="C63" i="36"/>
  <c r="C463" i="36"/>
  <c r="C431" i="36"/>
  <c r="C363" i="36"/>
  <c r="C321" i="36"/>
  <c r="C101" i="36"/>
  <c r="C190" i="36"/>
  <c r="C208" i="36"/>
  <c r="C301" i="36"/>
  <c r="W37" i="28"/>
  <c r="AB39" i="28"/>
  <c r="AB38" i="28"/>
  <c r="AB37" i="28"/>
  <c r="AB35" i="28"/>
  <c r="AB33" i="28"/>
  <c r="AB32" i="28"/>
  <c r="AB31" i="28"/>
  <c r="AB30" i="28"/>
  <c r="AB28" i="28"/>
  <c r="AB27" i="28"/>
  <c r="AB26" i="28"/>
  <c r="AB21" i="28"/>
  <c r="AB20" i="28"/>
  <c r="AB19" i="28"/>
  <c r="AB18" i="28"/>
  <c r="AB16" i="28"/>
  <c r="AB17" i="28"/>
  <c r="AB15" i="28"/>
  <c r="AB14" i="28"/>
  <c r="AB13" i="28"/>
  <c r="AB12" i="28"/>
  <c r="AB11" i="28"/>
  <c r="AB10" i="28"/>
  <c r="AB9" i="28"/>
  <c r="E6" i="15"/>
  <c r="E6" i="14"/>
  <c r="E38" i="15"/>
  <c r="E32" i="15"/>
  <c r="E22" i="15"/>
  <c r="E20" i="15"/>
  <c r="E14" i="15"/>
  <c r="E9" i="15"/>
  <c r="E28" i="14"/>
  <c r="D14" i="14"/>
  <c r="E14" i="14"/>
  <c r="E6" i="13"/>
  <c r="E64" i="14"/>
  <c r="E68" i="14"/>
  <c r="E70" i="14"/>
  <c r="E36" i="14"/>
  <c r="E35" i="14"/>
  <c r="E34" i="14"/>
  <c r="E9" i="14"/>
  <c r="AB36" i="28"/>
  <c r="AB34" i="28"/>
  <c r="E32" i="14"/>
  <c r="C5" i="25"/>
  <c r="D108" i="27"/>
  <c r="C12" i="18"/>
  <c r="C29" i="18"/>
  <c r="C59" i="6"/>
  <c r="E22" i="10"/>
  <c r="H6" i="13"/>
  <c r="H6" i="12"/>
  <c r="H43" i="13"/>
  <c r="H42" i="13"/>
  <c r="H41" i="13"/>
  <c r="H40" i="13"/>
  <c r="H39" i="13"/>
  <c r="H38" i="13"/>
  <c r="H35" i="13"/>
  <c r="H34" i="13"/>
  <c r="H33" i="13"/>
  <c r="H32" i="13"/>
  <c r="H31" i="13"/>
  <c r="H25" i="13"/>
  <c r="H23" i="13"/>
  <c r="H22" i="13"/>
  <c r="H21" i="13"/>
  <c r="H20" i="13"/>
  <c r="H19" i="13"/>
  <c r="H18" i="13"/>
  <c r="H16" i="13"/>
  <c r="H13" i="13"/>
  <c r="H12" i="13"/>
  <c r="H10" i="13"/>
  <c r="H6" i="11"/>
  <c r="H56" i="12"/>
  <c r="H55" i="12"/>
  <c r="H54" i="12"/>
  <c r="H53" i="12"/>
  <c r="H52" i="12"/>
  <c r="H50" i="12"/>
  <c r="H47" i="12"/>
  <c r="H46" i="12"/>
  <c r="H45" i="12"/>
  <c r="H44" i="12"/>
  <c r="H43" i="12"/>
  <c r="H42" i="12"/>
  <c r="H40" i="12"/>
  <c r="H39" i="12"/>
  <c r="H38" i="12"/>
  <c r="H37" i="12"/>
  <c r="H36" i="12"/>
  <c r="H29" i="12"/>
  <c r="H28" i="12"/>
  <c r="H27" i="12"/>
  <c r="H26" i="12"/>
  <c r="H25" i="12"/>
  <c r="H23" i="12"/>
  <c r="H20" i="12"/>
  <c r="H19" i="12"/>
  <c r="H18" i="12"/>
  <c r="H17" i="12"/>
  <c r="H16" i="12"/>
  <c r="H14" i="12"/>
  <c r="H13" i="12"/>
  <c r="H12" i="12"/>
  <c r="H11" i="12"/>
  <c r="H6" i="10"/>
  <c r="H56" i="11"/>
  <c r="H55" i="11"/>
  <c r="H54" i="11"/>
  <c r="H53" i="11"/>
  <c r="H52" i="11"/>
  <c r="H50" i="11"/>
  <c r="H47" i="11"/>
  <c r="H46" i="11"/>
  <c r="H45" i="11"/>
  <c r="H44" i="11"/>
  <c r="H43" i="11"/>
  <c r="H42" i="11"/>
  <c r="H40" i="11"/>
  <c r="H39" i="11"/>
  <c r="H38" i="11"/>
  <c r="H37" i="11"/>
  <c r="H36" i="11"/>
  <c r="H29" i="11"/>
  <c r="H28" i="11"/>
  <c r="H27" i="11"/>
  <c r="H26" i="11"/>
  <c r="H25" i="11"/>
  <c r="H23" i="11"/>
  <c r="H20" i="11"/>
  <c r="H19" i="11"/>
  <c r="H18" i="11"/>
  <c r="H17" i="11"/>
  <c r="H16" i="11"/>
  <c r="H14" i="11"/>
  <c r="H13" i="11"/>
  <c r="H12" i="11"/>
  <c r="H11" i="11"/>
  <c r="H6" i="9"/>
  <c r="H60" i="10"/>
  <c r="H59" i="10"/>
  <c r="H58" i="10"/>
  <c r="H57" i="10"/>
  <c r="H56" i="10"/>
  <c r="H55" i="10"/>
  <c r="H53" i="10"/>
  <c r="H51" i="10"/>
  <c r="H50" i="10"/>
  <c r="H49" i="10"/>
  <c r="H48" i="10"/>
  <c r="H47" i="10"/>
  <c r="H46" i="10"/>
  <c r="H44" i="10"/>
  <c r="H43" i="10"/>
  <c r="H42" i="10"/>
  <c r="H41" i="10"/>
  <c r="H40" i="10"/>
  <c r="H38" i="10"/>
  <c r="H37" i="10"/>
  <c r="H36" i="10"/>
  <c r="H34" i="10"/>
  <c r="H33" i="10"/>
  <c r="H32" i="10"/>
  <c r="H31" i="10"/>
  <c r="H26" i="10"/>
  <c r="H25" i="10"/>
  <c r="H22" i="10"/>
  <c r="H21" i="10"/>
  <c r="H20" i="10"/>
  <c r="H19" i="10"/>
  <c r="H18" i="10"/>
  <c r="H17" i="10"/>
  <c r="H16" i="10"/>
  <c r="H15" i="10"/>
  <c r="H13" i="10"/>
  <c r="H12" i="10"/>
  <c r="H11" i="10"/>
  <c r="H5" i="8"/>
  <c r="H56" i="9"/>
  <c r="H55" i="9"/>
  <c r="H54" i="9"/>
  <c r="H53" i="9"/>
  <c r="H52" i="9"/>
  <c r="H50" i="9"/>
  <c r="H47" i="9"/>
  <c r="H46" i="9"/>
  <c r="H45" i="9"/>
  <c r="H44" i="9"/>
  <c r="H43" i="9"/>
  <c r="H42" i="9"/>
  <c r="H40" i="9"/>
  <c r="H39" i="9"/>
  <c r="H38" i="9"/>
  <c r="H37" i="9"/>
  <c r="H36" i="9"/>
  <c r="H6" i="7"/>
  <c r="H46" i="8"/>
  <c r="H45" i="8"/>
  <c r="H44" i="8"/>
  <c r="H42" i="8"/>
  <c r="H39" i="8"/>
  <c r="H38" i="8"/>
  <c r="H37" i="8"/>
  <c r="H36" i="8"/>
  <c r="H34" i="8"/>
  <c r="H33" i="8"/>
  <c r="H32" i="8"/>
  <c r="H31" i="8"/>
  <c r="H30" i="8"/>
  <c r="H23" i="8"/>
  <c r="H22" i="8"/>
  <c r="H21" i="8"/>
  <c r="H19" i="8"/>
  <c r="H16" i="8"/>
  <c r="H15" i="8"/>
  <c r="H14" i="8"/>
  <c r="H12" i="8"/>
  <c r="H11" i="8"/>
  <c r="H10" i="8"/>
  <c r="H47" i="7"/>
  <c r="H46" i="7"/>
  <c r="H45" i="7"/>
  <c r="H43" i="7"/>
  <c r="H40" i="7"/>
  <c r="H39" i="7"/>
  <c r="H38" i="7"/>
  <c r="H37" i="7"/>
  <c r="H35" i="7"/>
  <c r="H34" i="7"/>
  <c r="H33" i="7"/>
  <c r="H32" i="7"/>
  <c r="H31" i="7"/>
  <c r="H24" i="7"/>
  <c r="H23" i="7"/>
  <c r="H22" i="7"/>
  <c r="H20" i="7"/>
  <c r="H17" i="7"/>
  <c r="H16" i="7"/>
  <c r="H15" i="7"/>
  <c r="H13" i="7"/>
  <c r="H12" i="7"/>
  <c r="H11" i="7"/>
  <c r="E6" i="7"/>
  <c r="E5" i="8"/>
  <c r="E44" i="7"/>
  <c r="E42" i="7"/>
  <c r="E36" i="7"/>
  <c r="E30" i="7"/>
  <c r="E21" i="7"/>
  <c r="E19" i="7"/>
  <c r="E14" i="7"/>
  <c r="E9" i="7"/>
  <c r="E55" i="7"/>
  <c r="E10" i="7"/>
  <c r="E6" i="12"/>
  <c r="E6" i="11"/>
  <c r="E51" i="12"/>
  <c r="E49" i="12"/>
  <c r="E41" i="12"/>
  <c r="E35" i="12"/>
  <c r="E34" i="12"/>
  <c r="E59" i="12"/>
  <c r="E63" i="12"/>
  <c r="E24" i="12"/>
  <c r="E22" i="12"/>
  <c r="E15" i="12"/>
  <c r="E10" i="12"/>
  <c r="E9" i="12"/>
  <c r="E36" i="13"/>
  <c r="E30" i="13"/>
  <c r="E29" i="13"/>
  <c r="E45" i="13"/>
  <c r="E24" i="13"/>
  <c r="E17" i="13"/>
  <c r="E15" i="13"/>
  <c r="E11" i="13"/>
  <c r="E9" i="13"/>
  <c r="E29" i="7"/>
  <c r="E50" i="7"/>
  <c r="E54" i="7"/>
  <c r="S6" i="6"/>
  <c r="E6" i="9"/>
  <c r="E51" i="11"/>
  <c r="E49" i="11"/>
  <c r="E41" i="11"/>
  <c r="E34" i="11"/>
  <c r="E35" i="11"/>
  <c r="E24" i="11"/>
  <c r="E22" i="11"/>
  <c r="E15" i="11"/>
  <c r="E10" i="11"/>
  <c r="E72" i="9"/>
  <c r="E6" i="10"/>
  <c r="E71" i="9"/>
  <c r="E68" i="9"/>
  <c r="E70" i="9"/>
  <c r="E51" i="9"/>
  <c r="E49" i="9"/>
  <c r="E41" i="9"/>
  <c r="E35" i="9"/>
  <c r="E34" i="9"/>
  <c r="E59" i="9"/>
  <c r="E63" i="9"/>
  <c r="E30" i="9"/>
  <c r="E29" i="9"/>
  <c r="E28" i="9"/>
  <c r="E27" i="9"/>
  <c r="E26" i="9"/>
  <c r="E24" i="9"/>
  <c r="E25" i="9"/>
  <c r="E23" i="9"/>
  <c r="E21" i="9"/>
  <c r="E19" i="9"/>
  <c r="E18" i="9"/>
  <c r="E17" i="9"/>
  <c r="E16" i="9"/>
  <c r="E64" i="10"/>
  <c r="E54" i="10"/>
  <c r="E52" i="10"/>
  <c r="E45" i="10"/>
  <c r="E39" i="10"/>
  <c r="G39" i="10"/>
  <c r="E35" i="10"/>
  <c r="E20" i="9"/>
  <c r="E30" i="10"/>
  <c r="E24" i="10"/>
  <c r="E13" i="9"/>
  <c r="E14" i="10"/>
  <c r="E9" i="10"/>
  <c r="E10" i="10"/>
  <c r="E14" i="9"/>
  <c r="E11" i="9"/>
  <c r="E9" i="11"/>
  <c r="J4" i="8"/>
  <c r="E43" i="8"/>
  <c r="E41" i="8"/>
  <c r="E35" i="8"/>
  <c r="E29" i="8"/>
  <c r="E20" i="8"/>
  <c r="E18" i="8"/>
  <c r="E13" i="8"/>
  <c r="E8" i="8"/>
  <c r="E9" i="8"/>
  <c r="E28" i="8"/>
  <c r="E55" i="8"/>
  <c r="E26" i="8"/>
  <c r="E54" i="8"/>
  <c r="E49" i="8"/>
  <c r="E53" i="8"/>
  <c r="K6" i="18"/>
  <c r="K5" i="18"/>
  <c r="E51" i="8"/>
  <c r="E56" i="8"/>
  <c r="S30" i="6"/>
  <c r="S29" i="6"/>
  <c r="S42" i="6"/>
  <c r="S55" i="6"/>
  <c r="S19" i="6"/>
  <c r="S10" i="6"/>
  <c r="S9" i="6"/>
  <c r="S8" i="6"/>
  <c r="D42" i="35"/>
  <c r="H14" i="33"/>
  <c r="G14" i="33"/>
  <c r="F14" i="33"/>
  <c r="D15" i="35"/>
  <c r="C35" i="33"/>
  <c r="C41" i="33"/>
  <c r="D41" i="33"/>
  <c r="F38" i="15"/>
  <c r="G38" i="15"/>
  <c r="F64" i="10"/>
  <c r="G64" i="10"/>
  <c r="I64" i="10"/>
  <c r="C91" i="17"/>
  <c r="H67" i="33"/>
  <c r="G67" i="33"/>
  <c r="D60" i="33"/>
  <c r="C60" i="33"/>
  <c r="C21" i="33"/>
  <c r="C32" i="33"/>
  <c r="C47" i="33"/>
  <c r="D21" i="33"/>
  <c r="C24" i="35"/>
  <c r="C25" i="33"/>
  <c r="D25" i="33"/>
  <c r="C35" i="7"/>
  <c r="AH71" i="28"/>
  <c r="D35" i="33"/>
  <c r="C49" i="35"/>
  <c r="C50" i="35"/>
  <c r="C30" i="33"/>
  <c r="C56" i="33"/>
  <c r="H69" i="33"/>
  <c r="G69" i="33"/>
  <c r="F69" i="33"/>
  <c r="C57" i="35"/>
  <c r="C43" i="33"/>
  <c r="D10" i="33"/>
  <c r="C10" i="33"/>
  <c r="C42" i="33"/>
  <c r="D42" i="33"/>
  <c r="C82" i="28"/>
  <c r="T82" i="28"/>
  <c r="AH57" i="28"/>
  <c r="T86" i="28"/>
  <c r="T85" i="28"/>
  <c r="T84" i="28"/>
  <c r="T81" i="28"/>
  <c r="T80" i="28"/>
  <c r="T33" i="28"/>
  <c r="T79" i="28"/>
  <c r="T78" i="28"/>
  <c r="T77" i="28"/>
  <c r="T76" i="28"/>
  <c r="T75" i="28"/>
  <c r="T74" i="28"/>
  <c r="T73" i="28"/>
  <c r="T72" i="28"/>
  <c r="T71" i="28"/>
  <c r="AH82" i="28"/>
  <c r="D82" i="28"/>
  <c r="C28" i="33"/>
  <c r="C27" i="35"/>
  <c r="D33" i="35"/>
  <c r="C40" i="33"/>
  <c r="C38" i="33"/>
  <c r="C78" i="33"/>
  <c r="D38" i="33"/>
  <c r="D28" i="33"/>
  <c r="D6" i="18"/>
  <c r="D72" i="9"/>
  <c r="D6" i="13"/>
  <c r="D6" i="12"/>
  <c r="D6" i="11"/>
  <c r="D6" i="10"/>
  <c r="D6" i="9"/>
  <c r="D5" i="8"/>
  <c r="D6" i="7"/>
  <c r="D6" i="14"/>
  <c r="D6" i="15"/>
  <c r="F6" i="15"/>
  <c r="C45" i="33"/>
  <c r="D43" i="33"/>
  <c r="E6" i="6"/>
  <c r="G35" i="14"/>
  <c r="G34" i="14"/>
  <c r="F35" i="14"/>
  <c r="F34" i="14"/>
  <c r="AH58" i="28"/>
  <c r="C23" i="35"/>
  <c r="I11" i="33"/>
  <c r="I12" i="33"/>
  <c r="I10" i="33"/>
  <c r="I9" i="33"/>
  <c r="C69" i="28"/>
  <c r="C78" i="28"/>
  <c r="AH69" i="28"/>
  <c r="T69" i="28"/>
  <c r="D69" i="28"/>
  <c r="AH78" i="28"/>
  <c r="D78" i="28"/>
  <c r="D56" i="33"/>
  <c r="D115" i="27"/>
  <c r="C74" i="28"/>
  <c r="C7" i="33"/>
  <c r="C2" i="33"/>
  <c r="C2" i="35"/>
  <c r="C17" i="14"/>
  <c r="G14" i="14"/>
  <c r="F14" i="14"/>
  <c r="F6" i="19"/>
  <c r="H6" i="19"/>
  <c r="N6" i="34"/>
  <c r="V74" i="28"/>
  <c r="G6" i="6"/>
  <c r="D6" i="25"/>
  <c r="F6" i="25"/>
  <c r="C12" i="35"/>
  <c r="C60" i="35"/>
  <c r="C70" i="33"/>
  <c r="D30" i="33"/>
  <c r="C64" i="35"/>
  <c r="C62" i="35"/>
  <c r="C59" i="35"/>
  <c r="F6" i="17"/>
  <c r="D6" i="17"/>
  <c r="D7" i="31"/>
  <c r="G7" i="31"/>
  <c r="J7" i="31"/>
  <c r="AH74" i="28"/>
  <c r="D74" i="28"/>
  <c r="R51" i="20"/>
  <c r="R27" i="20"/>
  <c r="R26" i="20"/>
  <c r="R25" i="20"/>
  <c r="R24" i="20"/>
  <c r="R23" i="20"/>
  <c r="R22" i="20"/>
  <c r="R21" i="20"/>
  <c r="R20" i="20"/>
  <c r="R19" i="20"/>
  <c r="R18" i="20"/>
  <c r="R17" i="20"/>
  <c r="R16" i="20"/>
  <c r="R15" i="20"/>
  <c r="R14" i="20"/>
  <c r="R13" i="20"/>
  <c r="R12" i="20"/>
  <c r="R11" i="20"/>
  <c r="R10" i="20"/>
  <c r="C4" i="36"/>
  <c r="C30" i="36"/>
  <c r="D70" i="33"/>
  <c r="D71" i="33"/>
  <c r="D64" i="33"/>
  <c r="D62" i="33"/>
  <c r="J6" i="18"/>
  <c r="C13" i="35"/>
  <c r="C61" i="35"/>
  <c r="C64" i="33"/>
  <c r="C73" i="33"/>
  <c r="C69" i="33"/>
  <c r="C11" i="35"/>
  <c r="D59" i="35"/>
  <c r="D62" i="35"/>
  <c r="C23" i="33"/>
  <c r="C43" i="35"/>
  <c r="C71" i="33"/>
  <c r="C62" i="33"/>
  <c r="D23" i="33"/>
  <c r="F14" i="15"/>
  <c r="G14" i="15"/>
  <c r="C12" i="33"/>
  <c r="D12" i="33"/>
  <c r="G30" i="10"/>
  <c r="H30" i="10"/>
  <c r="F30" i="10"/>
  <c r="C72" i="10"/>
  <c r="F54" i="10"/>
  <c r="G54" i="10"/>
  <c r="H54" i="10"/>
  <c r="I7" i="15"/>
  <c r="H6" i="15"/>
  <c r="I7" i="14"/>
  <c r="H6" i="14"/>
  <c r="F6" i="14"/>
  <c r="J7" i="13"/>
  <c r="I6" i="13"/>
  <c r="F6" i="13"/>
  <c r="J7" i="12"/>
  <c r="I6" i="12"/>
  <c r="F6" i="12"/>
  <c r="J7" i="11"/>
  <c r="I6" i="11"/>
  <c r="F6" i="11"/>
  <c r="J7" i="10"/>
  <c r="I6" i="10"/>
  <c r="F6" i="10"/>
  <c r="J7" i="9"/>
  <c r="I6" i="9"/>
  <c r="F6" i="9"/>
  <c r="J6" i="8"/>
  <c r="I5" i="8"/>
  <c r="F5" i="8"/>
  <c r="F6" i="7"/>
  <c r="I6" i="7"/>
  <c r="J7" i="7"/>
  <c r="L9" i="24"/>
  <c r="D114" i="27"/>
  <c r="C81" i="28"/>
  <c r="C7" i="35"/>
  <c r="C9" i="35"/>
  <c r="C9" i="33"/>
  <c r="C10" i="35"/>
  <c r="C8" i="33"/>
  <c r="C15" i="35"/>
  <c r="C14" i="33"/>
  <c r="D6" i="35"/>
  <c r="I6" i="33"/>
  <c r="D22" i="35"/>
  <c r="C20" i="17"/>
  <c r="C11" i="17"/>
  <c r="C10" i="17"/>
  <c r="C4" i="35"/>
  <c r="C4" i="33"/>
  <c r="C2" i="30"/>
  <c r="C2" i="28"/>
  <c r="C2" i="27"/>
  <c r="C2" i="20"/>
  <c r="C2" i="19"/>
  <c r="C2" i="18"/>
  <c r="C2" i="17"/>
  <c r="C2" i="31"/>
  <c r="C2" i="15"/>
  <c r="C26" i="4"/>
  <c r="C25" i="4"/>
  <c r="C24" i="4"/>
  <c r="C23" i="4"/>
  <c r="C22" i="4"/>
  <c r="C21" i="4"/>
  <c r="C20" i="4"/>
  <c r="C19" i="4"/>
  <c r="C18" i="4"/>
  <c r="C17" i="4"/>
  <c r="C16" i="4"/>
  <c r="C15" i="4"/>
  <c r="C13" i="4"/>
  <c r="C11" i="4"/>
  <c r="C2" i="14"/>
  <c r="C2" i="13"/>
  <c r="C2" i="12"/>
  <c r="C2" i="11"/>
  <c r="C2" i="10"/>
  <c r="C2" i="9"/>
  <c r="C2" i="8"/>
  <c r="C2" i="7"/>
  <c r="G68" i="17"/>
  <c r="C66" i="35"/>
  <c r="C55" i="35"/>
  <c r="C51" i="35"/>
  <c r="C53" i="35"/>
  <c r="C52" i="35"/>
  <c r="C48" i="35"/>
  <c r="C47" i="35"/>
  <c r="C44" i="35"/>
  <c r="C46" i="35"/>
  <c r="C45" i="35"/>
  <c r="C42" i="35"/>
  <c r="C41" i="35"/>
  <c r="C37" i="35"/>
  <c r="C40" i="35"/>
  <c r="C38" i="35"/>
  <c r="C39" i="35"/>
  <c r="C36" i="35"/>
  <c r="C34" i="35"/>
  <c r="C35" i="35"/>
  <c r="C33" i="35"/>
  <c r="C32" i="35"/>
  <c r="C31" i="35"/>
  <c r="C29" i="35"/>
  <c r="C30" i="35"/>
  <c r="C26" i="35"/>
  <c r="C25" i="35"/>
  <c r="C22" i="35"/>
  <c r="C19" i="35"/>
  <c r="C21" i="35"/>
  <c r="C20" i="35"/>
  <c r="C18" i="35"/>
  <c r="C17" i="35"/>
  <c r="D18" i="35"/>
  <c r="G6" i="18"/>
  <c r="L7" i="34"/>
  <c r="J7" i="34"/>
  <c r="H7" i="34"/>
  <c r="M7" i="34"/>
  <c r="K7" i="34"/>
  <c r="I7" i="34"/>
  <c r="C19" i="34"/>
  <c r="S5" i="6"/>
  <c r="C71" i="28"/>
  <c r="C79" i="28"/>
  <c r="D71" i="28"/>
  <c r="C80" i="28"/>
  <c r="AH79" i="28"/>
  <c r="D79" i="28"/>
  <c r="AH80" i="28"/>
  <c r="D80" i="28"/>
  <c r="C88" i="28"/>
  <c r="C85" i="28"/>
  <c r="C84" i="28"/>
  <c r="C76" i="28"/>
  <c r="C75" i="28"/>
  <c r="D9" i="33"/>
  <c r="C36" i="33"/>
  <c r="C67" i="28"/>
  <c r="G9" i="28"/>
  <c r="H7" i="15"/>
  <c r="H7" i="14"/>
  <c r="I7" i="13"/>
  <c r="AH72" i="28"/>
  <c r="AH59" i="28"/>
  <c r="AH60" i="28"/>
  <c r="AH10" i="28"/>
  <c r="AH61" i="28"/>
  <c r="AH62" i="28"/>
  <c r="AH63" i="28"/>
  <c r="AH15" i="28"/>
  <c r="AH64" i="28"/>
  <c r="AH65" i="28"/>
  <c r="AH66" i="28"/>
  <c r="AH67" i="28"/>
  <c r="AH68" i="28"/>
  <c r="AH70" i="28"/>
  <c r="AH73" i="28"/>
  <c r="AH75" i="28"/>
  <c r="AH76" i="28"/>
  <c r="AH77" i="28"/>
  <c r="AH81" i="28"/>
  <c r="AH84" i="28"/>
  <c r="AH37" i="28"/>
  <c r="AH85" i="28"/>
  <c r="AH86" i="28"/>
  <c r="V53" i="28"/>
  <c r="G53" i="28"/>
  <c r="V5" i="28"/>
  <c r="G5" i="28"/>
  <c r="D586" i="27"/>
  <c r="D585" i="27"/>
  <c r="D584" i="27"/>
  <c r="D583" i="27"/>
  <c r="D582" i="27"/>
  <c r="D581" i="27"/>
  <c r="D580" i="27"/>
  <c r="D579" i="27"/>
  <c r="D578" i="27"/>
  <c r="D577" i="27"/>
  <c r="D576" i="27"/>
  <c r="D575" i="27"/>
  <c r="D449" i="27"/>
  <c r="D448" i="27"/>
  <c r="D447" i="27"/>
  <c r="D446" i="27"/>
  <c r="D445" i="27"/>
  <c r="D444" i="27"/>
  <c r="D443" i="27"/>
  <c r="D442" i="27"/>
  <c r="D441" i="27"/>
  <c r="D440" i="27"/>
  <c r="D439" i="27"/>
  <c r="D438" i="27"/>
  <c r="D299" i="27"/>
  <c r="D298" i="27"/>
  <c r="D297" i="27"/>
  <c r="D296" i="27"/>
  <c r="D295" i="27"/>
  <c r="D294" i="27"/>
  <c r="D293" i="27"/>
  <c r="D292" i="27"/>
  <c r="D291" i="27"/>
  <c r="D290" i="27"/>
  <c r="D289" i="27"/>
  <c r="D288" i="27"/>
  <c r="D150" i="27"/>
  <c r="D149" i="27"/>
  <c r="D148" i="27"/>
  <c r="D147" i="27"/>
  <c r="D146" i="27"/>
  <c r="D145" i="27"/>
  <c r="D144" i="27"/>
  <c r="D143" i="27"/>
  <c r="D142" i="27"/>
  <c r="D141" i="27"/>
  <c r="D140" i="27"/>
  <c r="D139" i="27"/>
  <c r="D47" i="15"/>
  <c r="D45" i="15"/>
  <c r="D38" i="15"/>
  <c r="D32" i="15"/>
  <c r="D31" i="15"/>
  <c r="D22" i="15"/>
  <c r="D20" i="15"/>
  <c r="D14" i="15"/>
  <c r="D9" i="15"/>
  <c r="D8" i="15"/>
  <c r="D64" i="14"/>
  <c r="D36" i="14"/>
  <c r="D35" i="14"/>
  <c r="D34" i="14"/>
  <c r="D68" i="14"/>
  <c r="D70" i="14"/>
  <c r="D75" i="14"/>
  <c r="D28" i="14"/>
  <c r="D9" i="14"/>
  <c r="D36" i="13"/>
  <c r="D30" i="13"/>
  <c r="D24" i="13"/>
  <c r="D17" i="13"/>
  <c r="D15" i="13"/>
  <c r="D14" i="13"/>
  <c r="D8" i="13"/>
  <c r="D27" i="13"/>
  <c r="D47" i="13"/>
  <c r="D51" i="13"/>
  <c r="D11" i="13"/>
  <c r="D9" i="13"/>
  <c r="D51" i="12"/>
  <c r="D49" i="12"/>
  <c r="D41" i="12"/>
  <c r="D34" i="12"/>
  <c r="D35" i="12"/>
  <c r="D24" i="12"/>
  <c r="D22" i="12"/>
  <c r="D15" i="12"/>
  <c r="D10" i="12"/>
  <c r="D9" i="12"/>
  <c r="D64" i="12"/>
  <c r="D29" i="13"/>
  <c r="D45" i="13"/>
  <c r="D32" i="14"/>
  <c r="D51" i="11"/>
  <c r="D49" i="11"/>
  <c r="D41" i="11"/>
  <c r="D35" i="11"/>
  <c r="D24" i="11"/>
  <c r="D22" i="11"/>
  <c r="D15" i="11"/>
  <c r="D9" i="11"/>
  <c r="D10" i="11"/>
  <c r="D51" i="9"/>
  <c r="D49" i="9"/>
  <c r="D41" i="9"/>
  <c r="D35" i="9"/>
  <c r="D34" i="9"/>
  <c r="D59" i="9"/>
  <c r="D63" i="9"/>
  <c r="D30" i="9"/>
  <c r="D29" i="9"/>
  <c r="D28" i="9"/>
  <c r="D27" i="9"/>
  <c r="D26" i="9"/>
  <c r="D25" i="9"/>
  <c r="D23" i="9"/>
  <c r="D21" i="9"/>
  <c r="D19" i="9"/>
  <c r="D18" i="9"/>
  <c r="D17" i="9"/>
  <c r="D16" i="9"/>
  <c r="D15" i="9"/>
  <c r="D9" i="9"/>
  <c r="D64" i="10"/>
  <c r="D54" i="10"/>
  <c r="D52" i="10"/>
  <c r="D45" i="10"/>
  <c r="D39" i="10"/>
  <c r="D29" i="10"/>
  <c r="D28" i="10"/>
  <c r="D35" i="10"/>
  <c r="D30" i="10"/>
  <c r="D14" i="9"/>
  <c r="D24" i="10"/>
  <c r="D13" i="9"/>
  <c r="D14" i="10"/>
  <c r="D12" i="9"/>
  <c r="D10" i="9"/>
  <c r="D10" i="10"/>
  <c r="D11" i="9"/>
  <c r="D43" i="8"/>
  <c r="D41" i="8"/>
  <c r="D35" i="8"/>
  <c r="D29" i="8"/>
  <c r="D20" i="8"/>
  <c r="D18" i="8"/>
  <c r="D13" i="8"/>
  <c r="D8" i="8"/>
  <c r="D9" i="8"/>
  <c r="C64" i="7"/>
  <c r="C76" i="11" s="1"/>
  <c r="C65" i="7"/>
  <c r="D44" i="7"/>
  <c r="D42" i="7"/>
  <c r="D36" i="7"/>
  <c r="D30" i="7"/>
  <c r="D21" i="7"/>
  <c r="D19" i="7"/>
  <c r="D14" i="7"/>
  <c r="D9" i="7"/>
  <c r="D27" i="7"/>
  <c r="D10" i="7"/>
  <c r="D9" i="10"/>
  <c r="D20" i="9"/>
  <c r="D29" i="7"/>
  <c r="D55" i="7"/>
  <c r="D55" i="8"/>
  <c r="D34" i="11"/>
  <c r="D28" i="8"/>
  <c r="D49" i="8"/>
  <c r="D53" i="8"/>
  <c r="D26" i="8"/>
  <c r="D51" i="8"/>
  <c r="D56" i="8"/>
  <c r="D54" i="8"/>
  <c r="F4" i="4"/>
  <c r="C73" i="28"/>
  <c r="C25" i="14"/>
  <c r="C24" i="14"/>
  <c r="C86" i="28"/>
  <c r="D49" i="33"/>
  <c r="C49" i="33"/>
  <c r="C12" i="25"/>
  <c r="C11" i="25"/>
  <c r="C108" i="6"/>
  <c r="C85" i="6"/>
  <c r="C50" i="6"/>
  <c r="C27" i="6"/>
  <c r="C39" i="25"/>
  <c r="C23" i="25"/>
  <c r="C47" i="25"/>
  <c r="AG27" i="28"/>
  <c r="R27" i="28"/>
  <c r="D73" i="28"/>
  <c r="C74" i="31"/>
  <c r="G22" i="15"/>
  <c r="F22" i="15"/>
  <c r="H25" i="14"/>
  <c r="F28" i="14"/>
  <c r="G28" i="14"/>
  <c r="H28" i="14"/>
  <c r="F17" i="13"/>
  <c r="F15" i="13"/>
  <c r="G17" i="13"/>
  <c r="G15" i="13"/>
  <c r="G14" i="13"/>
  <c r="C63" i="28"/>
  <c r="T63" i="28"/>
  <c r="T62" i="28"/>
  <c r="D62" i="28"/>
  <c r="C62" i="28"/>
  <c r="S35" i="28"/>
  <c r="S31" i="28"/>
  <c r="S17" i="28"/>
  <c r="G45" i="10"/>
  <c r="H45" i="10"/>
  <c r="F45" i="10"/>
  <c r="R41" i="20"/>
  <c r="I8" i="33"/>
  <c r="D8" i="33"/>
  <c r="D270" i="27"/>
  <c r="F15" i="12"/>
  <c r="G15" i="12"/>
  <c r="D559" i="27"/>
  <c r="D570" i="27"/>
  <c r="D95" i="27"/>
  <c r="D16" i="33"/>
  <c r="D17" i="33"/>
  <c r="C25" i="18"/>
  <c r="C23" i="18"/>
  <c r="C22" i="18"/>
  <c r="K27" i="28"/>
  <c r="L27" i="28"/>
  <c r="N27" i="28"/>
  <c r="O27" i="28"/>
  <c r="P27" i="28"/>
  <c r="D107" i="27"/>
  <c r="S38" i="28"/>
  <c r="G14" i="9"/>
  <c r="H14" i="9"/>
  <c r="D109" i="27"/>
  <c r="D48" i="33"/>
  <c r="C48" i="33"/>
  <c r="C4" i="4"/>
  <c r="AH28" i="28"/>
  <c r="T28" i="28"/>
  <c r="D75" i="28"/>
  <c r="G25" i="17"/>
  <c r="F25" i="17"/>
  <c r="C46" i="30"/>
  <c r="C33" i="33"/>
  <c r="D85" i="28"/>
  <c r="D40" i="33"/>
  <c r="T65" i="28"/>
  <c r="D65" i="28"/>
  <c r="C65" i="28"/>
  <c r="C75" i="15"/>
  <c r="M14" i="34"/>
  <c r="O14" i="34"/>
  <c r="L14" i="34"/>
  <c r="K14" i="34"/>
  <c r="I14" i="34"/>
  <c r="J14" i="34"/>
  <c r="H14" i="34"/>
  <c r="M15" i="34"/>
  <c r="O15" i="34" s="1"/>
  <c r="L15" i="34"/>
  <c r="J15" i="34"/>
  <c r="K15" i="34"/>
  <c r="N15" i="34" s="1"/>
  <c r="C2" i="34"/>
  <c r="O7" i="34"/>
  <c r="N7" i="34"/>
  <c r="L6" i="34"/>
  <c r="J6" i="34"/>
  <c r="H6" i="34"/>
  <c r="O5" i="34"/>
  <c r="C20" i="34"/>
  <c r="C18" i="34"/>
  <c r="C16" i="34"/>
  <c r="D15" i="34"/>
  <c r="D14" i="34"/>
  <c r="E13" i="34"/>
  <c r="G12" i="34"/>
  <c r="F11" i="34"/>
  <c r="F10" i="34"/>
  <c r="E9" i="34"/>
  <c r="D8" i="34"/>
  <c r="H83" i="33"/>
  <c r="G83" i="33"/>
  <c r="D78" i="33"/>
  <c r="S33" i="28"/>
  <c r="C85" i="33"/>
  <c r="C80" i="33"/>
  <c r="C79" i="33"/>
  <c r="C81" i="33"/>
  <c r="C76" i="33"/>
  <c r="C61" i="33"/>
  <c r="C63" i="33"/>
  <c r="C60" i="28"/>
  <c r="T60" i="28"/>
  <c r="D60" i="28"/>
  <c r="C82" i="33"/>
  <c r="D82" i="33"/>
  <c r="D80" i="33"/>
  <c r="D79" i="33"/>
  <c r="D81" i="33"/>
  <c r="D61" i="33"/>
  <c r="C24" i="33"/>
  <c r="D24" i="33"/>
  <c r="D15" i="30"/>
  <c r="D65" i="33"/>
  <c r="D63" i="33"/>
  <c r="D59" i="33"/>
  <c r="D58" i="33"/>
  <c r="D57" i="33"/>
  <c r="D55" i="33"/>
  <c r="D54" i="33"/>
  <c r="D47" i="33"/>
  <c r="D51" i="33"/>
  <c r="D50" i="33"/>
  <c r="D52" i="33"/>
  <c r="D37" i="33"/>
  <c r="D45" i="33"/>
  <c r="D39" i="33"/>
  <c r="D34" i="33"/>
  <c r="D33" i="33"/>
  <c r="D29" i="33"/>
  <c r="D36" i="33"/>
  <c r="D26" i="33"/>
  <c r="D27" i="33"/>
  <c r="D31" i="33"/>
  <c r="D46" i="33"/>
  <c r="D32" i="33"/>
  <c r="D22" i="33"/>
  <c r="D20" i="33"/>
  <c r="D18" i="33"/>
  <c r="D19" i="33"/>
  <c r="G10" i="28"/>
  <c r="AH35" i="28"/>
  <c r="T35" i="28"/>
  <c r="D81" i="28"/>
  <c r="C65" i="33"/>
  <c r="C59" i="33"/>
  <c r="C58" i="33"/>
  <c r="C57" i="33"/>
  <c r="C55" i="33"/>
  <c r="C54" i="33"/>
  <c r="C51" i="33"/>
  <c r="C50" i="33"/>
  <c r="C52" i="33"/>
  <c r="C37" i="33"/>
  <c r="C39" i="33"/>
  <c r="C34" i="33"/>
  <c r="C29" i="33"/>
  <c r="C26" i="33"/>
  <c r="C27" i="33"/>
  <c r="C31" i="33"/>
  <c r="C46" i="33"/>
  <c r="C22" i="33"/>
  <c r="C20" i="33"/>
  <c r="C18" i="33"/>
  <c r="C19" i="33"/>
  <c r="C16" i="33"/>
  <c r="C17" i="33"/>
  <c r="C87" i="33"/>
  <c r="D77" i="33"/>
  <c r="D76" i="33"/>
  <c r="C75" i="33"/>
  <c r="C83" i="33"/>
  <c r="C77" i="33"/>
  <c r="C11" i="33"/>
  <c r="M8" i="31"/>
  <c r="L8" i="31"/>
  <c r="I8" i="31"/>
  <c r="F8" i="31"/>
  <c r="H11" i="14"/>
  <c r="H10" i="14"/>
  <c r="C21" i="14"/>
  <c r="C20" i="14"/>
  <c r="G64" i="14"/>
  <c r="F64" i="14"/>
  <c r="F9" i="14"/>
  <c r="G9" i="14"/>
  <c r="H66" i="14"/>
  <c r="H65" i="14"/>
  <c r="H63" i="14"/>
  <c r="H62" i="14"/>
  <c r="H61" i="14"/>
  <c r="H59" i="14"/>
  <c r="H58" i="14"/>
  <c r="H57" i="14"/>
  <c r="H56" i="14"/>
  <c r="H55" i="14"/>
  <c r="H54" i="14"/>
  <c r="H53" i="14"/>
  <c r="H52" i="14"/>
  <c r="H49" i="14"/>
  <c r="H48" i="14"/>
  <c r="H47" i="14"/>
  <c r="H46" i="14"/>
  <c r="H45" i="14"/>
  <c r="H44" i="14"/>
  <c r="H43" i="14"/>
  <c r="H41" i="14"/>
  <c r="H40" i="14"/>
  <c r="H39" i="14"/>
  <c r="H38" i="14"/>
  <c r="H37" i="14"/>
  <c r="H30" i="14"/>
  <c r="H29" i="14"/>
  <c r="H27" i="14"/>
  <c r="H26" i="14"/>
  <c r="H24" i="14"/>
  <c r="H23" i="14"/>
  <c r="H22" i="14"/>
  <c r="H21" i="14"/>
  <c r="H20" i="14"/>
  <c r="H19" i="14"/>
  <c r="H18" i="14"/>
  <c r="H17" i="14"/>
  <c r="H16" i="14"/>
  <c r="H15" i="14"/>
  <c r="H12" i="14"/>
  <c r="G32" i="15"/>
  <c r="F32" i="15"/>
  <c r="H52" i="15"/>
  <c r="H51" i="15"/>
  <c r="H50" i="15"/>
  <c r="H49" i="15"/>
  <c r="H48" i="15"/>
  <c r="H46" i="15"/>
  <c r="H44" i="15"/>
  <c r="H43" i="15"/>
  <c r="H42" i="15"/>
  <c r="H41" i="15"/>
  <c r="H40" i="15"/>
  <c r="H39" i="15"/>
  <c r="H37" i="15"/>
  <c r="H36" i="15"/>
  <c r="H35" i="15"/>
  <c r="H34" i="15"/>
  <c r="H33" i="15"/>
  <c r="H27" i="15"/>
  <c r="H26" i="15"/>
  <c r="H25" i="15"/>
  <c r="H24" i="15"/>
  <c r="H21" i="15"/>
  <c r="H19" i="15"/>
  <c r="H18" i="15"/>
  <c r="H17" i="15"/>
  <c r="H16" i="15"/>
  <c r="H15" i="15"/>
  <c r="H13" i="15"/>
  <c r="H12" i="15"/>
  <c r="H11" i="15"/>
  <c r="H10" i="15"/>
  <c r="H7" i="25"/>
  <c r="F7" i="25"/>
  <c r="C71" i="10"/>
  <c r="F35" i="12"/>
  <c r="I7" i="12"/>
  <c r="I7" i="11"/>
  <c r="I7" i="9"/>
  <c r="I6" i="8"/>
  <c r="C63" i="7"/>
  <c r="F7" i="17"/>
  <c r="H7" i="19"/>
  <c r="D6" i="19"/>
  <c r="C72" i="28"/>
  <c r="C88" i="11"/>
  <c r="C89" i="17"/>
  <c r="J6" i="25"/>
  <c r="D28" i="25"/>
  <c r="D37" i="25"/>
  <c r="G37" i="25"/>
  <c r="E36" i="25"/>
  <c r="D36" i="25"/>
  <c r="G36" i="25"/>
  <c r="I36" i="25"/>
  <c r="E35" i="25"/>
  <c r="G35" i="25"/>
  <c r="I35" i="25"/>
  <c r="D35" i="25"/>
  <c r="E34" i="25"/>
  <c r="D34" i="25"/>
  <c r="D32" i="25"/>
  <c r="E31" i="25"/>
  <c r="D31" i="25"/>
  <c r="D30" i="25"/>
  <c r="E29" i="25"/>
  <c r="G29" i="25"/>
  <c r="D29" i="25"/>
  <c r="D27" i="25"/>
  <c r="D21" i="25"/>
  <c r="E21" i="25"/>
  <c r="E20" i="25"/>
  <c r="D20" i="25"/>
  <c r="G20" i="25"/>
  <c r="I20" i="25"/>
  <c r="E19" i="25"/>
  <c r="D19" i="25"/>
  <c r="G19" i="25"/>
  <c r="I19" i="25"/>
  <c r="E18" i="25"/>
  <c r="D18" i="25"/>
  <c r="G18" i="25"/>
  <c r="I18" i="25"/>
  <c r="D16" i="25"/>
  <c r="D15" i="25"/>
  <c r="E14" i="25"/>
  <c r="D14" i="25"/>
  <c r="G14" i="25"/>
  <c r="I14" i="25"/>
  <c r="E13" i="25"/>
  <c r="G13" i="25"/>
  <c r="D13" i="25"/>
  <c r="E12" i="25"/>
  <c r="D12" i="25"/>
  <c r="G12" i="25"/>
  <c r="I12" i="25"/>
  <c r="E11" i="25"/>
  <c r="G11" i="25"/>
  <c r="D11" i="25"/>
  <c r="E10" i="25"/>
  <c r="E27" i="25"/>
  <c r="G27" i="25"/>
  <c r="I27" i="25"/>
  <c r="E15" i="25"/>
  <c r="G15" i="25"/>
  <c r="I15" i="25"/>
  <c r="E30" i="25"/>
  <c r="G30" i="25"/>
  <c r="E32" i="25"/>
  <c r="G32" i="25"/>
  <c r="E28" i="25"/>
  <c r="G28" i="25"/>
  <c r="E16" i="25"/>
  <c r="E37" i="25"/>
  <c r="E33" i="25"/>
  <c r="C68" i="28"/>
  <c r="AH17" i="28"/>
  <c r="G11" i="13"/>
  <c r="G9" i="13"/>
  <c r="F11" i="13"/>
  <c r="F9" i="13"/>
  <c r="I9" i="13"/>
  <c r="G30" i="9"/>
  <c r="G29" i="9"/>
  <c r="G28" i="9"/>
  <c r="H28" i="9"/>
  <c r="G27" i="9"/>
  <c r="G26" i="9"/>
  <c r="G25" i="9"/>
  <c r="H25" i="9"/>
  <c r="G23" i="9"/>
  <c r="H23" i="9"/>
  <c r="G21" i="9"/>
  <c r="G19" i="9"/>
  <c r="G18" i="9"/>
  <c r="G17" i="9"/>
  <c r="H17" i="9"/>
  <c r="G16" i="9"/>
  <c r="G15" i="9"/>
  <c r="F30" i="9"/>
  <c r="F29" i="9"/>
  <c r="F28" i="9"/>
  <c r="F27" i="9"/>
  <c r="F26" i="9"/>
  <c r="F25" i="9"/>
  <c r="F23" i="9"/>
  <c r="F21" i="9"/>
  <c r="F19" i="9"/>
  <c r="F18" i="9"/>
  <c r="F17" i="9"/>
  <c r="F16" i="9"/>
  <c r="F15" i="9"/>
  <c r="J5" i="12"/>
  <c r="J5" i="11"/>
  <c r="J5" i="9"/>
  <c r="D573" i="27"/>
  <c r="D572" i="27"/>
  <c r="D571" i="27"/>
  <c r="D569" i="27"/>
  <c r="D568" i="27"/>
  <c r="D567" i="27"/>
  <c r="D566" i="27"/>
  <c r="D565" i="27"/>
  <c r="D564" i="27"/>
  <c r="D563" i="27"/>
  <c r="D562" i="27"/>
  <c r="D436" i="27"/>
  <c r="D435" i="27"/>
  <c r="D434" i="27"/>
  <c r="D433" i="27"/>
  <c r="D432" i="27"/>
  <c r="D431" i="27"/>
  <c r="D430" i="27"/>
  <c r="D429" i="27"/>
  <c r="D428" i="27"/>
  <c r="D427" i="27"/>
  <c r="D426" i="27"/>
  <c r="D425" i="27"/>
  <c r="D286" i="27"/>
  <c r="D285" i="27"/>
  <c r="D284" i="27"/>
  <c r="D283" i="27"/>
  <c r="D282" i="27"/>
  <c r="D281" i="27"/>
  <c r="D280" i="27"/>
  <c r="D279" i="27"/>
  <c r="D278" i="27"/>
  <c r="D277" i="27"/>
  <c r="D276" i="27"/>
  <c r="D275" i="27"/>
  <c r="D137" i="27"/>
  <c r="D136" i="27"/>
  <c r="D135" i="27"/>
  <c r="D134" i="27"/>
  <c r="D133" i="27"/>
  <c r="D132" i="27"/>
  <c r="D131" i="27"/>
  <c r="D130" i="27"/>
  <c r="D129" i="27"/>
  <c r="D128" i="27"/>
  <c r="D127" i="27"/>
  <c r="D126" i="27"/>
  <c r="D22" i="30"/>
  <c r="D38" i="30"/>
  <c r="D40" i="30"/>
  <c r="D7" i="30"/>
  <c r="D20" i="30"/>
  <c r="T57" i="28"/>
  <c r="T58" i="28"/>
  <c r="T59" i="28"/>
  <c r="T61" i="28"/>
  <c r="T10" i="28"/>
  <c r="T64" i="28"/>
  <c r="T66" i="28"/>
  <c r="T67" i="28"/>
  <c r="T68" i="28"/>
  <c r="T70" i="28"/>
  <c r="T17" i="28"/>
  <c r="T31" i="28"/>
  <c r="T37" i="28"/>
  <c r="T36" i="28"/>
  <c r="T38" i="28"/>
  <c r="AA33" i="28"/>
  <c r="Y33" i="28"/>
  <c r="I70" i="9"/>
  <c r="G52" i="10"/>
  <c r="H52" i="10"/>
  <c r="D33" i="20"/>
  <c r="D32" i="20"/>
  <c r="C8" i="20"/>
  <c r="R8" i="20"/>
  <c r="C10" i="20"/>
  <c r="D10" i="20"/>
  <c r="D11" i="20"/>
  <c r="D12" i="20"/>
  <c r="D13" i="20"/>
  <c r="D14" i="20"/>
  <c r="C15" i="20"/>
  <c r="C16" i="20"/>
  <c r="D16" i="20"/>
  <c r="D17" i="20"/>
  <c r="D18" i="20"/>
  <c r="D19" i="20"/>
  <c r="D20" i="20"/>
  <c r="C21" i="20"/>
  <c r="C22" i="20"/>
  <c r="D22" i="20"/>
  <c r="D23" i="20"/>
  <c r="D24" i="20"/>
  <c r="D25" i="20"/>
  <c r="D26" i="20"/>
  <c r="C27" i="20"/>
  <c r="F14" i="7"/>
  <c r="F9" i="7"/>
  <c r="G14" i="7"/>
  <c r="H14" i="7"/>
  <c r="D11" i="33"/>
  <c r="D7" i="33"/>
  <c r="H7" i="33"/>
  <c r="G7" i="33"/>
  <c r="F7" i="33"/>
  <c r="E7" i="33"/>
  <c r="C67" i="33"/>
  <c r="C50" i="14"/>
  <c r="Q66" i="6"/>
  <c r="P66" i="6"/>
  <c r="O66" i="6"/>
  <c r="N66" i="6"/>
  <c r="M66" i="6"/>
  <c r="K66" i="6"/>
  <c r="J66" i="6"/>
  <c r="I66" i="6"/>
  <c r="H66" i="6"/>
  <c r="G66" i="6"/>
  <c r="Q8" i="6"/>
  <c r="P8" i="6"/>
  <c r="O8" i="6"/>
  <c r="N8" i="6"/>
  <c r="M8" i="6"/>
  <c r="K8" i="6"/>
  <c r="J8" i="6"/>
  <c r="I8" i="6"/>
  <c r="H8" i="6"/>
  <c r="G8" i="6"/>
  <c r="E8" i="6"/>
  <c r="C16" i="14"/>
  <c r="M65" i="6"/>
  <c r="C84" i="12"/>
  <c r="C84" i="11" s="1"/>
  <c r="F14" i="9"/>
  <c r="I14" i="9"/>
  <c r="F14" i="10"/>
  <c r="F12" i="9"/>
  <c r="G14" i="10"/>
  <c r="D82" i="27"/>
  <c r="C106" i="6"/>
  <c r="C105" i="6"/>
  <c r="C104" i="6"/>
  <c r="C103" i="6"/>
  <c r="C102" i="6"/>
  <c r="C101" i="6"/>
  <c r="C100" i="6"/>
  <c r="C99" i="6"/>
  <c r="C98" i="6"/>
  <c r="C97" i="6"/>
  <c r="C96" i="6"/>
  <c r="C95" i="6"/>
  <c r="C94" i="6"/>
  <c r="C93" i="6"/>
  <c r="C92" i="6"/>
  <c r="C91" i="6"/>
  <c r="C90" i="6"/>
  <c r="C89" i="6"/>
  <c r="C88" i="6"/>
  <c r="C87" i="6"/>
  <c r="C83" i="6"/>
  <c r="C82" i="6"/>
  <c r="C81" i="6"/>
  <c r="C80" i="6"/>
  <c r="C79" i="6"/>
  <c r="C78" i="6"/>
  <c r="C77" i="6"/>
  <c r="C76" i="6"/>
  <c r="C75" i="6"/>
  <c r="C74" i="6"/>
  <c r="C73" i="6"/>
  <c r="C72" i="6"/>
  <c r="C71" i="6"/>
  <c r="C70" i="6"/>
  <c r="C69" i="6"/>
  <c r="C68" i="6"/>
  <c r="C67" i="6"/>
  <c r="C33" i="6"/>
  <c r="C32" i="6"/>
  <c r="C31" i="6"/>
  <c r="C46" i="6"/>
  <c r="C45" i="6"/>
  <c r="C38" i="6"/>
  <c r="C37" i="6"/>
  <c r="C24" i="6"/>
  <c r="C23" i="6"/>
  <c r="C22" i="6"/>
  <c r="C21" i="6"/>
  <c r="C20" i="6"/>
  <c r="C16" i="6"/>
  <c r="C15" i="6"/>
  <c r="C14" i="6"/>
  <c r="C20" i="25"/>
  <c r="C19" i="25"/>
  <c r="C18" i="25"/>
  <c r="C14" i="25"/>
  <c r="C116" i="6"/>
  <c r="C114" i="6"/>
  <c r="C113" i="6"/>
  <c r="C112" i="6"/>
  <c r="C111" i="6"/>
  <c r="C110" i="6"/>
  <c r="G65" i="6"/>
  <c r="C61" i="6"/>
  <c r="C58" i="6"/>
  <c r="C56" i="6"/>
  <c r="C55" i="6"/>
  <c r="C54" i="6"/>
  <c r="C53" i="6"/>
  <c r="C52" i="6"/>
  <c r="C48" i="6"/>
  <c r="C47" i="6"/>
  <c r="C44" i="6"/>
  <c r="C43" i="6"/>
  <c r="C42" i="6"/>
  <c r="C41" i="6"/>
  <c r="C40" i="6"/>
  <c r="C39" i="6"/>
  <c r="C36" i="6"/>
  <c r="C35" i="6"/>
  <c r="C34" i="6"/>
  <c r="C30" i="6"/>
  <c r="C29" i="6"/>
  <c r="C25" i="6"/>
  <c r="C19" i="6"/>
  <c r="C18" i="6"/>
  <c r="C17" i="6"/>
  <c r="C13" i="6"/>
  <c r="C12" i="6"/>
  <c r="C11" i="6"/>
  <c r="C10" i="6"/>
  <c r="C9" i="6"/>
  <c r="J6" i="31"/>
  <c r="G6" i="31"/>
  <c r="D6" i="31"/>
  <c r="M5" i="31"/>
  <c r="C71" i="31"/>
  <c r="C70" i="31"/>
  <c r="C69" i="31"/>
  <c r="C68" i="31"/>
  <c r="C67" i="31"/>
  <c r="C66" i="31"/>
  <c r="C65" i="31"/>
  <c r="C64" i="31"/>
  <c r="C63" i="31"/>
  <c r="C62" i="31"/>
  <c r="C60" i="31"/>
  <c r="C58" i="31"/>
  <c r="C56" i="31"/>
  <c r="C55" i="31"/>
  <c r="C54" i="31"/>
  <c r="C53" i="31"/>
  <c r="C52" i="31"/>
  <c r="C51" i="31"/>
  <c r="C50" i="31"/>
  <c r="C49" i="31"/>
  <c r="C48" i="31"/>
  <c r="C47" i="31"/>
  <c r="C46" i="31"/>
  <c r="C45" i="31"/>
  <c r="C44" i="31"/>
  <c r="C43" i="31"/>
  <c r="C42" i="31"/>
  <c r="C41" i="31"/>
  <c r="C40" i="31"/>
  <c r="C39" i="31"/>
  <c r="C38" i="31"/>
  <c r="C37" i="31"/>
  <c r="C35" i="31"/>
  <c r="C33" i="31"/>
  <c r="C32" i="31"/>
  <c r="C31" i="31"/>
  <c r="C30" i="31"/>
  <c r="C29" i="31"/>
  <c r="C28" i="31"/>
  <c r="C27" i="31"/>
  <c r="C26" i="31"/>
  <c r="C25" i="31"/>
  <c r="C24" i="31"/>
  <c r="C23" i="31"/>
  <c r="C22" i="31"/>
  <c r="C21" i="31"/>
  <c r="C20" i="31"/>
  <c r="C19" i="31"/>
  <c r="C18" i="31"/>
  <c r="C17" i="31"/>
  <c r="C16" i="31"/>
  <c r="C15" i="31"/>
  <c r="C14" i="31"/>
  <c r="C13" i="31"/>
  <c r="C12" i="31"/>
  <c r="C11" i="31"/>
  <c r="C10" i="31"/>
  <c r="C9" i="31"/>
  <c r="H9" i="19"/>
  <c r="I9" i="19"/>
  <c r="H10" i="19"/>
  <c r="I10" i="19"/>
  <c r="H11" i="19"/>
  <c r="I11" i="19"/>
  <c r="H12" i="19"/>
  <c r="I12" i="19"/>
  <c r="H13" i="19"/>
  <c r="I13" i="19"/>
  <c r="H14" i="19"/>
  <c r="I14" i="19"/>
  <c r="H15" i="19"/>
  <c r="I15" i="19"/>
  <c r="H17" i="19"/>
  <c r="H19" i="19"/>
  <c r="I19" i="19"/>
  <c r="H20" i="19"/>
  <c r="I20" i="19"/>
  <c r="H21" i="19"/>
  <c r="I21" i="19"/>
  <c r="H22" i="19"/>
  <c r="I22" i="19"/>
  <c r="H23" i="19"/>
  <c r="I23" i="19"/>
  <c r="H24" i="19"/>
  <c r="I24" i="19"/>
  <c r="H25" i="19"/>
  <c r="I25" i="19"/>
  <c r="H26" i="19"/>
  <c r="I26" i="19"/>
  <c r="H27" i="19"/>
  <c r="I27" i="19"/>
  <c r="H28" i="19"/>
  <c r="I28" i="19"/>
  <c r="H29" i="19"/>
  <c r="I29" i="19"/>
  <c r="H30" i="19"/>
  <c r="I30" i="19"/>
  <c r="H31" i="19"/>
  <c r="I31" i="19"/>
  <c r="H32" i="19"/>
  <c r="I32" i="19"/>
  <c r="H33" i="19"/>
  <c r="I33" i="19"/>
  <c r="H34" i="19"/>
  <c r="I34" i="19"/>
  <c r="H35" i="19"/>
  <c r="I35" i="19"/>
  <c r="H36" i="19"/>
  <c r="I36" i="19"/>
  <c r="H38" i="19"/>
  <c r="C37" i="17"/>
  <c r="M55" i="31"/>
  <c r="M54" i="31"/>
  <c r="M53" i="31"/>
  <c r="M52" i="31"/>
  <c r="M51" i="31"/>
  <c r="M50" i="31"/>
  <c r="M49" i="31"/>
  <c r="M48" i="31"/>
  <c r="M47" i="31"/>
  <c r="M46" i="31"/>
  <c r="M45" i="31"/>
  <c r="M44" i="31"/>
  <c r="M43" i="31"/>
  <c r="M42" i="31"/>
  <c r="M41" i="31"/>
  <c r="M40" i="31"/>
  <c r="M39" i="31"/>
  <c r="M38" i="31"/>
  <c r="M37" i="31"/>
  <c r="M32" i="31"/>
  <c r="M31" i="31"/>
  <c r="M30" i="31"/>
  <c r="M29" i="31"/>
  <c r="M28" i="31"/>
  <c r="M26" i="31"/>
  <c r="M25" i="31"/>
  <c r="M24" i="31"/>
  <c r="M23" i="31"/>
  <c r="M21" i="31"/>
  <c r="M20" i="31"/>
  <c r="M19" i="31"/>
  <c r="M18" i="31"/>
  <c r="M17" i="31"/>
  <c r="M15" i="31"/>
  <c r="M14" i="31"/>
  <c r="M13" i="31"/>
  <c r="M12" i="31"/>
  <c r="M11" i="31"/>
  <c r="M10" i="31"/>
  <c r="M9" i="31"/>
  <c r="L62" i="31"/>
  <c r="L58" i="31"/>
  <c r="L55" i="31"/>
  <c r="L54" i="31"/>
  <c r="L53" i="31"/>
  <c r="L52" i="31"/>
  <c r="L51" i="31"/>
  <c r="L50" i="31"/>
  <c r="L48" i="31"/>
  <c r="L47" i="31"/>
  <c r="L46" i="31"/>
  <c r="L45" i="31"/>
  <c r="L44" i="31"/>
  <c r="L43" i="31"/>
  <c r="L42" i="31"/>
  <c r="L41" i="31"/>
  <c r="L40" i="31"/>
  <c r="L39" i="31"/>
  <c r="L38" i="31"/>
  <c r="L37" i="31"/>
  <c r="L35" i="31"/>
  <c r="L32" i="31"/>
  <c r="L31" i="31"/>
  <c r="L30" i="31"/>
  <c r="L29" i="31"/>
  <c r="L28" i="31"/>
  <c r="L26" i="31"/>
  <c r="L25" i="31"/>
  <c r="L24" i="31"/>
  <c r="L23" i="31"/>
  <c r="L21" i="31"/>
  <c r="L20" i="31"/>
  <c r="L19" i="31"/>
  <c r="L18" i="31"/>
  <c r="L17" i="31"/>
  <c r="L15" i="31"/>
  <c r="L14" i="31"/>
  <c r="L13" i="31"/>
  <c r="L12" i="31"/>
  <c r="L11" i="31"/>
  <c r="L10" i="31"/>
  <c r="L9" i="31"/>
  <c r="I62" i="31"/>
  <c r="I58" i="31"/>
  <c r="I55" i="31"/>
  <c r="I54" i="31"/>
  <c r="I53" i="31"/>
  <c r="I52" i="31"/>
  <c r="I51" i="31"/>
  <c r="I50" i="31"/>
  <c r="I48" i="31"/>
  <c r="I47" i="31"/>
  <c r="I46" i="31"/>
  <c r="I45" i="31"/>
  <c r="I44" i="31"/>
  <c r="I43" i="31"/>
  <c r="I42" i="31"/>
  <c r="I41" i="31"/>
  <c r="I40" i="31"/>
  <c r="I39" i="31"/>
  <c r="I38" i="31"/>
  <c r="I37" i="31"/>
  <c r="I35" i="31"/>
  <c r="I32" i="31"/>
  <c r="I31" i="31"/>
  <c r="I30" i="31"/>
  <c r="I29" i="31"/>
  <c r="I28" i="31"/>
  <c r="I26" i="31"/>
  <c r="I25" i="31"/>
  <c r="I24" i="31"/>
  <c r="I23" i="31"/>
  <c r="I21" i="31"/>
  <c r="I20" i="31"/>
  <c r="I19" i="31"/>
  <c r="I18" i="31"/>
  <c r="I17" i="31"/>
  <c r="I15" i="31"/>
  <c r="I14" i="31"/>
  <c r="I13" i="31"/>
  <c r="I12" i="31"/>
  <c r="I11" i="31"/>
  <c r="I10" i="31"/>
  <c r="I9" i="31"/>
  <c r="F62" i="31"/>
  <c r="F58" i="31"/>
  <c r="F55" i="31"/>
  <c r="F54" i="31"/>
  <c r="F53" i="31"/>
  <c r="F52" i="31"/>
  <c r="F51" i="31"/>
  <c r="F50" i="31"/>
  <c r="F48" i="31"/>
  <c r="F47" i="31"/>
  <c r="F46" i="31"/>
  <c r="F45" i="31"/>
  <c r="F44" i="31"/>
  <c r="F43" i="31"/>
  <c r="F42" i="31"/>
  <c r="F41" i="31"/>
  <c r="F40" i="31"/>
  <c r="F39" i="31"/>
  <c r="F38" i="31"/>
  <c r="F37" i="31"/>
  <c r="F35" i="31"/>
  <c r="F32" i="31"/>
  <c r="F31" i="31"/>
  <c r="F30" i="31"/>
  <c r="F29" i="31"/>
  <c r="F28" i="31"/>
  <c r="F26" i="31"/>
  <c r="F25" i="31"/>
  <c r="F24" i="31"/>
  <c r="F23" i="31"/>
  <c r="F21" i="31"/>
  <c r="F20" i="31"/>
  <c r="F19" i="31"/>
  <c r="F18" i="31"/>
  <c r="F17" i="31"/>
  <c r="F15" i="31"/>
  <c r="F14" i="31"/>
  <c r="F13" i="31"/>
  <c r="F12" i="31"/>
  <c r="F11" i="31"/>
  <c r="F10" i="31"/>
  <c r="F9" i="31"/>
  <c r="C12" i="8"/>
  <c r="C10" i="28"/>
  <c r="D81" i="27"/>
  <c r="G24" i="13"/>
  <c r="F24" i="13"/>
  <c r="C55" i="14"/>
  <c r="C49" i="14"/>
  <c r="C25" i="17"/>
  <c r="S11" i="28"/>
  <c r="F35" i="10"/>
  <c r="C77" i="28"/>
  <c r="D77" i="28"/>
  <c r="E4" i="4"/>
  <c r="D57" i="28"/>
  <c r="C57" i="28"/>
  <c r="D59" i="28"/>
  <c r="C59" i="28"/>
  <c r="D72" i="28"/>
  <c r="D56" i="20"/>
  <c r="D67" i="28"/>
  <c r="D68" i="28"/>
  <c r="D34" i="20"/>
  <c r="D57" i="20"/>
  <c r="D76" i="28"/>
  <c r="D84" i="28"/>
  <c r="C70" i="28"/>
  <c r="D70" i="28"/>
  <c r="C51" i="30"/>
  <c r="C45" i="30"/>
  <c r="C42" i="30"/>
  <c r="C40" i="30"/>
  <c r="C38" i="30"/>
  <c r="C37" i="30"/>
  <c r="C36" i="30"/>
  <c r="C35" i="30"/>
  <c r="C34" i="30"/>
  <c r="C33" i="30"/>
  <c r="C32" i="30"/>
  <c r="C31" i="30"/>
  <c r="C30" i="30"/>
  <c r="C29" i="30"/>
  <c r="C28" i="30"/>
  <c r="C27" i="30"/>
  <c r="C26" i="30"/>
  <c r="C25" i="30"/>
  <c r="C24" i="30"/>
  <c r="C23" i="30"/>
  <c r="C22" i="30"/>
  <c r="C20" i="30"/>
  <c r="C19" i="30"/>
  <c r="C18" i="30"/>
  <c r="C17" i="30"/>
  <c r="C16" i="30"/>
  <c r="C15" i="30"/>
  <c r="C14" i="30"/>
  <c r="C13" i="30"/>
  <c r="C12" i="30"/>
  <c r="C11" i="30"/>
  <c r="C10" i="30"/>
  <c r="C9" i="30"/>
  <c r="C8" i="30"/>
  <c r="C7" i="30"/>
  <c r="J5" i="13"/>
  <c r="C81" i="14"/>
  <c r="D124" i="27"/>
  <c r="D123" i="27"/>
  <c r="D122" i="27"/>
  <c r="D121" i="27"/>
  <c r="D119" i="27"/>
  <c r="D118" i="27"/>
  <c r="D117" i="27"/>
  <c r="D116" i="27"/>
  <c r="D113" i="27"/>
  <c r="D273" i="27"/>
  <c r="D272" i="27"/>
  <c r="D271" i="27"/>
  <c r="D269" i="27"/>
  <c r="D268" i="27"/>
  <c r="D267" i="27"/>
  <c r="D266" i="27"/>
  <c r="D265" i="27"/>
  <c r="D264" i="27"/>
  <c r="D263" i="27"/>
  <c r="D262" i="27"/>
  <c r="D423" i="27"/>
  <c r="D422" i="27"/>
  <c r="D421" i="27"/>
  <c r="D420" i="27"/>
  <c r="D419" i="27"/>
  <c r="D418" i="27"/>
  <c r="D417" i="27"/>
  <c r="D416" i="27"/>
  <c r="D415" i="27"/>
  <c r="D414" i="27"/>
  <c r="D413" i="27"/>
  <c r="D412" i="27"/>
  <c r="D560" i="27"/>
  <c r="D558" i="27"/>
  <c r="D557" i="27"/>
  <c r="D556" i="27"/>
  <c r="D555" i="27"/>
  <c r="D554" i="27"/>
  <c r="D553" i="27"/>
  <c r="D552" i="27"/>
  <c r="D551" i="27"/>
  <c r="D550" i="27"/>
  <c r="D549" i="27"/>
  <c r="C58" i="8"/>
  <c r="C74" i="9"/>
  <c r="C86" i="12"/>
  <c r="C86" i="11" s="1"/>
  <c r="F39" i="10"/>
  <c r="I39" i="10"/>
  <c r="J5" i="10"/>
  <c r="D86" i="28"/>
  <c r="G15" i="11"/>
  <c r="F15" i="11"/>
  <c r="I11" i="10"/>
  <c r="S28" i="28"/>
  <c r="C61" i="28"/>
  <c r="I16" i="13"/>
  <c r="I13" i="13"/>
  <c r="I12" i="13"/>
  <c r="I10" i="13"/>
  <c r="S21" i="28"/>
  <c r="D534" i="27"/>
  <c r="D545" i="27"/>
  <c r="D58" i="28"/>
  <c r="C58" i="28"/>
  <c r="C56" i="28"/>
  <c r="D97" i="27"/>
  <c r="C15" i="10"/>
  <c r="E5" i="28"/>
  <c r="AH39" i="28"/>
  <c r="AH32" i="28"/>
  <c r="AH20" i="28"/>
  <c r="AH19" i="28"/>
  <c r="AH18" i="28"/>
  <c r="AH14" i="28"/>
  <c r="AH13" i="28"/>
  <c r="AH11" i="28"/>
  <c r="T39" i="28"/>
  <c r="S39" i="28"/>
  <c r="T32" i="28"/>
  <c r="S32" i="28"/>
  <c r="S26" i="28"/>
  <c r="T20" i="28"/>
  <c r="S20" i="28"/>
  <c r="S18" i="28"/>
  <c r="S16" i="28"/>
  <c r="T19" i="28"/>
  <c r="S19" i="28"/>
  <c r="T14" i="28"/>
  <c r="S14" i="28"/>
  <c r="T13" i="28"/>
  <c r="S13" i="28"/>
  <c r="S12" i="28"/>
  <c r="T11" i="28"/>
  <c r="AG39" i="28"/>
  <c r="AF39" i="28"/>
  <c r="AE39" i="28"/>
  <c r="AD39" i="28"/>
  <c r="AC39" i="28"/>
  <c r="AA39" i="28"/>
  <c r="Z39" i="28"/>
  <c r="Y39" i="28"/>
  <c r="X39" i="28"/>
  <c r="W39" i="28"/>
  <c r="V39" i="28"/>
  <c r="AG38" i="28"/>
  <c r="AF38" i="28"/>
  <c r="AE38" i="28"/>
  <c r="AD38" i="28"/>
  <c r="AC38" i="28"/>
  <c r="AA38" i="28"/>
  <c r="Z38" i="28"/>
  <c r="Y38" i="28"/>
  <c r="X38" i="28"/>
  <c r="W38" i="28"/>
  <c r="V38" i="28"/>
  <c r="AG37" i="28"/>
  <c r="AG36" i="28"/>
  <c r="AF37" i="28"/>
  <c r="AE37" i="28"/>
  <c r="AD37" i="28"/>
  <c r="AC37" i="28"/>
  <c r="AA37" i="28"/>
  <c r="Z37" i="28"/>
  <c r="Y37" i="28"/>
  <c r="X37" i="28"/>
  <c r="V37" i="28"/>
  <c r="R39" i="28"/>
  <c r="Q39" i="28"/>
  <c r="P39" i="28"/>
  <c r="O39" i="28"/>
  <c r="N39" i="28"/>
  <c r="M39" i="28"/>
  <c r="L39" i="28"/>
  <c r="K39" i="28"/>
  <c r="J39" i="28"/>
  <c r="I39" i="28"/>
  <c r="H39" i="28"/>
  <c r="G39" i="28"/>
  <c r="R38" i="28"/>
  <c r="Q38" i="28"/>
  <c r="P38" i="28"/>
  <c r="O38" i="28"/>
  <c r="N38" i="28"/>
  <c r="M38" i="28"/>
  <c r="L38" i="28"/>
  <c r="K38" i="28"/>
  <c r="J38" i="28"/>
  <c r="I38" i="28"/>
  <c r="H38" i="28"/>
  <c r="G38" i="28"/>
  <c r="R37" i="28"/>
  <c r="Q37" i="28"/>
  <c r="P37" i="28"/>
  <c r="O37" i="28"/>
  <c r="N37" i="28"/>
  <c r="M37" i="28"/>
  <c r="L37" i="28"/>
  <c r="K37" i="28"/>
  <c r="J37" i="28"/>
  <c r="I37" i="28"/>
  <c r="H37" i="28"/>
  <c r="G37" i="28"/>
  <c r="AG35" i="28"/>
  <c r="AF35" i="28"/>
  <c r="AE35" i="28"/>
  <c r="AD35" i="28"/>
  <c r="AC35" i="28"/>
  <c r="AA35" i="28"/>
  <c r="Z35" i="28"/>
  <c r="Y35" i="28"/>
  <c r="X35" i="28"/>
  <c r="W35" i="28"/>
  <c r="V35" i="28"/>
  <c r="R35" i="28"/>
  <c r="Q35" i="28"/>
  <c r="P35" i="28"/>
  <c r="O35" i="28"/>
  <c r="N35" i="28"/>
  <c r="M35" i="28"/>
  <c r="L35" i="28"/>
  <c r="K35" i="28"/>
  <c r="J35" i="28"/>
  <c r="I35" i="28"/>
  <c r="H35" i="28"/>
  <c r="G35" i="28"/>
  <c r="AG33" i="28"/>
  <c r="AF33" i="28"/>
  <c r="AE33" i="28"/>
  <c r="AD33" i="28"/>
  <c r="AC33" i="28"/>
  <c r="Z33" i="28"/>
  <c r="X33" i="28"/>
  <c r="W33" i="28"/>
  <c r="V33" i="28"/>
  <c r="AG32" i="28"/>
  <c r="AF32" i="28"/>
  <c r="AE32" i="28"/>
  <c r="AD32" i="28"/>
  <c r="AC32" i="28"/>
  <c r="AA32" i="28"/>
  <c r="Z32" i="28"/>
  <c r="Y32" i="28"/>
  <c r="X32" i="28"/>
  <c r="W32" i="28"/>
  <c r="V32" i="28"/>
  <c r="AG31" i="28"/>
  <c r="AF31" i="28"/>
  <c r="AE31" i="28"/>
  <c r="AD31" i="28"/>
  <c r="AC31" i="28"/>
  <c r="AA31" i="28"/>
  <c r="Z31" i="28"/>
  <c r="Y31" i="28"/>
  <c r="X31" i="28"/>
  <c r="W31" i="28"/>
  <c r="V31" i="28"/>
  <c r="AG30" i="28"/>
  <c r="AF30" i="28"/>
  <c r="AF29" i="28"/>
  <c r="AE30" i="28"/>
  <c r="AD30" i="28"/>
  <c r="AC30" i="28"/>
  <c r="AA30" i="28"/>
  <c r="Z30" i="28"/>
  <c r="Y30" i="28"/>
  <c r="X30" i="28"/>
  <c r="W30" i="28"/>
  <c r="V30" i="28"/>
  <c r="R33" i="28"/>
  <c r="Q33" i="28"/>
  <c r="P33" i="28"/>
  <c r="O33" i="28"/>
  <c r="N33" i="28"/>
  <c r="M33" i="28"/>
  <c r="L33" i="28"/>
  <c r="K33" i="28"/>
  <c r="J33" i="28"/>
  <c r="I33" i="28"/>
  <c r="H33" i="28"/>
  <c r="G33" i="28"/>
  <c r="R32" i="28"/>
  <c r="Q32" i="28"/>
  <c r="P32" i="28"/>
  <c r="O32" i="28"/>
  <c r="N32" i="28"/>
  <c r="M32" i="28"/>
  <c r="L32" i="28"/>
  <c r="K32" i="28"/>
  <c r="J32" i="28"/>
  <c r="I32" i="28"/>
  <c r="H32" i="28"/>
  <c r="G32" i="28"/>
  <c r="R31" i="28"/>
  <c r="Q31" i="28"/>
  <c r="P31" i="28"/>
  <c r="O31" i="28"/>
  <c r="N31" i="28"/>
  <c r="M31" i="28"/>
  <c r="L31" i="28"/>
  <c r="K31" i="28"/>
  <c r="J31" i="28"/>
  <c r="I31" i="28"/>
  <c r="G31" i="28"/>
  <c r="R30" i="28"/>
  <c r="Q30" i="28"/>
  <c r="P30" i="28"/>
  <c r="O30" i="28"/>
  <c r="N30" i="28"/>
  <c r="M30" i="28"/>
  <c r="L30" i="28"/>
  <c r="K30" i="28"/>
  <c r="K29" i="28"/>
  <c r="J30" i="28"/>
  <c r="I30" i="28"/>
  <c r="H30" i="28"/>
  <c r="G30" i="28"/>
  <c r="G29" i="28"/>
  <c r="AG28" i="28"/>
  <c r="AF28" i="28"/>
  <c r="AE28" i="28"/>
  <c r="AD28" i="28"/>
  <c r="AC28" i="28"/>
  <c r="AA28" i="28"/>
  <c r="Z28" i="28"/>
  <c r="Y28" i="28"/>
  <c r="X28" i="28"/>
  <c r="W28" i="28"/>
  <c r="V28" i="28"/>
  <c r="AF27" i="28"/>
  <c r="AD27" i="28"/>
  <c r="AC27" i="28"/>
  <c r="AA27" i="28"/>
  <c r="Z27" i="28"/>
  <c r="Y27" i="28"/>
  <c r="X27" i="28"/>
  <c r="W27" i="28"/>
  <c r="V27" i="28"/>
  <c r="R28" i="28"/>
  <c r="Q28" i="28"/>
  <c r="P28" i="28"/>
  <c r="O28" i="28"/>
  <c r="N28" i="28"/>
  <c r="M28" i="28"/>
  <c r="L28" i="28"/>
  <c r="K28" i="28"/>
  <c r="J28" i="28"/>
  <c r="I28" i="28"/>
  <c r="H28" i="28"/>
  <c r="G28" i="28"/>
  <c r="Q27" i="28"/>
  <c r="M27" i="28"/>
  <c r="I27" i="28"/>
  <c r="H27" i="28"/>
  <c r="G27" i="28"/>
  <c r="V26" i="28"/>
  <c r="AG26" i="28"/>
  <c r="AF26" i="28"/>
  <c r="AE26" i="28"/>
  <c r="AD26" i="28"/>
  <c r="AC26" i="28"/>
  <c r="AA26" i="28"/>
  <c r="Z26" i="28"/>
  <c r="Y26" i="28"/>
  <c r="X26" i="28"/>
  <c r="W26" i="28"/>
  <c r="R26" i="28"/>
  <c r="Q26" i="28"/>
  <c r="P26" i="28"/>
  <c r="O26" i="28"/>
  <c r="N26" i="28"/>
  <c r="M26" i="28"/>
  <c r="L26" i="28"/>
  <c r="K26" i="28"/>
  <c r="J26" i="28"/>
  <c r="I26" i="28"/>
  <c r="H26" i="28"/>
  <c r="G26" i="28"/>
  <c r="AG21" i="28"/>
  <c r="AF21" i="28"/>
  <c r="AE21" i="28"/>
  <c r="AD21" i="28"/>
  <c r="AC21" i="28"/>
  <c r="AA21" i="28"/>
  <c r="Z21" i="28"/>
  <c r="Y21" i="28"/>
  <c r="X21" i="28"/>
  <c r="W21" i="28"/>
  <c r="V21" i="28"/>
  <c r="AG20" i="28"/>
  <c r="AF20" i="28"/>
  <c r="AE20" i="28"/>
  <c r="AD20" i="28"/>
  <c r="AC20" i="28"/>
  <c r="AA20" i="28"/>
  <c r="Z20" i="28"/>
  <c r="Y20" i="28"/>
  <c r="X20" i="28"/>
  <c r="W20" i="28"/>
  <c r="V20" i="28"/>
  <c r="AG19" i="28"/>
  <c r="AF19" i="28"/>
  <c r="AE19" i="28"/>
  <c r="AD19" i="28"/>
  <c r="AC19" i="28"/>
  <c r="AA19" i="28"/>
  <c r="Z19" i="28"/>
  <c r="Y19" i="28"/>
  <c r="X19" i="28"/>
  <c r="W19" i="28"/>
  <c r="V19" i="28"/>
  <c r="R21" i="28"/>
  <c r="Q21" i="28"/>
  <c r="P21" i="28"/>
  <c r="O21" i="28"/>
  <c r="N21" i="28"/>
  <c r="M21" i="28"/>
  <c r="L21" i="28"/>
  <c r="K21" i="28"/>
  <c r="J21" i="28"/>
  <c r="I21" i="28"/>
  <c r="H21" i="28"/>
  <c r="G21" i="28"/>
  <c r="R20" i="28"/>
  <c r="Q20" i="28"/>
  <c r="Q18" i="28"/>
  <c r="P20" i="28"/>
  <c r="O20" i="28"/>
  <c r="N20" i="28"/>
  <c r="M20" i="28"/>
  <c r="L20" i="28"/>
  <c r="K20" i="28"/>
  <c r="J20" i="28"/>
  <c r="I20" i="28"/>
  <c r="H20" i="28"/>
  <c r="G20" i="28"/>
  <c r="R19" i="28"/>
  <c r="Q19" i="28"/>
  <c r="P19" i="28"/>
  <c r="P17" i="28"/>
  <c r="O19" i="28"/>
  <c r="N19" i="28"/>
  <c r="M19" i="28"/>
  <c r="L19" i="28"/>
  <c r="K19" i="28"/>
  <c r="J19" i="28"/>
  <c r="I19" i="28"/>
  <c r="H19" i="28"/>
  <c r="G19" i="28"/>
  <c r="G18" i="28"/>
  <c r="AG17" i="28"/>
  <c r="AF17" i="28"/>
  <c r="AE17" i="28"/>
  <c r="AD17" i="28"/>
  <c r="AC17" i="28"/>
  <c r="AA17" i="28"/>
  <c r="Z17" i="28"/>
  <c r="Y17" i="28"/>
  <c r="X17" i="28"/>
  <c r="W17" i="28"/>
  <c r="V17" i="28"/>
  <c r="R17" i="28"/>
  <c r="Q17" i="28"/>
  <c r="O17" i="28"/>
  <c r="N17" i="28"/>
  <c r="M17" i="28"/>
  <c r="L17" i="28"/>
  <c r="K17" i="28"/>
  <c r="J17" i="28"/>
  <c r="I17" i="28"/>
  <c r="H17" i="28"/>
  <c r="G17" i="28"/>
  <c r="AG15" i="28"/>
  <c r="AF15" i="28"/>
  <c r="AE15" i="28"/>
  <c r="AD15" i="28"/>
  <c r="AC15" i="28"/>
  <c r="AA15" i="28"/>
  <c r="Z15" i="28"/>
  <c r="Y15" i="28"/>
  <c r="X15" i="28"/>
  <c r="W15" i="28"/>
  <c r="V15" i="28"/>
  <c r="AG14" i="28"/>
  <c r="AF14" i="28"/>
  <c r="AE14" i="28"/>
  <c r="AD14" i="28"/>
  <c r="AC14" i="28"/>
  <c r="AA14" i="28"/>
  <c r="Z14" i="28"/>
  <c r="Y14" i="28"/>
  <c r="X14" i="28"/>
  <c r="W14" i="28"/>
  <c r="V14" i="28"/>
  <c r="AG13" i="28"/>
  <c r="AF13" i="28"/>
  <c r="AE13" i="28"/>
  <c r="AD13" i="28"/>
  <c r="AC13" i="28"/>
  <c r="AA13" i="28"/>
  <c r="Z13" i="28"/>
  <c r="Y13" i="28"/>
  <c r="X13" i="28"/>
  <c r="W13" i="28"/>
  <c r="V13" i="28"/>
  <c r="R14" i="28"/>
  <c r="Q14" i="28"/>
  <c r="Q12" i="28"/>
  <c r="P14" i="28"/>
  <c r="O14" i="28"/>
  <c r="N14" i="28"/>
  <c r="M14" i="28"/>
  <c r="L14" i="28"/>
  <c r="K14" i="28"/>
  <c r="J14" i="28"/>
  <c r="J12" i="28"/>
  <c r="I14" i="28"/>
  <c r="H14" i="28"/>
  <c r="G14" i="28"/>
  <c r="R13" i="28"/>
  <c r="Q13" i="28"/>
  <c r="P13" i="28"/>
  <c r="O13" i="28"/>
  <c r="N13" i="28"/>
  <c r="M13" i="28"/>
  <c r="L13" i="28"/>
  <c r="K13" i="28"/>
  <c r="J13" i="28"/>
  <c r="I13" i="28"/>
  <c r="H13" i="28"/>
  <c r="G13" i="28"/>
  <c r="AG11" i="28"/>
  <c r="AF11" i="28"/>
  <c r="AE11" i="28"/>
  <c r="AD11" i="28"/>
  <c r="AC11" i="28"/>
  <c r="AA11" i="28"/>
  <c r="Z11" i="28"/>
  <c r="Y11" i="28"/>
  <c r="X11" i="28"/>
  <c r="W11" i="28"/>
  <c r="V11" i="28"/>
  <c r="AG10" i="28"/>
  <c r="AF10" i="28"/>
  <c r="AE10" i="28"/>
  <c r="AD10" i="28"/>
  <c r="AC10" i="28"/>
  <c r="AA10" i="28"/>
  <c r="Z10" i="28"/>
  <c r="Y10" i="28"/>
  <c r="X10" i="28"/>
  <c r="W10" i="28"/>
  <c r="V10" i="28"/>
  <c r="R11" i="28"/>
  <c r="Q11" i="28"/>
  <c r="P11" i="28"/>
  <c r="O11" i="28"/>
  <c r="N11" i="28"/>
  <c r="M11" i="28"/>
  <c r="L11" i="28"/>
  <c r="K11" i="28"/>
  <c r="J11" i="28"/>
  <c r="I11" i="28"/>
  <c r="H11" i="28"/>
  <c r="G11" i="28"/>
  <c r="R10" i="28"/>
  <c r="P10" i="28"/>
  <c r="O10" i="28"/>
  <c r="N10" i="28"/>
  <c r="M10" i="28"/>
  <c r="L10" i="28"/>
  <c r="K10" i="28"/>
  <c r="K8" i="28"/>
  <c r="J10" i="28"/>
  <c r="I10" i="28"/>
  <c r="H10" i="28"/>
  <c r="AG9" i="28"/>
  <c r="AF9" i="28"/>
  <c r="AE9" i="28"/>
  <c r="AD9" i="28"/>
  <c r="AC9" i="28"/>
  <c r="AA9" i="28"/>
  <c r="Z9" i="28"/>
  <c r="Y9" i="28"/>
  <c r="X9" i="28"/>
  <c r="W9" i="28"/>
  <c r="V9" i="28"/>
  <c r="R9" i="28"/>
  <c r="Q9" i="28"/>
  <c r="P9" i="28"/>
  <c r="O9" i="28"/>
  <c r="N9" i="28"/>
  <c r="M9" i="28"/>
  <c r="L9" i="28"/>
  <c r="K9" i="28"/>
  <c r="J9" i="28"/>
  <c r="I9" i="28"/>
  <c r="H9" i="28"/>
  <c r="C95" i="28"/>
  <c r="C93" i="28"/>
  <c r="C92" i="28"/>
  <c r="C91" i="28"/>
  <c r="C90" i="28"/>
  <c r="R15" i="28"/>
  <c r="Q15" i="28"/>
  <c r="P15" i="28"/>
  <c r="O15" i="28"/>
  <c r="N15" i="28"/>
  <c r="M15" i="28"/>
  <c r="L15" i="28"/>
  <c r="K15" i="28"/>
  <c r="I15" i="28"/>
  <c r="H15" i="28"/>
  <c r="AH26" i="28"/>
  <c r="T26" i="28"/>
  <c r="D61" i="28"/>
  <c r="D63" i="28"/>
  <c r="AH21" i="28"/>
  <c r="T21" i="28"/>
  <c r="D66" i="28"/>
  <c r="C66" i="28"/>
  <c r="D56" i="28"/>
  <c r="D64" i="28"/>
  <c r="C64" i="28"/>
  <c r="C55" i="28"/>
  <c r="AH54" i="28"/>
  <c r="AG54" i="28"/>
  <c r="AF54" i="28"/>
  <c r="AE54" i="28"/>
  <c r="AD54" i="28"/>
  <c r="AC54" i="28"/>
  <c r="AB54" i="28"/>
  <c r="AA54" i="28"/>
  <c r="Z54" i="28"/>
  <c r="Y54" i="28"/>
  <c r="X54" i="28"/>
  <c r="W54" i="28"/>
  <c r="V54" i="28"/>
  <c r="T54" i="28"/>
  <c r="S54" i="28"/>
  <c r="R54" i="28"/>
  <c r="Q54" i="28"/>
  <c r="P54" i="28"/>
  <c r="O54" i="28"/>
  <c r="N54" i="28"/>
  <c r="M54" i="28"/>
  <c r="L54" i="28"/>
  <c r="K54" i="28"/>
  <c r="J54" i="28"/>
  <c r="I54" i="28"/>
  <c r="H54" i="28"/>
  <c r="G54" i="28"/>
  <c r="C52" i="28"/>
  <c r="C49" i="28"/>
  <c r="C48" i="28"/>
  <c r="C47" i="28"/>
  <c r="C46" i="28"/>
  <c r="C45" i="28"/>
  <c r="C43" i="28"/>
  <c r="C41" i="28"/>
  <c r="C39" i="28"/>
  <c r="C38" i="28"/>
  <c r="C37" i="28"/>
  <c r="C36" i="28"/>
  <c r="C35" i="28"/>
  <c r="C34" i="28"/>
  <c r="C33" i="28"/>
  <c r="C32" i="28"/>
  <c r="C31" i="28"/>
  <c r="C30" i="28"/>
  <c r="C29" i="28"/>
  <c r="C28" i="28"/>
  <c r="C27" i="28"/>
  <c r="C26" i="28"/>
  <c r="C25" i="28"/>
  <c r="C23" i="28"/>
  <c r="C21" i="28"/>
  <c r="C20" i="28"/>
  <c r="C19" i="28"/>
  <c r="C18" i="28"/>
  <c r="C17" i="28"/>
  <c r="C16" i="28"/>
  <c r="C15" i="28"/>
  <c r="C14" i="28"/>
  <c r="C13" i="28"/>
  <c r="C12" i="28"/>
  <c r="C11" i="28"/>
  <c r="C9" i="28"/>
  <c r="C8" i="28"/>
  <c r="AH6" i="28"/>
  <c r="AG6" i="28"/>
  <c r="AF6" i="28"/>
  <c r="AE6" i="28"/>
  <c r="AD6" i="28"/>
  <c r="AC6" i="28"/>
  <c r="AB6" i="28"/>
  <c r="AA6" i="28"/>
  <c r="Z6" i="28"/>
  <c r="Y6" i="28"/>
  <c r="X6" i="28"/>
  <c r="W6" i="28"/>
  <c r="V6" i="28"/>
  <c r="T6" i="28"/>
  <c r="S6" i="28"/>
  <c r="R6" i="28"/>
  <c r="Q6" i="28"/>
  <c r="P6" i="28"/>
  <c r="O6" i="28"/>
  <c r="N6" i="28"/>
  <c r="M6" i="28"/>
  <c r="L6" i="28"/>
  <c r="K6" i="28"/>
  <c r="J6" i="28"/>
  <c r="I6" i="28"/>
  <c r="H6" i="28"/>
  <c r="G6" i="28"/>
  <c r="AH4" i="28"/>
  <c r="G64" i="17"/>
  <c r="F64" i="17"/>
  <c r="G62" i="17"/>
  <c r="F62" i="17"/>
  <c r="G61" i="17"/>
  <c r="F61" i="17"/>
  <c r="G60" i="17"/>
  <c r="F60" i="17"/>
  <c r="G59" i="17"/>
  <c r="F59" i="17"/>
  <c r="G58" i="17"/>
  <c r="F58" i="17"/>
  <c r="G57" i="17"/>
  <c r="F57" i="17"/>
  <c r="G56" i="17"/>
  <c r="F56" i="17"/>
  <c r="G55" i="17"/>
  <c r="F55" i="17"/>
  <c r="G54" i="17"/>
  <c r="F54" i="17"/>
  <c r="G53" i="17"/>
  <c r="F53" i="17"/>
  <c r="G52" i="17"/>
  <c r="F52" i="17"/>
  <c r="G51" i="17"/>
  <c r="F51" i="17"/>
  <c r="G50" i="17"/>
  <c r="F50" i="17"/>
  <c r="G49" i="17"/>
  <c r="F49" i="17"/>
  <c r="G48" i="17"/>
  <c r="F48" i="17"/>
  <c r="G47" i="17"/>
  <c r="F47" i="17"/>
  <c r="G46" i="17"/>
  <c r="F46" i="17"/>
  <c r="G45" i="17"/>
  <c r="F45" i="17"/>
  <c r="G43" i="17"/>
  <c r="F43" i="17"/>
  <c r="G41" i="17"/>
  <c r="F41" i="17"/>
  <c r="G40" i="17"/>
  <c r="F40" i="17"/>
  <c r="G39" i="17"/>
  <c r="F39" i="17"/>
  <c r="G38" i="17"/>
  <c r="F38" i="17"/>
  <c r="G37" i="17"/>
  <c r="F37" i="17"/>
  <c r="G36" i="17"/>
  <c r="F36" i="17"/>
  <c r="G35" i="17"/>
  <c r="F35" i="17"/>
  <c r="G33" i="17"/>
  <c r="F33" i="17"/>
  <c r="G32" i="17"/>
  <c r="F32" i="17"/>
  <c r="G31" i="17"/>
  <c r="F31" i="17"/>
  <c r="G30" i="17"/>
  <c r="F30" i="17"/>
  <c r="G29" i="17"/>
  <c r="F29" i="17"/>
  <c r="G28" i="17"/>
  <c r="F28" i="17"/>
  <c r="G27" i="17"/>
  <c r="F27" i="17"/>
  <c r="G26" i="17"/>
  <c r="F26" i="17"/>
  <c r="G24" i="17"/>
  <c r="F24" i="17"/>
  <c r="G23" i="17"/>
  <c r="F23" i="17"/>
  <c r="G22" i="17"/>
  <c r="F22" i="17"/>
  <c r="G21" i="17"/>
  <c r="F21" i="17"/>
  <c r="G19" i="17"/>
  <c r="F19" i="17"/>
  <c r="G18" i="17"/>
  <c r="F18" i="17"/>
  <c r="G17" i="17"/>
  <c r="F17" i="17"/>
  <c r="G16" i="17"/>
  <c r="F16" i="17"/>
  <c r="G15" i="17"/>
  <c r="F15" i="17"/>
  <c r="G14" i="17"/>
  <c r="F14" i="17"/>
  <c r="G13" i="17"/>
  <c r="F13" i="17"/>
  <c r="G12" i="17"/>
  <c r="F12" i="17"/>
  <c r="G11" i="17"/>
  <c r="F11" i="17"/>
  <c r="G10" i="17"/>
  <c r="F10" i="17"/>
  <c r="G9" i="17"/>
  <c r="F9" i="17"/>
  <c r="G8" i="17"/>
  <c r="F8" i="17"/>
  <c r="I53" i="10"/>
  <c r="D70" i="27"/>
  <c r="C592" i="27"/>
  <c r="I5" i="15"/>
  <c r="I5" i="14"/>
  <c r="G30" i="13"/>
  <c r="G36" i="13"/>
  <c r="I36" i="13"/>
  <c r="F36" i="13"/>
  <c r="F30" i="13"/>
  <c r="I42" i="13"/>
  <c r="I41" i="13"/>
  <c r="I40" i="13"/>
  <c r="I39" i="13"/>
  <c r="I38" i="13"/>
  <c r="I35" i="13"/>
  <c r="I34" i="13"/>
  <c r="I33" i="13"/>
  <c r="I32" i="13"/>
  <c r="I31" i="13"/>
  <c r="I25" i="13"/>
  <c r="I22" i="13"/>
  <c r="I21" i="13"/>
  <c r="I20" i="13"/>
  <c r="I19" i="13"/>
  <c r="I18" i="13"/>
  <c r="D111" i="27"/>
  <c r="D110" i="27"/>
  <c r="D106" i="27"/>
  <c r="D105" i="27"/>
  <c r="D104" i="27"/>
  <c r="D103" i="27"/>
  <c r="D102" i="27"/>
  <c r="D101" i="27"/>
  <c r="D100" i="27"/>
  <c r="D547" i="27"/>
  <c r="D546" i="27"/>
  <c r="D544" i="27"/>
  <c r="D543" i="27"/>
  <c r="D542" i="27"/>
  <c r="D541" i="27"/>
  <c r="D540" i="27"/>
  <c r="D539" i="27"/>
  <c r="D538" i="27"/>
  <c r="D537" i="27"/>
  <c r="D536" i="27"/>
  <c r="D410" i="27"/>
  <c r="D409" i="27"/>
  <c r="D408" i="27"/>
  <c r="D407" i="27"/>
  <c r="D406" i="27"/>
  <c r="D405" i="27"/>
  <c r="D404" i="27"/>
  <c r="D403" i="27"/>
  <c r="D402" i="27"/>
  <c r="D401" i="27"/>
  <c r="D400" i="27"/>
  <c r="D399" i="27"/>
  <c r="D260" i="27"/>
  <c r="D259" i="27"/>
  <c r="D258" i="27"/>
  <c r="D257" i="27"/>
  <c r="D256" i="27"/>
  <c r="D255" i="27"/>
  <c r="D254" i="27"/>
  <c r="D253" i="27"/>
  <c r="D252" i="27"/>
  <c r="D251" i="27"/>
  <c r="D250" i="27"/>
  <c r="D249" i="27"/>
  <c r="P454" i="27"/>
  <c r="O454" i="27"/>
  <c r="C590" i="27"/>
  <c r="C598" i="27"/>
  <c r="C591" i="27"/>
  <c r="J454" i="27"/>
  <c r="E454" i="27"/>
  <c r="M456" i="27"/>
  <c r="L456" i="27"/>
  <c r="K456" i="27"/>
  <c r="J456" i="27"/>
  <c r="N455" i="27"/>
  <c r="J455" i="27"/>
  <c r="E455" i="27"/>
  <c r="I455" i="27"/>
  <c r="H456" i="27"/>
  <c r="G456" i="27"/>
  <c r="F456" i="27"/>
  <c r="E456" i="27"/>
  <c r="J305" i="27"/>
  <c r="J304" i="27"/>
  <c r="P304" i="27"/>
  <c r="O304" i="27"/>
  <c r="N305" i="27"/>
  <c r="M306" i="27"/>
  <c r="L306" i="27"/>
  <c r="K306" i="27"/>
  <c r="J306" i="27"/>
  <c r="I305" i="27"/>
  <c r="H306" i="27"/>
  <c r="G306" i="27"/>
  <c r="F306" i="27"/>
  <c r="E306" i="27"/>
  <c r="E305" i="27"/>
  <c r="E304" i="27"/>
  <c r="C303" i="27"/>
  <c r="K155" i="27"/>
  <c r="K154" i="27"/>
  <c r="I155" i="27"/>
  <c r="H156" i="27"/>
  <c r="G156" i="27"/>
  <c r="F156" i="27"/>
  <c r="E156" i="27"/>
  <c r="E155" i="27"/>
  <c r="D495" i="27"/>
  <c r="D494" i="27"/>
  <c r="D493" i="27"/>
  <c r="D492" i="27"/>
  <c r="D491" i="27"/>
  <c r="D490" i="27"/>
  <c r="D489" i="27"/>
  <c r="D488" i="27"/>
  <c r="D487" i="27"/>
  <c r="D486" i="27"/>
  <c r="D485" i="27"/>
  <c r="D484" i="27"/>
  <c r="D482" i="27"/>
  <c r="D481" i="27"/>
  <c r="D480" i="27"/>
  <c r="D479" i="27"/>
  <c r="D478" i="27"/>
  <c r="D477" i="27"/>
  <c r="D476" i="27"/>
  <c r="D475" i="27"/>
  <c r="D474" i="27"/>
  <c r="D473" i="27"/>
  <c r="D472" i="27"/>
  <c r="D471" i="27"/>
  <c r="D469" i="27"/>
  <c r="D468" i="27"/>
  <c r="D467" i="27"/>
  <c r="D466" i="27"/>
  <c r="D465" i="27"/>
  <c r="D464" i="27"/>
  <c r="D463" i="27"/>
  <c r="D462" i="27"/>
  <c r="D461" i="27"/>
  <c r="D460" i="27"/>
  <c r="D459" i="27"/>
  <c r="D458" i="27"/>
  <c r="D358" i="27"/>
  <c r="D357" i="27"/>
  <c r="D356" i="27"/>
  <c r="D355" i="27"/>
  <c r="D354" i="27"/>
  <c r="D353" i="27"/>
  <c r="D352" i="27"/>
  <c r="D351" i="27"/>
  <c r="D350" i="27"/>
  <c r="D349" i="27"/>
  <c r="D348" i="27"/>
  <c r="D347" i="27"/>
  <c r="D345" i="27"/>
  <c r="D344" i="27"/>
  <c r="D343" i="27"/>
  <c r="D342" i="27"/>
  <c r="D341" i="27"/>
  <c r="D340" i="27"/>
  <c r="D339" i="27"/>
  <c r="D338" i="27"/>
  <c r="D337" i="27"/>
  <c r="D336" i="27"/>
  <c r="D335" i="27"/>
  <c r="D334" i="27"/>
  <c r="D332" i="27"/>
  <c r="D331" i="27"/>
  <c r="D330" i="27"/>
  <c r="D329" i="27"/>
  <c r="D328" i="27"/>
  <c r="D327" i="27"/>
  <c r="D326" i="27"/>
  <c r="D325" i="27"/>
  <c r="D324" i="27"/>
  <c r="D323" i="27"/>
  <c r="D322" i="27"/>
  <c r="D321" i="27"/>
  <c r="D319" i="27"/>
  <c r="D318" i="27"/>
  <c r="D317" i="27"/>
  <c r="D316" i="27"/>
  <c r="D315" i="27"/>
  <c r="D314" i="27"/>
  <c r="D313" i="27"/>
  <c r="D312" i="27"/>
  <c r="D311" i="27"/>
  <c r="D310" i="27"/>
  <c r="D309" i="27"/>
  <c r="D308" i="27"/>
  <c r="D208" i="27"/>
  <c r="D207" i="27"/>
  <c r="D206" i="27"/>
  <c r="D205" i="27"/>
  <c r="D204" i="27"/>
  <c r="D203" i="27"/>
  <c r="D202" i="27"/>
  <c r="D201" i="27"/>
  <c r="D200" i="27"/>
  <c r="D199" i="27"/>
  <c r="D198" i="27"/>
  <c r="D197" i="27"/>
  <c r="D195" i="27"/>
  <c r="D194" i="27"/>
  <c r="D193" i="27"/>
  <c r="D192" i="27"/>
  <c r="D191" i="27"/>
  <c r="D190" i="27"/>
  <c r="D189" i="27"/>
  <c r="D188" i="27"/>
  <c r="D187" i="27"/>
  <c r="D186" i="27"/>
  <c r="D185" i="27"/>
  <c r="D184" i="27"/>
  <c r="D182" i="27"/>
  <c r="D181" i="27"/>
  <c r="D180" i="27"/>
  <c r="D179" i="27"/>
  <c r="D178" i="27"/>
  <c r="D177" i="27"/>
  <c r="D176" i="27"/>
  <c r="D175" i="27"/>
  <c r="D174" i="27"/>
  <c r="D173" i="27"/>
  <c r="D172" i="27"/>
  <c r="D171" i="27"/>
  <c r="D169" i="27"/>
  <c r="D168" i="27"/>
  <c r="D167" i="27"/>
  <c r="D166" i="27"/>
  <c r="D165" i="27"/>
  <c r="D164" i="27"/>
  <c r="D163" i="27"/>
  <c r="D162" i="27"/>
  <c r="D161" i="27"/>
  <c r="D160" i="27"/>
  <c r="D159" i="27"/>
  <c r="D158" i="27"/>
  <c r="D59" i="27"/>
  <c r="D58" i="27"/>
  <c r="D57" i="27"/>
  <c r="D56" i="27"/>
  <c r="D55" i="27"/>
  <c r="D54" i="27"/>
  <c r="D53" i="27"/>
  <c r="D52" i="27"/>
  <c r="D51" i="27"/>
  <c r="D50" i="27"/>
  <c r="D49" i="27"/>
  <c r="D48" i="27"/>
  <c r="D46" i="27"/>
  <c r="D45" i="27"/>
  <c r="D44" i="27"/>
  <c r="D43" i="27"/>
  <c r="D42" i="27"/>
  <c r="D41" i="27"/>
  <c r="D40" i="27"/>
  <c r="D39" i="27"/>
  <c r="D38" i="27"/>
  <c r="D37" i="27"/>
  <c r="D36" i="27"/>
  <c r="D35" i="27"/>
  <c r="D33" i="27"/>
  <c r="D32" i="27"/>
  <c r="D31" i="27"/>
  <c r="D30" i="27"/>
  <c r="D29" i="27"/>
  <c r="D28" i="27"/>
  <c r="D27" i="27"/>
  <c r="D26" i="27"/>
  <c r="D25" i="27"/>
  <c r="D24" i="27"/>
  <c r="D23" i="27"/>
  <c r="D22" i="27"/>
  <c r="D20" i="27"/>
  <c r="D19" i="27"/>
  <c r="D18" i="27"/>
  <c r="D17" i="27"/>
  <c r="D16" i="27"/>
  <c r="D15" i="27"/>
  <c r="D14" i="27"/>
  <c r="D13" i="27"/>
  <c r="D12" i="27"/>
  <c r="D11" i="27"/>
  <c r="D10" i="27"/>
  <c r="D9" i="27"/>
  <c r="D533" i="27"/>
  <c r="D532" i="27"/>
  <c r="D531" i="27"/>
  <c r="D530" i="27"/>
  <c r="D529" i="27"/>
  <c r="D528" i="27"/>
  <c r="D527" i="27"/>
  <c r="D526" i="27"/>
  <c r="D525" i="27"/>
  <c r="D524" i="27"/>
  <c r="D523" i="27"/>
  <c r="D521" i="27"/>
  <c r="D520" i="27"/>
  <c r="D519" i="27"/>
  <c r="D518" i="27"/>
  <c r="D517" i="27"/>
  <c r="D516" i="27"/>
  <c r="D515" i="27"/>
  <c r="D514" i="27"/>
  <c r="D513" i="27"/>
  <c r="D512" i="27"/>
  <c r="D511" i="27"/>
  <c r="D510" i="27"/>
  <c r="D508" i="27"/>
  <c r="D507" i="27"/>
  <c r="D506" i="27"/>
  <c r="D505" i="27"/>
  <c r="D504" i="27"/>
  <c r="D503" i="27"/>
  <c r="D502" i="27"/>
  <c r="D501" i="27"/>
  <c r="D500" i="27"/>
  <c r="D499" i="27"/>
  <c r="D498" i="27"/>
  <c r="D497" i="27"/>
  <c r="D397" i="27"/>
  <c r="D396" i="27"/>
  <c r="D395" i="27"/>
  <c r="D394" i="27"/>
  <c r="D393" i="27"/>
  <c r="D392" i="27"/>
  <c r="D391" i="27"/>
  <c r="D390" i="27"/>
  <c r="D389" i="27"/>
  <c r="D388" i="27"/>
  <c r="D387" i="27"/>
  <c r="D386" i="27"/>
  <c r="D384" i="27"/>
  <c r="D383" i="27"/>
  <c r="D382" i="27"/>
  <c r="D381" i="27"/>
  <c r="D380" i="27"/>
  <c r="D379" i="27"/>
  <c r="D378" i="27"/>
  <c r="D377" i="27"/>
  <c r="D376" i="27"/>
  <c r="D375" i="27"/>
  <c r="D374" i="27"/>
  <c r="D373" i="27"/>
  <c r="D371" i="27"/>
  <c r="D370" i="27"/>
  <c r="D369" i="27"/>
  <c r="D368" i="27"/>
  <c r="D367" i="27"/>
  <c r="D366" i="27"/>
  <c r="D365" i="27"/>
  <c r="D364" i="27"/>
  <c r="D363" i="27"/>
  <c r="D362" i="27"/>
  <c r="D361" i="27"/>
  <c r="D360" i="27"/>
  <c r="D247" i="27"/>
  <c r="D246" i="27"/>
  <c r="D245" i="27"/>
  <c r="D244" i="27"/>
  <c r="D243" i="27"/>
  <c r="D242" i="27"/>
  <c r="D241" i="27"/>
  <c r="D240" i="27"/>
  <c r="D239" i="27"/>
  <c r="D238" i="27"/>
  <c r="D237" i="27"/>
  <c r="D236" i="27"/>
  <c r="D234" i="27"/>
  <c r="D233" i="27"/>
  <c r="D232" i="27"/>
  <c r="D231" i="27"/>
  <c r="D230" i="27"/>
  <c r="D229" i="27"/>
  <c r="D228" i="27"/>
  <c r="D227" i="27"/>
  <c r="D226" i="27"/>
  <c r="D225" i="27"/>
  <c r="D224" i="27"/>
  <c r="D223" i="27"/>
  <c r="D221" i="27"/>
  <c r="D220" i="27"/>
  <c r="D219" i="27"/>
  <c r="D218" i="27"/>
  <c r="D217" i="27"/>
  <c r="D216" i="27"/>
  <c r="D215" i="27"/>
  <c r="D214" i="27"/>
  <c r="D213" i="27"/>
  <c r="D212" i="27"/>
  <c r="D211" i="27"/>
  <c r="D210" i="27"/>
  <c r="D98" i="27"/>
  <c r="D96" i="27"/>
  <c r="D94" i="27"/>
  <c r="D93" i="27"/>
  <c r="D92" i="27"/>
  <c r="D91" i="27"/>
  <c r="D90" i="27"/>
  <c r="D89" i="27"/>
  <c r="D88" i="27"/>
  <c r="D87" i="27"/>
  <c r="D85" i="27"/>
  <c r="D84" i="27"/>
  <c r="D83" i="27"/>
  <c r="D80" i="27"/>
  <c r="D79" i="27"/>
  <c r="D78" i="27"/>
  <c r="D77" i="27"/>
  <c r="D76" i="27"/>
  <c r="D75" i="27"/>
  <c r="D74" i="27"/>
  <c r="D72" i="27"/>
  <c r="D71" i="27"/>
  <c r="D69" i="27"/>
  <c r="D68" i="27"/>
  <c r="D67" i="27"/>
  <c r="D66" i="27"/>
  <c r="D65" i="27"/>
  <c r="D64" i="27"/>
  <c r="D63" i="27"/>
  <c r="D62" i="27"/>
  <c r="D61" i="27"/>
  <c r="K5" i="27"/>
  <c r="K6" i="27"/>
  <c r="I6" i="27"/>
  <c r="H7" i="27"/>
  <c r="G7" i="27"/>
  <c r="F7" i="27"/>
  <c r="E6" i="27"/>
  <c r="E7" i="27"/>
  <c r="C5" i="27"/>
  <c r="C18" i="18"/>
  <c r="C13" i="18"/>
  <c r="C11" i="18"/>
  <c r="C24" i="18"/>
  <c r="C20" i="18"/>
  <c r="C31" i="18"/>
  <c r="C28" i="18"/>
  <c r="C26" i="18"/>
  <c r="C27" i="18"/>
  <c r="C21" i="18"/>
  <c r="C19" i="18"/>
  <c r="C17" i="18"/>
  <c r="C16" i="18"/>
  <c r="C15" i="18"/>
  <c r="C10" i="18"/>
  <c r="C9" i="18"/>
  <c r="C24" i="17"/>
  <c r="C35" i="17"/>
  <c r="C34" i="17"/>
  <c r="C33" i="17"/>
  <c r="C21" i="17"/>
  <c r="C19" i="17"/>
  <c r="C33" i="18"/>
  <c r="J5" i="7"/>
  <c r="I47" i="7"/>
  <c r="I45" i="7"/>
  <c r="I43" i="7"/>
  <c r="I39" i="7"/>
  <c r="I38" i="7"/>
  <c r="I37" i="7"/>
  <c r="I35" i="7"/>
  <c r="I33" i="7"/>
  <c r="I32" i="7"/>
  <c r="I31" i="7"/>
  <c r="I24" i="7"/>
  <c r="I22" i="7"/>
  <c r="I20" i="7"/>
  <c r="I16" i="7"/>
  <c r="I15" i="7"/>
  <c r="I13" i="7"/>
  <c r="I11" i="7"/>
  <c r="D39" i="20"/>
  <c r="C2" i="25"/>
  <c r="J5" i="25"/>
  <c r="C45" i="25"/>
  <c r="C44" i="25"/>
  <c r="C43" i="25"/>
  <c r="C42" i="25"/>
  <c r="C41" i="25"/>
  <c r="C37" i="25"/>
  <c r="C36" i="25"/>
  <c r="C35" i="25"/>
  <c r="C34" i="25"/>
  <c r="C33" i="25"/>
  <c r="C32" i="25"/>
  <c r="C31" i="25"/>
  <c r="C30" i="25"/>
  <c r="C29" i="25"/>
  <c r="C28" i="25"/>
  <c r="C27" i="25"/>
  <c r="C26" i="25"/>
  <c r="C25" i="25"/>
  <c r="C21" i="25"/>
  <c r="C17" i="25"/>
  <c r="C16" i="25"/>
  <c r="C15" i="25"/>
  <c r="C13" i="25"/>
  <c r="C10" i="25"/>
  <c r="C9" i="25"/>
  <c r="C2" i="24"/>
  <c r="L8" i="24"/>
  <c r="F19" i="24"/>
  <c r="E19" i="24"/>
  <c r="F18" i="24"/>
  <c r="E18" i="24"/>
  <c r="F17" i="24"/>
  <c r="I17" i="24"/>
  <c r="E17" i="24"/>
  <c r="F16" i="24"/>
  <c r="E16" i="24"/>
  <c r="F14" i="24"/>
  <c r="I14" i="24"/>
  <c r="E14" i="24"/>
  <c r="F13" i="24"/>
  <c r="K13" i="24"/>
  <c r="E13" i="24"/>
  <c r="D55" i="20"/>
  <c r="D54" i="20"/>
  <c r="D52" i="20"/>
  <c r="D51" i="20"/>
  <c r="D50" i="20"/>
  <c r="D49" i="20"/>
  <c r="D48" i="20"/>
  <c r="D47" i="20"/>
  <c r="D46" i="20"/>
  <c r="D45" i="20"/>
  <c r="D44" i="20"/>
  <c r="D43" i="20"/>
  <c r="R40" i="20"/>
  <c r="D31" i="20"/>
  <c r="D30" i="20"/>
  <c r="R7" i="20"/>
  <c r="D6" i="20"/>
  <c r="C42" i="19"/>
  <c r="C40" i="19"/>
  <c r="C36" i="19"/>
  <c r="C35" i="19"/>
  <c r="C34" i="19"/>
  <c r="C33" i="19"/>
  <c r="C32" i="19"/>
  <c r="C31" i="19"/>
  <c r="C30" i="19"/>
  <c r="C29" i="19"/>
  <c r="C28" i="19"/>
  <c r="C27" i="19"/>
  <c r="C26" i="19"/>
  <c r="C25" i="19"/>
  <c r="C24" i="19"/>
  <c r="C23" i="19"/>
  <c r="C22" i="19"/>
  <c r="C21" i="19"/>
  <c r="C20" i="19"/>
  <c r="C19" i="19"/>
  <c r="C15" i="19"/>
  <c r="C14" i="19"/>
  <c r="C13" i="19"/>
  <c r="C12" i="19"/>
  <c r="C11" i="19"/>
  <c r="C10" i="19"/>
  <c r="C9" i="19"/>
  <c r="I7" i="19"/>
  <c r="I5" i="19"/>
  <c r="C82" i="17"/>
  <c r="C81" i="17"/>
  <c r="C80" i="17"/>
  <c r="C78" i="17"/>
  <c r="C77" i="17"/>
  <c r="C76" i="17"/>
  <c r="C75" i="17"/>
  <c r="C74" i="17"/>
  <c r="C73" i="17"/>
  <c r="C72" i="17"/>
  <c r="C71" i="17"/>
  <c r="C70" i="17"/>
  <c r="C69" i="17"/>
  <c r="C68" i="17"/>
  <c r="C66" i="17"/>
  <c r="C64" i="17"/>
  <c r="C62" i="17"/>
  <c r="C61" i="17"/>
  <c r="C60" i="17"/>
  <c r="C59" i="17"/>
  <c r="C58" i="17"/>
  <c r="C57" i="17"/>
  <c r="C56" i="17"/>
  <c r="C55" i="17"/>
  <c r="C54" i="17"/>
  <c r="C53" i="17"/>
  <c r="C52" i="17"/>
  <c r="C51" i="17"/>
  <c r="C50" i="17"/>
  <c r="C49" i="17"/>
  <c r="C48" i="17"/>
  <c r="C47" i="17"/>
  <c r="C46" i="17"/>
  <c r="C45" i="17"/>
  <c r="C43" i="17"/>
  <c r="C41" i="17"/>
  <c r="C40" i="17"/>
  <c r="C39" i="17"/>
  <c r="C38" i="17"/>
  <c r="C36" i="17"/>
  <c r="C32" i="17"/>
  <c r="C31" i="17"/>
  <c r="C30" i="17"/>
  <c r="C29" i="17"/>
  <c r="C28" i="17"/>
  <c r="C27" i="17"/>
  <c r="C26" i="17"/>
  <c r="C23" i="17"/>
  <c r="C22" i="17"/>
  <c r="C18" i="17"/>
  <c r="C17" i="17"/>
  <c r="C16" i="17"/>
  <c r="C15" i="17"/>
  <c r="C14" i="17"/>
  <c r="C13" i="17"/>
  <c r="C12" i="17"/>
  <c r="C9" i="17"/>
  <c r="C8" i="17"/>
  <c r="G7" i="17"/>
  <c r="G5" i="17"/>
  <c r="C72" i="15"/>
  <c r="C71" i="15"/>
  <c r="C70" i="15"/>
  <c r="C68" i="15"/>
  <c r="C67" i="15"/>
  <c r="C66" i="15"/>
  <c r="C65" i="15"/>
  <c r="C64" i="15"/>
  <c r="C63" i="15"/>
  <c r="C61" i="15"/>
  <c r="C60" i="15"/>
  <c r="C59" i="15"/>
  <c r="C58" i="15"/>
  <c r="C56" i="15"/>
  <c r="C54" i="15"/>
  <c r="C52" i="15"/>
  <c r="C51" i="15"/>
  <c r="C50" i="15"/>
  <c r="C49" i="15"/>
  <c r="C48" i="15"/>
  <c r="C47" i="15"/>
  <c r="C46" i="15"/>
  <c r="C45" i="15"/>
  <c r="C44" i="15"/>
  <c r="C43" i="15"/>
  <c r="C42" i="15"/>
  <c r="C41" i="15"/>
  <c r="C40" i="15"/>
  <c r="C39" i="15"/>
  <c r="C38" i="15"/>
  <c r="C37" i="15"/>
  <c r="C36" i="15"/>
  <c r="C35" i="15"/>
  <c r="C34" i="15"/>
  <c r="C33" i="15"/>
  <c r="C32" i="15"/>
  <c r="C31" i="15"/>
  <c r="C29" i="15"/>
  <c r="C27" i="15"/>
  <c r="C26" i="15"/>
  <c r="C25" i="15"/>
  <c r="C24" i="15"/>
  <c r="C22" i="15"/>
  <c r="C21" i="15"/>
  <c r="C20" i="15"/>
  <c r="C19" i="15"/>
  <c r="C18" i="15"/>
  <c r="C17" i="15"/>
  <c r="C16" i="15"/>
  <c r="C15" i="15"/>
  <c r="C14" i="15"/>
  <c r="C13" i="15"/>
  <c r="C12" i="15"/>
  <c r="C11" i="15"/>
  <c r="C10" i="15"/>
  <c r="C9" i="15"/>
  <c r="C8" i="15"/>
  <c r="C83" i="14"/>
  <c r="C79" i="14"/>
  <c r="C78" i="14"/>
  <c r="C77" i="14"/>
  <c r="C75" i="14"/>
  <c r="C74" i="14"/>
  <c r="C73" i="14"/>
  <c r="C72" i="14"/>
  <c r="C70" i="14"/>
  <c r="C68" i="14"/>
  <c r="C66" i="14"/>
  <c r="C65" i="14"/>
  <c r="C64" i="14"/>
  <c r="C63" i="14"/>
  <c r="C62" i="14"/>
  <c r="C61" i="14"/>
  <c r="C60" i="14"/>
  <c r="C59" i="14"/>
  <c r="C58" i="14"/>
  <c r="C57" i="14"/>
  <c r="C56" i="14"/>
  <c r="C54" i="14"/>
  <c r="C53" i="14"/>
  <c r="C52" i="14"/>
  <c r="C48" i="14"/>
  <c r="C47" i="14"/>
  <c r="C46" i="14"/>
  <c r="C45" i="14"/>
  <c r="C44" i="14"/>
  <c r="C43" i="14"/>
  <c r="C41" i="14"/>
  <c r="C40" i="14"/>
  <c r="C39" i="14"/>
  <c r="C38" i="14"/>
  <c r="C37" i="14"/>
  <c r="C36" i="14"/>
  <c r="C35" i="14"/>
  <c r="C34" i="14"/>
  <c r="C32" i="14"/>
  <c r="C30" i="14"/>
  <c r="C29" i="14"/>
  <c r="C28" i="14"/>
  <c r="C27" i="14"/>
  <c r="C26" i="14"/>
  <c r="C23" i="14"/>
  <c r="C22" i="14"/>
  <c r="C19" i="14"/>
  <c r="C18" i="14"/>
  <c r="C15" i="14"/>
  <c r="C14" i="14"/>
  <c r="C13" i="14"/>
  <c r="C12" i="14"/>
  <c r="C11" i="14"/>
  <c r="C10" i="14"/>
  <c r="C9" i="14"/>
  <c r="C56" i="13"/>
  <c r="C53" i="13"/>
  <c r="C51" i="13"/>
  <c r="C50" i="13"/>
  <c r="C49" i="13"/>
  <c r="C47" i="13"/>
  <c r="C45" i="13"/>
  <c r="I43" i="13"/>
  <c r="C43" i="13"/>
  <c r="C42" i="13"/>
  <c r="C41" i="13"/>
  <c r="C40" i="13"/>
  <c r="C39" i="13"/>
  <c r="C38" i="13"/>
  <c r="C37" i="13"/>
  <c r="C36" i="13"/>
  <c r="C35" i="13"/>
  <c r="C34" i="13"/>
  <c r="C33" i="13"/>
  <c r="C32" i="13"/>
  <c r="C31" i="13"/>
  <c r="C30" i="13"/>
  <c r="C29" i="13"/>
  <c r="C27" i="13"/>
  <c r="C25" i="13"/>
  <c r="C24" i="13"/>
  <c r="C23" i="13"/>
  <c r="C22" i="13"/>
  <c r="C21" i="13"/>
  <c r="C20" i="13"/>
  <c r="C19" i="13"/>
  <c r="C18" i="13"/>
  <c r="C17" i="13"/>
  <c r="C16" i="13"/>
  <c r="C15" i="13"/>
  <c r="C14" i="13"/>
  <c r="C13" i="13"/>
  <c r="C12" i="13"/>
  <c r="C11" i="13"/>
  <c r="C10" i="13"/>
  <c r="C9" i="13"/>
  <c r="C8" i="13"/>
  <c r="C88" i="12"/>
  <c r="C78" i="12"/>
  <c r="C75" i="12"/>
  <c r="C73" i="12"/>
  <c r="C72" i="12"/>
  <c r="I71" i="12"/>
  <c r="C71" i="12"/>
  <c r="I70" i="12"/>
  <c r="C70" i="12"/>
  <c r="C69" i="12"/>
  <c r="C68" i="12"/>
  <c r="C66" i="12"/>
  <c r="C65" i="12"/>
  <c r="C64" i="12"/>
  <c r="C63" i="12"/>
  <c r="C61" i="12"/>
  <c r="C59" i="12"/>
  <c r="C57" i="12"/>
  <c r="I56" i="12"/>
  <c r="C56" i="12"/>
  <c r="I55" i="12"/>
  <c r="C55" i="12"/>
  <c r="I54" i="12"/>
  <c r="C54" i="12"/>
  <c r="I53" i="12"/>
  <c r="C53" i="12"/>
  <c r="I52" i="12"/>
  <c r="C52" i="12"/>
  <c r="G51" i="12"/>
  <c r="I51" i="12"/>
  <c r="F51" i="12"/>
  <c r="C51" i="12"/>
  <c r="I50" i="12"/>
  <c r="C50" i="12"/>
  <c r="C49" i="12"/>
  <c r="C48" i="12"/>
  <c r="I47" i="12"/>
  <c r="C47" i="12"/>
  <c r="I46" i="12"/>
  <c r="C46" i="12"/>
  <c r="I45" i="12"/>
  <c r="C45" i="12"/>
  <c r="I44" i="12"/>
  <c r="C44" i="12"/>
  <c r="I43" i="12"/>
  <c r="C43" i="12"/>
  <c r="I42" i="12"/>
  <c r="C42" i="12"/>
  <c r="G41" i="12"/>
  <c r="F41" i="12"/>
  <c r="C41" i="12"/>
  <c r="I40" i="12"/>
  <c r="C40" i="12"/>
  <c r="I39" i="12"/>
  <c r="C39" i="12"/>
  <c r="I38" i="12"/>
  <c r="C38" i="12"/>
  <c r="I37" i="12"/>
  <c r="C37" i="12"/>
  <c r="I36" i="12"/>
  <c r="C36" i="12"/>
  <c r="G35" i="12"/>
  <c r="H35" i="12"/>
  <c r="C35" i="12"/>
  <c r="C34" i="12"/>
  <c r="C32" i="12"/>
  <c r="C30" i="12"/>
  <c r="I29" i="12"/>
  <c r="C29" i="12"/>
  <c r="I28" i="12"/>
  <c r="C28" i="12"/>
  <c r="I27" i="12"/>
  <c r="C27" i="12"/>
  <c r="I26" i="12"/>
  <c r="C26" i="12"/>
  <c r="I25" i="12"/>
  <c r="C25" i="12"/>
  <c r="G24" i="12"/>
  <c r="I24" i="12"/>
  <c r="F24" i="12"/>
  <c r="C24" i="12"/>
  <c r="I23" i="12"/>
  <c r="C23" i="12"/>
  <c r="C22" i="12"/>
  <c r="C21" i="12"/>
  <c r="I20" i="12"/>
  <c r="C20" i="12"/>
  <c r="I19" i="12"/>
  <c r="C19" i="12"/>
  <c r="I18" i="12"/>
  <c r="C18" i="12"/>
  <c r="I17" i="12"/>
  <c r="C17" i="12"/>
  <c r="C16" i="12"/>
  <c r="C15" i="12"/>
  <c r="I14" i="12"/>
  <c r="C14" i="12"/>
  <c r="I13" i="12"/>
  <c r="C13" i="12"/>
  <c r="I12" i="12"/>
  <c r="C12" i="12"/>
  <c r="I11" i="12"/>
  <c r="C11" i="12"/>
  <c r="G10" i="12"/>
  <c r="G9" i="12"/>
  <c r="F10" i="12"/>
  <c r="F9" i="12"/>
  <c r="C10" i="12"/>
  <c r="C9" i="12"/>
  <c r="C78" i="11"/>
  <c r="C75" i="11"/>
  <c r="C73" i="11"/>
  <c r="C72" i="11"/>
  <c r="I71" i="11"/>
  <c r="C71" i="11"/>
  <c r="I70" i="11"/>
  <c r="C70" i="11"/>
  <c r="C69" i="11"/>
  <c r="C68" i="11"/>
  <c r="C66" i="11"/>
  <c r="C65" i="11"/>
  <c r="C64" i="11"/>
  <c r="C63" i="11"/>
  <c r="C61" i="11"/>
  <c r="C59" i="11"/>
  <c r="C57" i="11"/>
  <c r="I56" i="11"/>
  <c r="C56" i="11"/>
  <c r="C55" i="11"/>
  <c r="I54" i="11"/>
  <c r="C54" i="11"/>
  <c r="C53" i="11"/>
  <c r="C52" i="11"/>
  <c r="C51" i="11"/>
  <c r="I50" i="11"/>
  <c r="C50" i="11"/>
  <c r="C49" i="11"/>
  <c r="C48" i="11"/>
  <c r="I47" i="11"/>
  <c r="C47" i="11"/>
  <c r="I46" i="11"/>
  <c r="C46" i="11"/>
  <c r="C45" i="11"/>
  <c r="I44" i="11"/>
  <c r="C44" i="11"/>
  <c r="C43" i="11"/>
  <c r="I42" i="11"/>
  <c r="C42" i="11"/>
  <c r="C41" i="11"/>
  <c r="I40" i="11"/>
  <c r="C40" i="11"/>
  <c r="I39" i="11"/>
  <c r="C39" i="11"/>
  <c r="I38" i="11"/>
  <c r="C38" i="11"/>
  <c r="I37" i="11"/>
  <c r="C37" i="11"/>
  <c r="I36" i="11"/>
  <c r="C36" i="11"/>
  <c r="G35" i="11"/>
  <c r="F35" i="11"/>
  <c r="C35" i="11"/>
  <c r="C34" i="11"/>
  <c r="C32" i="11"/>
  <c r="C30" i="11"/>
  <c r="I29" i="11"/>
  <c r="C29" i="11"/>
  <c r="I28" i="11"/>
  <c r="C28" i="11"/>
  <c r="I27" i="11"/>
  <c r="C27" i="11"/>
  <c r="I26" i="11"/>
  <c r="C26" i="11"/>
  <c r="I25" i="11"/>
  <c r="C25" i="11"/>
  <c r="G24" i="11"/>
  <c r="F24" i="11"/>
  <c r="I24" i="11"/>
  <c r="C24" i="11"/>
  <c r="I23" i="11"/>
  <c r="C23" i="11"/>
  <c r="C22" i="11"/>
  <c r="C21" i="11"/>
  <c r="I20" i="11"/>
  <c r="C20" i="11"/>
  <c r="I19" i="11"/>
  <c r="C19" i="11"/>
  <c r="I18" i="11"/>
  <c r="C18" i="11"/>
  <c r="I17" i="11"/>
  <c r="C17" i="11"/>
  <c r="I16" i="11"/>
  <c r="C16" i="11"/>
  <c r="C15" i="11"/>
  <c r="I14" i="11"/>
  <c r="C14" i="11"/>
  <c r="I13" i="11"/>
  <c r="C13" i="11"/>
  <c r="I12" i="11"/>
  <c r="C12" i="11"/>
  <c r="I11" i="11"/>
  <c r="C11" i="11"/>
  <c r="G10" i="11"/>
  <c r="F10" i="11"/>
  <c r="F9" i="11"/>
  <c r="C10" i="11"/>
  <c r="C9" i="11"/>
  <c r="C74" i="10"/>
  <c r="C70" i="10"/>
  <c r="I68" i="10"/>
  <c r="C68" i="10"/>
  <c r="I67" i="10"/>
  <c r="C67" i="10"/>
  <c r="I66" i="10"/>
  <c r="C66" i="10"/>
  <c r="I65" i="10"/>
  <c r="C65" i="10"/>
  <c r="C64" i="10"/>
  <c r="C63" i="10"/>
  <c r="C62" i="10"/>
  <c r="C60" i="10"/>
  <c r="I59" i="10"/>
  <c r="C59" i="10"/>
  <c r="I58" i="10"/>
  <c r="C58" i="10"/>
  <c r="I57" i="10"/>
  <c r="C57" i="10"/>
  <c r="I56" i="10"/>
  <c r="C56" i="10"/>
  <c r="I55" i="10"/>
  <c r="C55" i="10"/>
  <c r="C54" i="10"/>
  <c r="C53" i="10"/>
  <c r="C51" i="10"/>
  <c r="I50" i="10"/>
  <c r="C50" i="10"/>
  <c r="I49" i="10"/>
  <c r="C49" i="10"/>
  <c r="I48" i="10"/>
  <c r="C48" i="10"/>
  <c r="I47" i="10"/>
  <c r="C47" i="10"/>
  <c r="I46" i="10"/>
  <c r="C46" i="10"/>
  <c r="C45" i="10"/>
  <c r="I44" i="10"/>
  <c r="C44" i="10"/>
  <c r="I43" i="10"/>
  <c r="C43" i="10"/>
  <c r="I42" i="10"/>
  <c r="C42" i="10"/>
  <c r="I41" i="10"/>
  <c r="C41" i="10"/>
  <c r="I40" i="10"/>
  <c r="C40" i="10"/>
  <c r="C39" i="10"/>
  <c r="I38" i="10"/>
  <c r="C38" i="10"/>
  <c r="I37" i="10"/>
  <c r="C37" i="10"/>
  <c r="I36" i="10"/>
  <c r="C36" i="10"/>
  <c r="G35" i="10"/>
  <c r="H35" i="10"/>
  <c r="C35" i="10"/>
  <c r="I34" i="10"/>
  <c r="C34" i="10"/>
  <c r="I33" i="10"/>
  <c r="C33" i="10"/>
  <c r="I32" i="10"/>
  <c r="C32" i="10"/>
  <c r="I31" i="10"/>
  <c r="C31" i="10"/>
  <c r="C30" i="10"/>
  <c r="C29" i="10"/>
  <c r="C28" i="10"/>
  <c r="I26" i="10"/>
  <c r="C26" i="10"/>
  <c r="I25" i="10"/>
  <c r="C25" i="10"/>
  <c r="G24" i="10"/>
  <c r="F24" i="10"/>
  <c r="F13" i="9"/>
  <c r="C24" i="10"/>
  <c r="I22" i="10"/>
  <c r="C22" i="10"/>
  <c r="I21" i="10"/>
  <c r="C21" i="10"/>
  <c r="I20" i="10"/>
  <c r="C20" i="10"/>
  <c r="I19" i="10"/>
  <c r="C19" i="10"/>
  <c r="I18" i="10"/>
  <c r="C18" i="10"/>
  <c r="I17" i="10"/>
  <c r="C17" i="10"/>
  <c r="I16" i="10"/>
  <c r="C16" i="10"/>
  <c r="I15" i="10"/>
  <c r="C14" i="10"/>
  <c r="I13" i="10"/>
  <c r="C13" i="10"/>
  <c r="I12" i="10"/>
  <c r="C12" i="10"/>
  <c r="C11" i="10"/>
  <c r="C10" i="10"/>
  <c r="C9" i="10"/>
  <c r="I7" i="10"/>
  <c r="G6" i="10"/>
  <c r="C78" i="9"/>
  <c r="C72" i="9"/>
  <c r="C71" i="9"/>
  <c r="C70" i="9"/>
  <c r="C69" i="9"/>
  <c r="C68" i="9"/>
  <c r="C66" i="9"/>
  <c r="C65" i="9"/>
  <c r="C64" i="9"/>
  <c r="C63" i="9"/>
  <c r="C61" i="9"/>
  <c r="C59" i="9"/>
  <c r="C57" i="9"/>
  <c r="I56" i="9"/>
  <c r="C56" i="9"/>
  <c r="I55" i="9"/>
  <c r="C55" i="9"/>
  <c r="I54" i="9"/>
  <c r="C54" i="9"/>
  <c r="I53" i="9"/>
  <c r="C53" i="9"/>
  <c r="I52" i="9"/>
  <c r="C52" i="9"/>
  <c r="G51" i="9"/>
  <c r="F51" i="9"/>
  <c r="C51" i="9"/>
  <c r="I50" i="9"/>
  <c r="C50" i="9"/>
  <c r="C49" i="9"/>
  <c r="C48" i="9"/>
  <c r="I47" i="9"/>
  <c r="C47" i="9"/>
  <c r="I46" i="9"/>
  <c r="C46" i="9"/>
  <c r="I45" i="9"/>
  <c r="C45" i="9"/>
  <c r="I44" i="9"/>
  <c r="C44" i="9"/>
  <c r="I43" i="9"/>
  <c r="C43" i="9"/>
  <c r="I42" i="9"/>
  <c r="C42" i="9"/>
  <c r="G41" i="9"/>
  <c r="F41" i="9"/>
  <c r="C41" i="9"/>
  <c r="I40" i="9"/>
  <c r="C40" i="9"/>
  <c r="I39" i="9"/>
  <c r="C39" i="9"/>
  <c r="I38" i="9"/>
  <c r="C38" i="9"/>
  <c r="I37" i="9"/>
  <c r="C37" i="9"/>
  <c r="I36" i="9"/>
  <c r="C36" i="9"/>
  <c r="G35" i="9"/>
  <c r="F35" i="9"/>
  <c r="C35" i="9"/>
  <c r="C34" i="9"/>
  <c r="C32" i="9"/>
  <c r="C30" i="9"/>
  <c r="C29" i="9"/>
  <c r="C28" i="9"/>
  <c r="C27" i="9"/>
  <c r="C26" i="9"/>
  <c r="C25" i="9"/>
  <c r="C24" i="9"/>
  <c r="C23" i="9"/>
  <c r="C22" i="9"/>
  <c r="C21" i="9"/>
  <c r="C20" i="9"/>
  <c r="C19" i="9"/>
  <c r="C18" i="9"/>
  <c r="C17" i="9"/>
  <c r="C16" i="9"/>
  <c r="C15" i="9"/>
  <c r="C14" i="9"/>
  <c r="C13" i="9"/>
  <c r="C12" i="9"/>
  <c r="C11" i="9"/>
  <c r="C10" i="9"/>
  <c r="C9" i="9"/>
  <c r="C61" i="8"/>
  <c r="C56" i="8"/>
  <c r="C55" i="8"/>
  <c r="C54" i="8"/>
  <c r="C53" i="8"/>
  <c r="C52" i="8"/>
  <c r="C51" i="8"/>
  <c r="C49" i="8"/>
  <c r="C47" i="8"/>
  <c r="I46" i="8"/>
  <c r="C46" i="8"/>
  <c r="I45" i="8"/>
  <c r="C45" i="8"/>
  <c r="I44" i="8"/>
  <c r="C44" i="8"/>
  <c r="G43" i="8"/>
  <c r="I43" i="8"/>
  <c r="F43" i="8"/>
  <c r="C43" i="8"/>
  <c r="I42" i="8"/>
  <c r="C42" i="8"/>
  <c r="C41" i="8"/>
  <c r="C40" i="8"/>
  <c r="I39" i="8"/>
  <c r="C39" i="8"/>
  <c r="I38" i="8"/>
  <c r="C38" i="8"/>
  <c r="I37" i="8"/>
  <c r="C37" i="8"/>
  <c r="I36" i="8"/>
  <c r="C36" i="8"/>
  <c r="G35" i="8"/>
  <c r="I35" i="8"/>
  <c r="F35" i="8"/>
  <c r="C35" i="8"/>
  <c r="I34" i="8"/>
  <c r="C34" i="8"/>
  <c r="I33" i="8"/>
  <c r="C33" i="8"/>
  <c r="I32" i="8"/>
  <c r="C32" i="8"/>
  <c r="I31" i="8"/>
  <c r="C31" i="8"/>
  <c r="I30" i="8"/>
  <c r="C30" i="8"/>
  <c r="G29" i="8"/>
  <c r="G28" i="8"/>
  <c r="F29" i="8"/>
  <c r="C29" i="8"/>
  <c r="C28" i="8"/>
  <c r="C26" i="8"/>
  <c r="C24" i="8"/>
  <c r="I23" i="8"/>
  <c r="C23" i="8"/>
  <c r="I22" i="8"/>
  <c r="C22" i="8"/>
  <c r="I21" i="8"/>
  <c r="C21" i="8"/>
  <c r="G20" i="8"/>
  <c r="F20" i="8"/>
  <c r="C20" i="8"/>
  <c r="I19" i="8"/>
  <c r="C19" i="8"/>
  <c r="C18" i="8"/>
  <c r="C17" i="8"/>
  <c r="I16" i="8"/>
  <c r="C16" i="8"/>
  <c r="I15" i="8"/>
  <c r="C15" i="8"/>
  <c r="I14" i="8"/>
  <c r="C14" i="8"/>
  <c r="G13" i="8"/>
  <c r="G8" i="8"/>
  <c r="F13" i="8"/>
  <c r="C13" i="8"/>
  <c r="I12" i="8"/>
  <c r="I11" i="8"/>
  <c r="C11" i="8"/>
  <c r="I10" i="8"/>
  <c r="C10" i="8"/>
  <c r="G9" i="8"/>
  <c r="H9" i="8"/>
  <c r="F9" i="8"/>
  <c r="C9" i="8"/>
  <c r="C8" i="8"/>
  <c r="C61" i="7"/>
  <c r="C60" i="7"/>
  <c r="C59" i="7"/>
  <c r="C58" i="7"/>
  <c r="C57" i="7"/>
  <c r="C56" i="7"/>
  <c r="C55" i="7"/>
  <c r="C54" i="7"/>
  <c r="C52" i="7"/>
  <c r="C50" i="7"/>
  <c r="C48" i="7"/>
  <c r="C47" i="7"/>
  <c r="I46" i="7"/>
  <c r="C46" i="7"/>
  <c r="C45" i="7"/>
  <c r="G44" i="7"/>
  <c r="G42" i="7"/>
  <c r="F44" i="7"/>
  <c r="F42" i="7"/>
  <c r="F50" i="7"/>
  <c r="C44" i="7"/>
  <c r="C43" i="7"/>
  <c r="C42" i="7"/>
  <c r="C41" i="7"/>
  <c r="I40" i="7"/>
  <c r="C40" i="7"/>
  <c r="C39" i="7"/>
  <c r="C38" i="7"/>
  <c r="C37" i="7"/>
  <c r="G36" i="7"/>
  <c r="H36" i="7"/>
  <c r="F36" i="7"/>
  <c r="C36" i="7"/>
  <c r="I34" i="7"/>
  <c r="C34" i="7"/>
  <c r="C33" i="7"/>
  <c r="C32" i="7"/>
  <c r="C31" i="7"/>
  <c r="G30" i="7"/>
  <c r="H30" i="7"/>
  <c r="F30" i="7"/>
  <c r="E12" i="24"/>
  <c r="C30" i="7"/>
  <c r="C29" i="7"/>
  <c r="C27" i="7"/>
  <c r="C25" i="7"/>
  <c r="C24" i="7"/>
  <c r="I23" i="7"/>
  <c r="C23" i="7"/>
  <c r="C22" i="7"/>
  <c r="G21" i="7"/>
  <c r="H21" i="7"/>
  <c r="F21" i="7"/>
  <c r="F19" i="7"/>
  <c r="C21" i="7"/>
  <c r="C20" i="7"/>
  <c r="C19" i="7"/>
  <c r="C18" i="7"/>
  <c r="I17" i="7"/>
  <c r="C17" i="7"/>
  <c r="C16" i="7"/>
  <c r="C15" i="7"/>
  <c r="C14" i="7"/>
  <c r="C13" i="7"/>
  <c r="I12" i="7"/>
  <c r="C12" i="7"/>
  <c r="C11" i="7"/>
  <c r="G10" i="7"/>
  <c r="H10" i="7"/>
  <c r="F10" i="7"/>
  <c r="C10" i="7"/>
  <c r="C9" i="7"/>
  <c r="I7" i="7"/>
  <c r="C2" i="6"/>
  <c r="C7" i="4"/>
  <c r="C6" i="4"/>
  <c r="G4" i="4"/>
  <c r="I16" i="12"/>
  <c r="Q10" i="28"/>
  <c r="G15" i="28"/>
  <c r="H31" i="28"/>
  <c r="J15" i="28"/>
  <c r="I23" i="13"/>
  <c r="I45" i="11"/>
  <c r="F41" i="11"/>
  <c r="F51" i="11"/>
  <c r="F49" i="11"/>
  <c r="I49" i="11"/>
  <c r="G51" i="11"/>
  <c r="I51" i="11"/>
  <c r="I55" i="11"/>
  <c r="I43" i="11"/>
  <c r="G41" i="11"/>
  <c r="I41" i="11"/>
  <c r="I53" i="11"/>
  <c r="I52" i="11"/>
  <c r="AE27" i="28"/>
  <c r="S30" i="28"/>
  <c r="S29" i="28"/>
  <c r="S25" i="28"/>
  <c r="G20" i="15"/>
  <c r="AH31" i="28"/>
  <c r="G11" i="9"/>
  <c r="H11" i="9"/>
  <c r="H10" i="10"/>
  <c r="G12" i="9"/>
  <c r="H14" i="10"/>
  <c r="H73" i="33"/>
  <c r="Y18" i="28"/>
  <c r="I13" i="8"/>
  <c r="W29" i="28"/>
  <c r="W25" i="28"/>
  <c r="W41" i="28"/>
  <c r="W100" i="28"/>
  <c r="I45" i="10"/>
  <c r="G9" i="10"/>
  <c r="X36" i="28"/>
  <c r="X34" i="28"/>
  <c r="G12" i="28"/>
  <c r="R12" i="28"/>
  <c r="R8" i="28"/>
  <c r="AG18" i="28"/>
  <c r="AG16" i="28"/>
  <c r="J36" i="28"/>
  <c r="J34" i="28"/>
  <c r="AF18" i="28"/>
  <c r="L12" i="28"/>
  <c r="L8" i="28"/>
  <c r="G16" i="25"/>
  <c r="G20" i="9"/>
  <c r="H20" i="9"/>
  <c r="G9" i="7"/>
  <c r="H9" i="7"/>
  <c r="Z18" i="28"/>
  <c r="Z16" i="28"/>
  <c r="G36" i="28"/>
  <c r="G34" i="28"/>
  <c r="AE18" i="28"/>
  <c r="AE16" i="28"/>
  <c r="N12" i="28"/>
  <c r="N8" i="28"/>
  <c r="N36" i="28"/>
  <c r="N34" i="28"/>
  <c r="Y36" i="28"/>
  <c r="Y34" i="28"/>
  <c r="O12" i="28"/>
  <c r="O8" i="28"/>
  <c r="W12" i="28"/>
  <c r="W8" i="28"/>
  <c r="P36" i="28"/>
  <c r="P34" i="28"/>
  <c r="AA36" i="28"/>
  <c r="AA34" i="28"/>
  <c r="F8" i="8"/>
  <c r="I19" i="9"/>
  <c r="K36" i="28"/>
  <c r="L36" i="28"/>
  <c r="L34" i="28"/>
  <c r="W36" i="28"/>
  <c r="W34" i="28"/>
  <c r="H15" i="34"/>
  <c r="N14" i="34"/>
  <c r="V29" i="28"/>
  <c r="V25" i="28"/>
  <c r="V41" i="28"/>
  <c r="AA12" i="28"/>
  <c r="AE36" i="28"/>
  <c r="AE34" i="28"/>
  <c r="Z29" i="28"/>
  <c r="Z25" i="28"/>
  <c r="AF36" i="28"/>
  <c r="AF34" i="28"/>
  <c r="R18" i="28"/>
  <c r="R16" i="28"/>
  <c r="AC18" i="28"/>
  <c r="AC16" i="28"/>
  <c r="AG12" i="28"/>
  <c r="AG8" i="28"/>
  <c r="T9" i="28"/>
  <c r="O29" i="28"/>
  <c r="O25" i="28"/>
  <c r="V12" i="28"/>
  <c r="V8" i="28"/>
  <c r="V23" i="28"/>
  <c r="I18" i="28"/>
  <c r="I16" i="28"/>
  <c r="I30" i="10"/>
  <c r="I18" i="24"/>
  <c r="K18" i="24"/>
  <c r="F29" i="7"/>
  <c r="I18" i="9"/>
  <c r="H29" i="28"/>
  <c r="L18" i="28"/>
  <c r="L16" i="28"/>
  <c r="L29" i="28"/>
  <c r="AH9" i="28"/>
  <c r="N29" i="28"/>
  <c r="N25" i="28"/>
  <c r="AH38" i="28"/>
  <c r="AH36" i="28"/>
  <c r="AH33" i="28"/>
  <c r="R36" i="28"/>
  <c r="D17" i="25"/>
  <c r="G17" i="25"/>
  <c r="I17" i="25"/>
  <c r="I30" i="13"/>
  <c r="F41" i="8"/>
  <c r="G18" i="8"/>
  <c r="I15" i="11"/>
  <c r="I28" i="9"/>
  <c r="T15" i="28"/>
  <c r="T30" i="28"/>
  <c r="T29" i="28"/>
  <c r="AH27" i="28"/>
  <c r="M18" i="28"/>
  <c r="AH30" i="28"/>
  <c r="AA18" i="28"/>
  <c r="AA16" i="28"/>
  <c r="I14" i="10"/>
  <c r="I26" i="9"/>
  <c r="I44" i="7"/>
  <c r="F28" i="8"/>
  <c r="H18" i="28"/>
  <c r="H16" i="28"/>
  <c r="T27" i="28"/>
  <c r="J27" i="28"/>
  <c r="J25" i="28"/>
  <c r="J41" i="28"/>
  <c r="I71" i="9"/>
  <c r="F20" i="9"/>
  <c r="D10" i="25"/>
  <c r="G34" i="9"/>
  <c r="I41" i="9"/>
  <c r="G22" i="11"/>
  <c r="I23" i="9"/>
  <c r="I24" i="13"/>
  <c r="G29" i="13"/>
  <c r="G45" i="13"/>
  <c r="K12" i="28"/>
  <c r="R29" i="28"/>
  <c r="R25" i="28"/>
  <c r="O18" i="28"/>
  <c r="O16" i="28"/>
  <c r="W18" i="28"/>
  <c r="W16" i="28"/>
  <c r="W47" i="28"/>
  <c r="M29" i="28"/>
  <c r="Q36" i="28"/>
  <c r="Q34" i="28"/>
  <c r="Y16" i="28"/>
  <c r="I12" i="28"/>
  <c r="J29" i="28"/>
  <c r="X29" i="28"/>
  <c r="M36" i="28"/>
  <c r="M34" i="28"/>
  <c r="X12" i="28"/>
  <c r="X8" i="28"/>
  <c r="AC29" i="28"/>
  <c r="Z12" i="28"/>
  <c r="Z8" i="28"/>
  <c r="Z36" i="28"/>
  <c r="Z34" i="28"/>
  <c r="AC12" i="28"/>
  <c r="AD36" i="28"/>
  <c r="AD34" i="28"/>
  <c r="AF12" i="28"/>
  <c r="AF8" i="28"/>
  <c r="T12" i="28"/>
  <c r="P18" i="28"/>
  <c r="P16" i="28"/>
  <c r="P47" i="28"/>
  <c r="I36" i="28"/>
  <c r="I34" i="28"/>
  <c r="H12" i="28"/>
  <c r="P12" i="28"/>
  <c r="K18" i="28"/>
  <c r="K16" i="28"/>
  <c r="Q29" i="28"/>
  <c r="Q25" i="28"/>
  <c r="F67" i="33"/>
  <c r="F73" i="33" s="1"/>
  <c r="F85" i="33" s="1"/>
  <c r="E83" i="33"/>
  <c r="E38" i="30"/>
  <c r="G38" i="30"/>
  <c r="H18" i="9"/>
  <c r="D24" i="9"/>
  <c r="D22" i="9"/>
  <c r="D65" i="9"/>
  <c r="H26" i="9"/>
  <c r="E8" i="15"/>
  <c r="E29" i="15"/>
  <c r="H14" i="15"/>
  <c r="H47" i="15"/>
  <c r="C5" i="9"/>
  <c r="D152" i="37"/>
  <c r="E31" i="37"/>
  <c r="H29" i="9"/>
  <c r="I29" i="9"/>
  <c r="E64" i="12"/>
  <c r="F49" i="12"/>
  <c r="F138" i="37"/>
  <c r="F165" i="37"/>
  <c r="G22" i="12"/>
  <c r="H24" i="12"/>
  <c r="D161" i="37"/>
  <c r="E130" i="37"/>
  <c r="C5" i="13"/>
  <c r="H17" i="13"/>
  <c r="I17" i="13"/>
  <c r="I54" i="10"/>
  <c r="F52" i="10"/>
  <c r="I52" i="10"/>
  <c r="E64" i="11"/>
  <c r="C6" i="33"/>
  <c r="I27" i="9"/>
  <c r="F24" i="9"/>
  <c r="F22" i="9"/>
  <c r="C6" i="35"/>
  <c r="C5" i="12"/>
  <c r="C64" i="6"/>
  <c r="C5" i="31"/>
  <c r="C5" i="30"/>
  <c r="C5" i="11"/>
  <c r="C5" i="19"/>
  <c r="C5" i="17"/>
  <c r="C5" i="34"/>
  <c r="C5" i="18"/>
  <c r="C5" i="15"/>
  <c r="C5" i="10"/>
  <c r="C5" i="6"/>
  <c r="C4" i="8"/>
  <c r="C8" i="24" s="1"/>
  <c r="C5" i="14"/>
  <c r="H41" i="12"/>
  <c r="I41" i="12"/>
  <c r="D32" i="11"/>
  <c r="D64" i="11"/>
  <c r="C5" i="20"/>
  <c r="I35" i="10"/>
  <c r="G29" i="10"/>
  <c r="G28" i="10"/>
  <c r="C73" i="15"/>
  <c r="R43" i="20"/>
  <c r="E12" i="9"/>
  <c r="E29" i="10"/>
  <c r="E28" i="10"/>
  <c r="H16" i="9"/>
  <c r="K17" i="24"/>
  <c r="F15" i="24"/>
  <c r="G29" i="7"/>
  <c r="H29" i="7"/>
  <c r="I30" i="7"/>
  <c r="I36" i="7"/>
  <c r="K14" i="24"/>
  <c r="F29" i="13"/>
  <c r="I29" i="13"/>
  <c r="I15" i="12"/>
  <c r="F49" i="9"/>
  <c r="G49" i="9"/>
  <c r="F49" i="8"/>
  <c r="J31" i="8"/>
  <c r="I9" i="8"/>
  <c r="F9" i="10"/>
  <c r="I9" i="10"/>
  <c r="F11" i="9"/>
  <c r="I11" i="9"/>
  <c r="G10" i="9"/>
  <c r="AG29" i="28"/>
  <c r="AG25" i="28"/>
  <c r="Q41" i="28"/>
  <c r="I47" i="28"/>
  <c r="H25" i="28"/>
  <c r="AB8" i="28"/>
  <c r="I29" i="28"/>
  <c r="I25" i="28"/>
  <c r="I41" i="28"/>
  <c r="H36" i="28"/>
  <c r="H34" i="28"/>
  <c r="H47" i="28"/>
  <c r="AG34" i="28"/>
  <c r="AG47" i="28"/>
  <c r="H8" i="28"/>
  <c r="I8" i="28"/>
  <c r="G16" i="28"/>
  <c r="G47" i="28"/>
  <c r="V18" i="28"/>
  <c r="V16" i="28"/>
  <c r="V47" i="28"/>
  <c r="G25" i="28"/>
  <c r="Z41" i="28"/>
  <c r="G8" i="28"/>
  <c r="Z46" i="28"/>
  <c r="AB29" i="28"/>
  <c r="E20" i="37"/>
  <c r="AD29" i="28"/>
  <c r="AD25" i="28"/>
  <c r="G34" i="25"/>
  <c r="I34" i="25"/>
  <c r="G31" i="25"/>
  <c r="I31" i="25"/>
  <c r="AD12" i="28"/>
  <c r="AD8" i="28"/>
  <c r="AD23" i="28"/>
  <c r="F45" i="13"/>
  <c r="H24" i="13"/>
  <c r="H11" i="13"/>
  <c r="D157" i="37"/>
  <c r="E88" i="37"/>
  <c r="D148" i="37"/>
  <c r="E26" i="37"/>
  <c r="E69" i="37"/>
  <c r="E78" i="37"/>
  <c r="E15" i="24"/>
  <c r="F12" i="24"/>
  <c r="F22" i="24"/>
  <c r="F21" i="24"/>
  <c r="G19" i="7"/>
  <c r="G27" i="7"/>
  <c r="I14" i="7"/>
  <c r="I9" i="7"/>
  <c r="H19" i="9"/>
  <c r="E15" i="9"/>
  <c r="G24" i="9"/>
  <c r="H34" i="9"/>
  <c r="H27" i="9"/>
  <c r="E10" i="9"/>
  <c r="E9" i="9"/>
  <c r="G49" i="12"/>
  <c r="I49" i="12"/>
  <c r="F34" i="12"/>
  <c r="I35" i="12"/>
  <c r="F22" i="12"/>
  <c r="I10" i="12"/>
  <c r="H51" i="11"/>
  <c r="F34" i="11"/>
  <c r="G34" i="11"/>
  <c r="I35" i="11"/>
  <c r="I10" i="11"/>
  <c r="I51" i="9"/>
  <c r="G59" i="9"/>
  <c r="G41" i="8"/>
  <c r="I41" i="8"/>
  <c r="J36" i="8"/>
  <c r="L9" i="34"/>
  <c r="J44" i="8"/>
  <c r="I29" i="8"/>
  <c r="AD18" i="28"/>
  <c r="AD16" i="28"/>
  <c r="AD47" i="28"/>
  <c r="AD41" i="28"/>
  <c r="AD100" i="28"/>
  <c r="H39" i="10"/>
  <c r="E137" i="37"/>
  <c r="E81" i="37"/>
  <c r="T18" i="28"/>
  <c r="T16" i="28"/>
  <c r="E62" i="10"/>
  <c r="D65" i="11"/>
  <c r="D59" i="12"/>
  <c r="D63" i="12"/>
  <c r="E61" i="12"/>
  <c r="E32" i="12"/>
  <c r="E65" i="12"/>
  <c r="D59" i="11"/>
  <c r="D63" i="11"/>
  <c r="D61" i="11"/>
  <c r="E14" i="13"/>
  <c r="E8" i="13"/>
  <c r="E27" i="13"/>
  <c r="E47" i="13"/>
  <c r="E51" i="13"/>
  <c r="H15" i="13"/>
  <c r="D62" i="10"/>
  <c r="E32" i="11"/>
  <c r="E65" i="11"/>
  <c r="E61" i="11"/>
  <c r="D65" i="12"/>
  <c r="D61" i="12"/>
  <c r="E59" i="11"/>
  <c r="E63" i="11"/>
  <c r="I24" i="10"/>
  <c r="H24" i="10"/>
  <c r="G13" i="9"/>
  <c r="D32" i="12"/>
  <c r="J45" i="8"/>
  <c r="G21" i="25"/>
  <c r="J33" i="8"/>
  <c r="I17" i="9"/>
  <c r="I25" i="9"/>
  <c r="F29" i="10"/>
  <c r="M16" i="28"/>
  <c r="M47" i="28"/>
  <c r="M25" i="28"/>
  <c r="M41" i="28"/>
  <c r="M49" i="28"/>
  <c r="M12" i="28"/>
  <c r="M8" i="28"/>
  <c r="AB47" i="28"/>
  <c r="AA47" i="28"/>
  <c r="AA8" i="28"/>
  <c r="AA46" i="28"/>
  <c r="AA29" i="28"/>
  <c r="AA25" i="28"/>
  <c r="AA41" i="28"/>
  <c r="AA100" i="28"/>
  <c r="Y29" i="28"/>
  <c r="Y25" i="28"/>
  <c r="Y41" i="28"/>
  <c r="Y47" i="28"/>
  <c r="Y12" i="28"/>
  <c r="Y8" i="28"/>
  <c r="X25" i="28"/>
  <c r="X18" i="28"/>
  <c r="X16" i="28"/>
  <c r="V36" i="28"/>
  <c r="V34" i="28"/>
  <c r="AH12" i="28"/>
  <c r="R46" i="28"/>
  <c r="R34" i="28"/>
  <c r="T34" i="28"/>
  <c r="Q8" i="28"/>
  <c r="Q46" i="28"/>
  <c r="Q16" i="28"/>
  <c r="P29" i="28"/>
  <c r="P25" i="28"/>
  <c r="P8" i="28"/>
  <c r="P46" i="28"/>
  <c r="O36" i="28"/>
  <c r="O34" i="28"/>
  <c r="O41" i="28"/>
  <c r="N41" i="28"/>
  <c r="N49" i="28"/>
  <c r="N46" i="28"/>
  <c r="N18" i="28"/>
  <c r="N16" i="28"/>
  <c r="L25" i="28"/>
  <c r="K34" i="28"/>
  <c r="K25" i="28"/>
  <c r="K41" i="28"/>
  <c r="J18" i="28"/>
  <c r="J16" i="28"/>
  <c r="S36" i="28"/>
  <c r="S34" i="28"/>
  <c r="J8" i="28"/>
  <c r="Q49" i="28"/>
  <c r="Q100" i="28"/>
  <c r="T8" i="28"/>
  <c r="G46" i="28"/>
  <c r="G23" i="28"/>
  <c r="Z47" i="28"/>
  <c r="Z23" i="28"/>
  <c r="K47" i="28"/>
  <c r="K23" i="28"/>
  <c r="I49" i="28"/>
  <c r="I100" i="28"/>
  <c r="AB25" i="28"/>
  <c r="AB41" i="28"/>
  <c r="L47" i="28"/>
  <c r="L23" i="28"/>
  <c r="H23" i="28"/>
  <c r="H46" i="28"/>
  <c r="I46" i="28"/>
  <c r="I23" i="28"/>
  <c r="AA23" i="28"/>
  <c r="J47" i="28"/>
  <c r="X41" i="28"/>
  <c r="W46" i="28"/>
  <c r="W23" i="28"/>
  <c r="O23" i="28"/>
  <c r="O46" i="28"/>
  <c r="G41" i="28"/>
  <c r="AB23" i="28"/>
  <c r="J49" i="28"/>
  <c r="J100" i="28"/>
  <c r="Z49" i="28"/>
  <c r="Z100" i="28"/>
  <c r="AG23" i="28"/>
  <c r="AG46" i="28"/>
  <c r="K100" i="28"/>
  <c r="K49" i="28"/>
  <c r="P41" i="28"/>
  <c r="AA49" i="28"/>
  <c r="O47" i="28"/>
  <c r="J46" i="28"/>
  <c r="J23" i="28"/>
  <c r="Y46" i="28"/>
  <c r="Y23" i="28"/>
  <c r="N47" i="28"/>
  <c r="Q47" i="28"/>
  <c r="L46" i="28"/>
  <c r="L41" i="28"/>
  <c r="R23" i="28"/>
  <c r="AC25" i="28"/>
  <c r="AC36" i="28"/>
  <c r="AC34" i="28"/>
  <c r="X46" i="28"/>
  <c r="W49" i="28"/>
  <c r="N23" i="28"/>
  <c r="AC8" i="28"/>
  <c r="G20" i="30"/>
  <c r="G40" i="30"/>
  <c r="E20" i="30"/>
  <c r="D33" i="25"/>
  <c r="D44" i="25"/>
  <c r="E26" i="25"/>
  <c r="G10" i="25"/>
  <c r="I10" i="25"/>
  <c r="I30" i="25"/>
  <c r="E17" i="25"/>
  <c r="R50" i="20"/>
  <c r="F31" i="15"/>
  <c r="F8" i="15"/>
  <c r="H38" i="15"/>
  <c r="H36" i="14"/>
  <c r="D50" i="7"/>
  <c r="D54" i="7"/>
  <c r="D52" i="7"/>
  <c r="D57" i="7"/>
  <c r="D56" i="7"/>
  <c r="E56" i="7"/>
  <c r="E27" i="7"/>
  <c r="I19" i="24"/>
  <c r="K16" i="24"/>
  <c r="I29" i="7"/>
  <c r="I16" i="24"/>
  <c r="I21" i="7"/>
  <c r="F55" i="7"/>
  <c r="I10" i="7"/>
  <c r="H36" i="13"/>
  <c r="H29" i="13"/>
  <c r="H30" i="13"/>
  <c r="H51" i="12"/>
  <c r="H49" i="12"/>
  <c r="G34" i="12"/>
  <c r="H22" i="12"/>
  <c r="H15" i="12"/>
  <c r="H10" i="12"/>
  <c r="G49" i="11"/>
  <c r="H41" i="11"/>
  <c r="H35" i="11"/>
  <c r="H24" i="11"/>
  <c r="H15" i="11"/>
  <c r="H10" i="11"/>
  <c r="H51" i="9"/>
  <c r="H49" i="9"/>
  <c r="I49" i="9"/>
  <c r="M10" i="34"/>
  <c r="H41" i="9"/>
  <c r="I35" i="9"/>
  <c r="H35" i="9"/>
  <c r="F34" i="9"/>
  <c r="H43" i="8"/>
  <c r="H41" i="8"/>
  <c r="J34" i="8"/>
  <c r="H35" i="8"/>
  <c r="H29" i="8"/>
  <c r="H20" i="8"/>
  <c r="I20" i="8"/>
  <c r="F18" i="8"/>
  <c r="F26" i="8"/>
  <c r="H13" i="8"/>
  <c r="F54" i="8"/>
  <c r="G65" i="12"/>
  <c r="I22" i="12"/>
  <c r="H59" i="9"/>
  <c r="R41" i="28"/>
  <c r="R47" i="28"/>
  <c r="Q23" i="28"/>
  <c r="N100" i="28"/>
  <c r="H41" i="28"/>
  <c r="P23" i="28"/>
  <c r="AD46" i="28"/>
  <c r="AG41" i="28"/>
  <c r="H87" i="6"/>
  <c r="AD49" i="28"/>
  <c r="J41" i="13"/>
  <c r="J35" i="13"/>
  <c r="J38" i="13"/>
  <c r="J39" i="13"/>
  <c r="J40" i="13"/>
  <c r="J31" i="13"/>
  <c r="J43" i="13"/>
  <c r="J34" i="13"/>
  <c r="J36" i="13"/>
  <c r="J32" i="13"/>
  <c r="J42" i="13"/>
  <c r="J33" i="13"/>
  <c r="J30" i="13"/>
  <c r="J37" i="13"/>
  <c r="J29" i="13"/>
  <c r="K15" i="24"/>
  <c r="I15" i="24"/>
  <c r="G22" i="9"/>
  <c r="I24" i="9"/>
  <c r="G63" i="9"/>
  <c r="J41" i="8"/>
  <c r="T47" i="28"/>
  <c r="T25" i="28"/>
  <c r="T41" i="28"/>
  <c r="T100" i="28"/>
  <c r="M100" i="28"/>
  <c r="M46" i="28"/>
  <c r="M23" i="28"/>
  <c r="M99" i="28"/>
  <c r="D73" i="11"/>
  <c r="D66" i="11"/>
  <c r="H13" i="9"/>
  <c r="E73" i="11"/>
  <c r="E66" i="11"/>
  <c r="E73" i="12"/>
  <c r="E66" i="12"/>
  <c r="D73" i="12"/>
  <c r="D66" i="12"/>
  <c r="AC46" i="28"/>
  <c r="AC41" i="28"/>
  <c r="AC47" i="28"/>
  <c r="AB46" i="28"/>
  <c r="X23" i="28"/>
  <c r="X47" i="28"/>
  <c r="K46" i="28"/>
  <c r="K99" i="28"/>
  <c r="K43" i="28"/>
  <c r="Y99" i="28"/>
  <c r="Y43" i="28"/>
  <c r="AD43" i="28"/>
  <c r="AD99" i="28"/>
  <c r="AB99" i="28"/>
  <c r="AB43" i="28"/>
  <c r="Q99" i="28"/>
  <c r="Q43" i="28"/>
  <c r="P49" i="28"/>
  <c r="P100" i="28"/>
  <c r="AA99" i="28"/>
  <c r="AA43" i="28"/>
  <c r="G49" i="28"/>
  <c r="G100" i="28"/>
  <c r="I43" i="28"/>
  <c r="I99" i="28"/>
  <c r="Z43" i="28"/>
  <c r="Z99" i="28"/>
  <c r="O99" i="28"/>
  <c r="O43" i="28"/>
  <c r="G43" i="28"/>
  <c r="G99" i="28"/>
  <c r="AC23" i="28"/>
  <c r="AC43" i="28"/>
  <c r="N99" i="28"/>
  <c r="N43" i="28"/>
  <c r="J43" i="28"/>
  <c r="J99" i="28"/>
  <c r="W43" i="28"/>
  <c r="W99" i="28"/>
  <c r="H43" i="28"/>
  <c r="H99" i="28"/>
  <c r="L43" i="28"/>
  <c r="L99" i="28"/>
  <c r="T23" i="28"/>
  <c r="P99" i="28"/>
  <c r="P43" i="28"/>
  <c r="X100" i="28"/>
  <c r="X49" i="28"/>
  <c r="R99" i="28"/>
  <c r="R43" i="28"/>
  <c r="L49" i="28"/>
  <c r="L100" i="28"/>
  <c r="AB49" i="28"/>
  <c r="AB100" i="28"/>
  <c r="O49" i="28"/>
  <c r="O100" i="28"/>
  <c r="AG99" i="28"/>
  <c r="AG43" i="28"/>
  <c r="R49" i="28"/>
  <c r="R100" i="28"/>
  <c r="Y49" i="28"/>
  <c r="Y100" i="28"/>
  <c r="G33" i="25"/>
  <c r="I33" i="25"/>
  <c r="E25" i="25"/>
  <c r="E44" i="25"/>
  <c r="E52" i="7"/>
  <c r="E57" i="7"/>
  <c r="AC49" i="28"/>
  <c r="AC100" i="28"/>
  <c r="H9" i="13"/>
  <c r="I34" i="12"/>
  <c r="G59" i="12"/>
  <c r="H34" i="12"/>
  <c r="H49" i="11"/>
  <c r="G65" i="11"/>
  <c r="F59" i="9"/>
  <c r="J34" i="9"/>
  <c r="I34" i="9"/>
  <c r="I18" i="8"/>
  <c r="F55" i="8"/>
  <c r="H63" i="9"/>
  <c r="T46" i="28"/>
  <c r="AG100" i="28"/>
  <c r="AG49" i="28"/>
  <c r="M43" i="28"/>
  <c r="H100" i="28"/>
  <c r="H49" i="28"/>
  <c r="AC99" i="28"/>
  <c r="G65" i="9"/>
  <c r="T49" i="28"/>
  <c r="X99" i="28"/>
  <c r="X43" i="28"/>
  <c r="L98" i="28"/>
  <c r="L48" i="28"/>
  <c r="G48" i="28"/>
  <c r="G98" i="28"/>
  <c r="T99" i="28"/>
  <c r="T43" i="28"/>
  <c r="O48" i="28"/>
  <c r="O98" i="28"/>
  <c r="H48" i="28"/>
  <c r="H98" i="28"/>
  <c r="M48" i="28"/>
  <c r="M98" i="28"/>
  <c r="Q98" i="28"/>
  <c r="Q48" i="28"/>
  <c r="AA98" i="28"/>
  <c r="AA48" i="28"/>
  <c r="W48" i="28"/>
  <c r="W98" i="28"/>
  <c r="R98" i="28"/>
  <c r="R48" i="28"/>
  <c r="AB98" i="28"/>
  <c r="AB48" i="28"/>
  <c r="Z48" i="28"/>
  <c r="Z98" i="28"/>
  <c r="I98" i="28"/>
  <c r="I48" i="28"/>
  <c r="AD98" i="28"/>
  <c r="AD48" i="28"/>
  <c r="AG48" i="28"/>
  <c r="AG98" i="28"/>
  <c r="P48" i="28"/>
  <c r="P98" i="28"/>
  <c r="J48" i="28"/>
  <c r="J98" i="28"/>
  <c r="Y98" i="28"/>
  <c r="Y48" i="28"/>
  <c r="K48" i="28"/>
  <c r="K98" i="28"/>
  <c r="N98" i="28"/>
  <c r="N48" i="28"/>
  <c r="AC98" i="28"/>
  <c r="AC48" i="28"/>
  <c r="G63" i="12"/>
  <c r="M12" i="34"/>
  <c r="H59" i="12"/>
  <c r="L10" i="34"/>
  <c r="J37" i="9"/>
  <c r="J38" i="9"/>
  <c r="J39" i="9"/>
  <c r="I59" i="9"/>
  <c r="J55" i="9"/>
  <c r="J52" i="9"/>
  <c r="J49" i="9"/>
  <c r="J50" i="9"/>
  <c r="J51" i="9"/>
  <c r="J56" i="9"/>
  <c r="J35" i="9"/>
  <c r="J44" i="9"/>
  <c r="J43" i="9"/>
  <c r="J42" i="9"/>
  <c r="J54" i="9"/>
  <c r="J47" i="9"/>
  <c r="J53" i="9"/>
  <c r="J45" i="9"/>
  <c r="J41" i="9"/>
  <c r="J40" i="9"/>
  <c r="F63" i="9"/>
  <c r="J36" i="9"/>
  <c r="J46" i="9"/>
  <c r="X48" i="28"/>
  <c r="X98" i="28"/>
  <c r="T48" i="28"/>
  <c r="T98" i="28"/>
  <c r="H63" i="12"/>
  <c r="I63" i="9"/>
  <c r="E67" i="33"/>
  <c r="E73" i="33" s="1"/>
  <c r="E85" i="33" s="1"/>
  <c r="AF16" i="28"/>
  <c r="V99" i="28"/>
  <c r="V43" i="28"/>
  <c r="V49" i="28"/>
  <c r="V100" i="28"/>
  <c r="V46" i="28"/>
  <c r="AF47" i="28"/>
  <c r="AF25" i="28"/>
  <c r="AF41" i="28"/>
  <c r="AF100" i="28"/>
  <c r="S50" i="6"/>
  <c r="S53" i="6"/>
  <c r="M100" i="6"/>
  <c r="G44" i="25"/>
  <c r="K113" i="6"/>
  <c r="G100" i="6"/>
  <c r="G55" i="6"/>
  <c r="N100" i="6"/>
  <c r="M50" i="6"/>
  <c r="K100" i="6"/>
  <c r="H55" i="6"/>
  <c r="I100" i="6"/>
  <c r="I55" i="6"/>
  <c r="O100" i="6"/>
  <c r="J113" i="6"/>
  <c r="P100" i="6"/>
  <c r="I28" i="25"/>
  <c r="E39" i="25"/>
  <c r="Q53" i="6"/>
  <c r="Q56" i="6"/>
  <c r="M16" i="34"/>
  <c r="I29" i="25"/>
  <c r="I88" i="6"/>
  <c r="Q88" i="6"/>
  <c r="E54" i="6"/>
  <c r="G29" i="6"/>
  <c r="O87" i="6"/>
  <c r="O50" i="6"/>
  <c r="J50" i="6"/>
  <c r="E50" i="6"/>
  <c r="D26" i="25"/>
  <c r="G26" i="25"/>
  <c r="I87" i="6"/>
  <c r="N87" i="6"/>
  <c r="J88" i="6"/>
  <c r="I54" i="6"/>
  <c r="H53" i="6"/>
  <c r="N50" i="6"/>
  <c r="I50" i="6"/>
  <c r="P29" i="6"/>
  <c r="K29" i="6"/>
  <c r="J77" i="6"/>
  <c r="M77" i="6"/>
  <c r="O77" i="6"/>
  <c r="G113" i="6"/>
  <c r="S27" i="6"/>
  <c r="H113" i="6"/>
  <c r="I11" i="25"/>
  <c r="K16" i="34"/>
  <c r="Q52" i="6"/>
  <c r="E23" i="25"/>
  <c r="Q67" i="6"/>
  <c r="K27" i="6"/>
  <c r="K85" i="6"/>
  <c r="D9" i="25"/>
  <c r="I13" i="25"/>
  <c r="S52" i="6"/>
  <c r="S56" i="6"/>
  <c r="K67" i="6"/>
  <c r="E9" i="25"/>
  <c r="Q54" i="6"/>
  <c r="H68" i="6"/>
  <c r="M68" i="6"/>
  <c r="G54" i="6"/>
  <c r="E27" i="6"/>
  <c r="H9" i="6"/>
  <c r="M9" i="6"/>
  <c r="J68" i="6"/>
  <c r="K68" i="6"/>
  <c r="N68" i="6"/>
  <c r="O68" i="6"/>
  <c r="P68" i="6"/>
  <c r="I68" i="6"/>
  <c r="S54" i="6"/>
  <c r="P27" i="6"/>
  <c r="I27" i="6"/>
  <c r="J9" i="6"/>
  <c r="N9" i="6"/>
  <c r="O9" i="6"/>
  <c r="F68" i="14"/>
  <c r="I58" i="14"/>
  <c r="H64" i="14"/>
  <c r="D17" i="35"/>
  <c r="D57" i="35" s="1"/>
  <c r="D64" i="35" s="1"/>
  <c r="G55" i="7"/>
  <c r="J45" i="7"/>
  <c r="J47" i="7"/>
  <c r="J46" i="7"/>
  <c r="J34" i="7"/>
  <c r="J32" i="7"/>
  <c r="J40" i="7"/>
  <c r="L8" i="34"/>
  <c r="J37" i="7"/>
  <c r="J44" i="7"/>
  <c r="J35" i="7"/>
  <c r="J30" i="7"/>
  <c r="F54" i="7"/>
  <c r="J36" i="7"/>
  <c r="J33" i="7"/>
  <c r="J38" i="7"/>
  <c r="J39" i="7"/>
  <c r="J31" i="7"/>
  <c r="J29" i="7"/>
  <c r="J43" i="7"/>
  <c r="H42" i="7"/>
  <c r="I42" i="7"/>
  <c r="J42" i="7"/>
  <c r="G50" i="7"/>
  <c r="H44" i="7"/>
  <c r="E22" i="24"/>
  <c r="L12" i="24"/>
  <c r="K12" i="24"/>
  <c r="I12" i="24"/>
  <c r="I13" i="24"/>
  <c r="F56" i="7"/>
  <c r="F27" i="7"/>
  <c r="J9" i="7"/>
  <c r="I19" i="7"/>
  <c r="I45" i="13"/>
  <c r="H45" i="13"/>
  <c r="I11" i="13"/>
  <c r="F65" i="12"/>
  <c r="F59" i="12"/>
  <c r="J50" i="12"/>
  <c r="J41" i="12"/>
  <c r="I59" i="12"/>
  <c r="J40" i="12"/>
  <c r="J34" i="12"/>
  <c r="J52" i="12"/>
  <c r="J43" i="12"/>
  <c r="J54" i="12"/>
  <c r="J49" i="12"/>
  <c r="J47" i="12"/>
  <c r="J45" i="12"/>
  <c r="J53" i="12"/>
  <c r="J42" i="12"/>
  <c r="J44" i="12"/>
  <c r="J37" i="12"/>
  <c r="J46" i="12"/>
  <c r="J51" i="12"/>
  <c r="J39" i="12"/>
  <c r="L12" i="34"/>
  <c r="O12" i="34"/>
  <c r="J38" i="12"/>
  <c r="J35" i="12"/>
  <c r="J56" i="12"/>
  <c r="J55" i="12"/>
  <c r="J36" i="12"/>
  <c r="H9" i="12"/>
  <c r="G32" i="12"/>
  <c r="G64" i="12"/>
  <c r="I9" i="12"/>
  <c r="G61" i="12"/>
  <c r="F64" i="12"/>
  <c r="F32" i="12"/>
  <c r="F61" i="12"/>
  <c r="F59" i="11"/>
  <c r="J34" i="11"/>
  <c r="J41" i="11"/>
  <c r="J45" i="11"/>
  <c r="J56" i="11"/>
  <c r="J53" i="11"/>
  <c r="J38" i="11"/>
  <c r="J35" i="11"/>
  <c r="J37" i="11"/>
  <c r="J39" i="11"/>
  <c r="J44" i="11"/>
  <c r="J47" i="11"/>
  <c r="J42" i="11"/>
  <c r="J54" i="11"/>
  <c r="J43" i="11"/>
  <c r="J40" i="11"/>
  <c r="F63" i="11"/>
  <c r="J46" i="11"/>
  <c r="J55" i="11"/>
  <c r="L11" i="34"/>
  <c r="J36" i="11"/>
  <c r="J51" i="11"/>
  <c r="J50" i="11"/>
  <c r="J49" i="11"/>
  <c r="J52" i="11"/>
  <c r="G59" i="11"/>
  <c r="H34" i="11"/>
  <c r="I34" i="11"/>
  <c r="F22" i="11"/>
  <c r="F65" i="11"/>
  <c r="H22" i="11"/>
  <c r="G9" i="11"/>
  <c r="F32" i="11"/>
  <c r="F61" i="11"/>
  <c r="F64" i="11"/>
  <c r="I9" i="11"/>
  <c r="G61" i="11"/>
  <c r="G64" i="11"/>
  <c r="J9" i="11"/>
  <c r="G32" i="11"/>
  <c r="H9" i="11"/>
  <c r="E64" i="9"/>
  <c r="I22" i="9"/>
  <c r="F65" i="9"/>
  <c r="D64" i="9"/>
  <c r="D32" i="9"/>
  <c r="D61" i="9"/>
  <c r="D66" i="9"/>
  <c r="H24" i="9"/>
  <c r="E22" i="9"/>
  <c r="H10" i="9"/>
  <c r="I16" i="9"/>
  <c r="O10" i="34"/>
  <c r="H12" i="9"/>
  <c r="F53" i="8"/>
  <c r="J29" i="8"/>
  <c r="J35" i="8"/>
  <c r="J42" i="8"/>
  <c r="J39" i="8"/>
  <c r="J32" i="8"/>
  <c r="J46" i="8"/>
  <c r="J30" i="8"/>
  <c r="J43" i="8"/>
  <c r="J37" i="8"/>
  <c r="J38" i="8"/>
  <c r="G55" i="8"/>
  <c r="I28" i="8"/>
  <c r="J28" i="8"/>
  <c r="H28" i="8"/>
  <c r="G49" i="8"/>
  <c r="J16" i="8"/>
  <c r="J14" i="8"/>
  <c r="J9" i="34"/>
  <c r="H9" i="34"/>
  <c r="J12" i="8"/>
  <c r="J22" i="8"/>
  <c r="J11" i="8"/>
  <c r="J9" i="8"/>
  <c r="J18" i="8"/>
  <c r="J23" i="8"/>
  <c r="J21" i="8"/>
  <c r="J20" i="8"/>
  <c r="J13" i="8"/>
  <c r="J15" i="8"/>
  <c r="F51" i="8"/>
  <c r="F56" i="8"/>
  <c r="J19" i="8"/>
  <c r="J10" i="8"/>
  <c r="H18" i="8"/>
  <c r="G26" i="8"/>
  <c r="G54" i="8"/>
  <c r="H8" i="8"/>
  <c r="I8" i="8"/>
  <c r="J8" i="8"/>
  <c r="H27" i="7"/>
  <c r="G52" i="7"/>
  <c r="G57" i="7"/>
  <c r="K8" i="34"/>
  <c r="G56" i="7"/>
  <c r="H19" i="7"/>
  <c r="J10" i="7"/>
  <c r="J8" i="34"/>
  <c r="J22" i="7"/>
  <c r="J11" i="7"/>
  <c r="J23" i="7"/>
  <c r="J17" i="7"/>
  <c r="J16" i="7"/>
  <c r="J14" i="7"/>
  <c r="I27" i="7"/>
  <c r="J19" i="7"/>
  <c r="J15" i="7"/>
  <c r="J13" i="7"/>
  <c r="J24" i="7"/>
  <c r="J12" i="7"/>
  <c r="J21" i="7"/>
  <c r="J20" i="7"/>
  <c r="F52" i="7"/>
  <c r="F57" i="7"/>
  <c r="H22" i="15"/>
  <c r="F20" i="15"/>
  <c r="F29" i="15"/>
  <c r="I23" i="15"/>
  <c r="D54" i="15"/>
  <c r="H20" i="15"/>
  <c r="D61" i="15"/>
  <c r="D58" i="15"/>
  <c r="D60" i="15"/>
  <c r="D29" i="15"/>
  <c r="D56" i="15"/>
  <c r="E61" i="15"/>
  <c r="H9" i="15"/>
  <c r="E31" i="15"/>
  <c r="E54" i="15"/>
  <c r="H45" i="15"/>
  <c r="F61" i="15"/>
  <c r="F54" i="15"/>
  <c r="I52" i="15"/>
  <c r="G31" i="15"/>
  <c r="G60" i="15"/>
  <c r="H32" i="15"/>
  <c r="L13" i="34"/>
  <c r="I44" i="15"/>
  <c r="I51" i="15"/>
  <c r="G61" i="15"/>
  <c r="G29" i="15"/>
  <c r="I8" i="15"/>
  <c r="H8" i="15"/>
  <c r="I22" i="15"/>
  <c r="I19" i="15"/>
  <c r="I20" i="15"/>
  <c r="I14" i="15"/>
  <c r="I26" i="15"/>
  <c r="I12" i="15"/>
  <c r="I10" i="15"/>
  <c r="I16" i="15"/>
  <c r="J13" i="34"/>
  <c r="I13" i="15"/>
  <c r="I9" i="15"/>
  <c r="F60" i="15"/>
  <c r="H35" i="14"/>
  <c r="I62" i="14"/>
  <c r="I37" i="14"/>
  <c r="I34" i="14"/>
  <c r="I51" i="14"/>
  <c r="I52" i="14"/>
  <c r="I41" i="14"/>
  <c r="I40" i="14"/>
  <c r="I56" i="14"/>
  <c r="I63" i="14"/>
  <c r="I44" i="14"/>
  <c r="I55" i="14"/>
  <c r="I48" i="14"/>
  <c r="I65" i="14"/>
  <c r="I38" i="14"/>
  <c r="I47" i="14"/>
  <c r="I54" i="14"/>
  <c r="I59" i="14"/>
  <c r="I64" i="14"/>
  <c r="I43" i="14"/>
  <c r="I53" i="14"/>
  <c r="H34" i="14"/>
  <c r="I42" i="14"/>
  <c r="I57" i="14"/>
  <c r="I66" i="14"/>
  <c r="I49" i="14"/>
  <c r="I36" i="14"/>
  <c r="I35" i="14"/>
  <c r="G68" i="14"/>
  <c r="H68" i="14"/>
  <c r="I39" i="14"/>
  <c r="I46" i="14"/>
  <c r="I50" i="14"/>
  <c r="I61" i="14"/>
  <c r="I45" i="14"/>
  <c r="F32" i="14"/>
  <c r="F70" i="14"/>
  <c r="F75" i="14"/>
  <c r="G32" i="14"/>
  <c r="H32" i="14"/>
  <c r="H14" i="14"/>
  <c r="H9" i="14"/>
  <c r="AF49" i="28"/>
  <c r="AF46" i="28"/>
  <c r="AF23" i="28"/>
  <c r="AH34" i="28"/>
  <c r="S47" i="28"/>
  <c r="S8" i="28"/>
  <c r="S41" i="28"/>
  <c r="S100" i="28"/>
  <c r="S23" i="28"/>
  <c r="S46" i="28"/>
  <c r="S49" i="28"/>
  <c r="I13" i="9"/>
  <c r="F28" i="10"/>
  <c r="F62" i="10"/>
  <c r="J22" i="10"/>
  <c r="J41" i="10"/>
  <c r="J58" i="10"/>
  <c r="J18" i="10"/>
  <c r="J43" i="10"/>
  <c r="I29" i="10"/>
  <c r="H15" i="9"/>
  <c r="I15" i="9"/>
  <c r="G9" i="9"/>
  <c r="G64" i="9"/>
  <c r="I20" i="9"/>
  <c r="H28" i="10"/>
  <c r="G62" i="10"/>
  <c r="H62" i="10"/>
  <c r="H29" i="10"/>
  <c r="F10" i="9"/>
  <c r="I10" i="9"/>
  <c r="I12" i="9"/>
  <c r="H9" i="10"/>
  <c r="J14" i="10"/>
  <c r="J9" i="10"/>
  <c r="J26" i="10"/>
  <c r="J55" i="10"/>
  <c r="J29" i="10"/>
  <c r="J24" i="10"/>
  <c r="J46" i="10"/>
  <c r="J38" i="10"/>
  <c r="J31" i="10"/>
  <c r="J13" i="10"/>
  <c r="J39" i="10"/>
  <c r="J36" i="10"/>
  <c r="J44" i="10"/>
  <c r="J33" i="10"/>
  <c r="J47" i="10"/>
  <c r="J12" i="10"/>
  <c r="J42" i="10"/>
  <c r="J20" i="10"/>
  <c r="J35" i="10"/>
  <c r="J19" i="10"/>
  <c r="J49" i="10"/>
  <c r="J30" i="10"/>
  <c r="J28" i="10"/>
  <c r="J52" i="10"/>
  <c r="J16" i="10"/>
  <c r="J17" i="10"/>
  <c r="J54" i="10"/>
  <c r="J40" i="10"/>
  <c r="J15" i="10"/>
  <c r="J45" i="10"/>
  <c r="J21" i="10"/>
  <c r="J34" i="10"/>
  <c r="J48" i="10"/>
  <c r="J25" i="10"/>
  <c r="J56" i="10"/>
  <c r="J57" i="10"/>
  <c r="J11" i="10"/>
  <c r="J59" i="10"/>
  <c r="J37" i="10"/>
  <c r="J50" i="10"/>
  <c r="J53" i="10"/>
  <c r="J32" i="10"/>
  <c r="G73" i="33"/>
  <c r="G85" i="33" s="1"/>
  <c r="H85" i="33"/>
  <c r="E40" i="30"/>
  <c r="AE29" i="28"/>
  <c r="AE25" i="28"/>
  <c r="AH25" i="28"/>
  <c r="AH29" i="28"/>
  <c r="AH16" i="28"/>
  <c r="AE12" i="28"/>
  <c r="AE8" i="28"/>
  <c r="AE41" i="28"/>
  <c r="AE47" i="28"/>
  <c r="H14" i="13"/>
  <c r="G8" i="13"/>
  <c r="F14" i="13"/>
  <c r="F8" i="13"/>
  <c r="F27" i="13"/>
  <c r="J15" i="13"/>
  <c r="I15" i="13"/>
  <c r="AH47" i="28"/>
  <c r="V48" i="28"/>
  <c r="V98" i="28"/>
  <c r="AH41" i="28"/>
  <c r="AH49" i="28"/>
  <c r="I113" i="6"/>
  <c r="M53" i="6"/>
  <c r="D43" i="25"/>
  <c r="I26" i="25"/>
  <c r="I108" i="6"/>
  <c r="O53" i="6"/>
  <c r="O108" i="6"/>
  <c r="K50" i="6"/>
  <c r="D25" i="25"/>
  <c r="G25" i="25"/>
  <c r="Q87" i="6"/>
  <c r="K87" i="6"/>
  <c r="P54" i="6"/>
  <c r="P87" i="6"/>
  <c r="P50" i="6"/>
  <c r="J87" i="6"/>
  <c r="I53" i="6"/>
  <c r="N108" i="6"/>
  <c r="N53" i="6"/>
  <c r="H108" i="6"/>
  <c r="J53" i="6"/>
  <c r="K54" i="6"/>
  <c r="E53" i="6"/>
  <c r="E42" i="25"/>
  <c r="G50" i="6"/>
  <c r="M87" i="6"/>
  <c r="G87" i="6"/>
  <c r="I52" i="6"/>
  <c r="K112" i="6"/>
  <c r="E52" i="6"/>
  <c r="E56" i="6"/>
  <c r="I16" i="34"/>
  <c r="H54" i="6"/>
  <c r="H27" i="6"/>
  <c r="O67" i="6"/>
  <c r="O54" i="6"/>
  <c r="O27" i="6"/>
  <c r="I67" i="6"/>
  <c r="J16" i="34"/>
  <c r="D23" i="25"/>
  <c r="G23" i="25"/>
  <c r="I23" i="25"/>
  <c r="Q85" i="6"/>
  <c r="M67" i="6"/>
  <c r="M54" i="6"/>
  <c r="M27" i="6"/>
  <c r="G67" i="6"/>
  <c r="P52" i="6"/>
  <c r="E43" i="25"/>
  <c r="G9" i="25"/>
  <c r="H67" i="6"/>
  <c r="N27" i="6"/>
  <c r="N54" i="6"/>
  <c r="N67" i="6"/>
  <c r="E41" i="25"/>
  <c r="J27" i="6"/>
  <c r="J85" i="6"/>
  <c r="P67" i="6"/>
  <c r="J54" i="6"/>
  <c r="J67" i="6"/>
  <c r="H50" i="7"/>
  <c r="M8" i="34"/>
  <c r="O8" i="34"/>
  <c r="G54" i="7"/>
  <c r="I50" i="7"/>
  <c r="L15" i="24"/>
  <c r="L13" i="24"/>
  <c r="E21" i="24"/>
  <c r="L17" i="24"/>
  <c r="L14" i="24"/>
  <c r="L18" i="24"/>
  <c r="K22" i="24"/>
  <c r="L16" i="24"/>
  <c r="I22" i="24"/>
  <c r="F63" i="12"/>
  <c r="I63" i="12"/>
  <c r="F66" i="12"/>
  <c r="F73" i="12"/>
  <c r="J10" i="12"/>
  <c r="J19" i="12"/>
  <c r="J24" i="12"/>
  <c r="J23" i="12"/>
  <c r="J17" i="12"/>
  <c r="J12" i="34"/>
  <c r="H12" i="34"/>
  <c r="J18" i="12"/>
  <c r="J28" i="12"/>
  <c r="J26" i="12"/>
  <c r="J27" i="12"/>
  <c r="J11" i="12"/>
  <c r="J13" i="12"/>
  <c r="J25" i="12"/>
  <c r="J16" i="12"/>
  <c r="J20" i="12"/>
  <c r="J22" i="12"/>
  <c r="J15" i="12"/>
  <c r="J12" i="12"/>
  <c r="I32" i="12"/>
  <c r="J29" i="12"/>
  <c r="J14" i="12"/>
  <c r="J9" i="12"/>
  <c r="H32" i="12"/>
  <c r="K12" i="34"/>
  <c r="G66" i="12"/>
  <c r="G73" i="12"/>
  <c r="H59" i="11"/>
  <c r="M11" i="34"/>
  <c r="O11" i="34"/>
  <c r="G63" i="11"/>
  <c r="H63" i="11"/>
  <c r="I59" i="11"/>
  <c r="I63" i="11"/>
  <c r="I22" i="11"/>
  <c r="H32" i="11"/>
  <c r="K11" i="34"/>
  <c r="G73" i="11"/>
  <c r="G66" i="11"/>
  <c r="F73" i="11"/>
  <c r="F66" i="11"/>
  <c r="J19" i="11"/>
  <c r="J18" i="11"/>
  <c r="J23" i="11"/>
  <c r="J11" i="34"/>
  <c r="H11" i="34"/>
  <c r="J26" i="11"/>
  <c r="J16" i="11"/>
  <c r="J14" i="11"/>
  <c r="J13" i="11"/>
  <c r="J11" i="11"/>
  <c r="J28" i="11"/>
  <c r="J20" i="11"/>
  <c r="J12" i="11"/>
  <c r="J10" i="11"/>
  <c r="J29" i="11"/>
  <c r="I32" i="11"/>
  <c r="J22" i="11"/>
  <c r="J25" i="11"/>
  <c r="J17" i="11"/>
  <c r="J15" i="11"/>
  <c r="J27" i="11"/>
  <c r="J24" i="11"/>
  <c r="H22" i="9"/>
  <c r="E65" i="9"/>
  <c r="F9" i="9"/>
  <c r="E32" i="9"/>
  <c r="E61" i="9"/>
  <c r="E66" i="9"/>
  <c r="M9" i="34"/>
  <c r="O9" i="34"/>
  <c r="H49" i="8"/>
  <c r="G53" i="8"/>
  <c r="I49" i="8"/>
  <c r="K9" i="34"/>
  <c r="G51" i="8"/>
  <c r="G56" i="8"/>
  <c r="H26" i="8"/>
  <c r="I26" i="8"/>
  <c r="N8" i="34"/>
  <c r="H8" i="34"/>
  <c r="I39" i="15"/>
  <c r="I38" i="15"/>
  <c r="I32" i="15"/>
  <c r="I37" i="15"/>
  <c r="I24" i="15"/>
  <c r="I21" i="15"/>
  <c r="I15" i="15"/>
  <c r="I18" i="15"/>
  <c r="F56" i="15"/>
  <c r="F68" i="15"/>
  <c r="I11" i="15"/>
  <c r="I25" i="15"/>
  <c r="I17" i="15"/>
  <c r="I27" i="15"/>
  <c r="E58" i="15"/>
  <c r="E56" i="15"/>
  <c r="E59" i="15"/>
  <c r="E60" i="15"/>
  <c r="I48" i="15"/>
  <c r="I42" i="15"/>
  <c r="D68" i="15"/>
  <c r="D59" i="15"/>
  <c r="I35" i="15"/>
  <c r="I41" i="15"/>
  <c r="I43" i="15"/>
  <c r="I34" i="15"/>
  <c r="F58" i="15"/>
  <c r="I45" i="15"/>
  <c r="I49" i="15"/>
  <c r="I50" i="15"/>
  <c r="I46" i="15"/>
  <c r="H13" i="34"/>
  <c r="I36" i="15"/>
  <c r="I47" i="15"/>
  <c r="I33" i="15"/>
  <c r="I40" i="15"/>
  <c r="I31" i="15"/>
  <c r="H31" i="15"/>
  <c r="G54" i="15"/>
  <c r="G56" i="15"/>
  <c r="K13" i="34"/>
  <c r="H29" i="15"/>
  <c r="I18" i="14"/>
  <c r="I16" i="14"/>
  <c r="I23" i="14"/>
  <c r="I24" i="14"/>
  <c r="I29" i="14"/>
  <c r="I30" i="14"/>
  <c r="I27" i="14"/>
  <c r="I26" i="14"/>
  <c r="I19" i="14"/>
  <c r="I17" i="14"/>
  <c r="I9" i="14"/>
  <c r="I20" i="14"/>
  <c r="I21" i="14"/>
  <c r="I12" i="14"/>
  <c r="I10" i="14"/>
  <c r="I14" i="14"/>
  <c r="I15" i="14"/>
  <c r="I22" i="14"/>
  <c r="I11" i="14"/>
  <c r="I25" i="14"/>
  <c r="I28" i="14"/>
  <c r="G70" i="14"/>
  <c r="G75" i="14"/>
  <c r="AH100" i="28"/>
  <c r="AF43" i="28"/>
  <c r="AF99" i="28"/>
  <c r="S43" i="28"/>
  <c r="S99" i="28"/>
  <c r="J10" i="10"/>
  <c r="I28" i="10"/>
  <c r="G32" i="9"/>
  <c r="H9" i="9"/>
  <c r="I62" i="10"/>
  <c r="F32" i="9"/>
  <c r="F64" i="9"/>
  <c r="I9" i="9"/>
  <c r="K10" i="34"/>
  <c r="AE100" i="28"/>
  <c r="AE49" i="28"/>
  <c r="AH8" i="28"/>
  <c r="AE23" i="28"/>
  <c r="AE46" i="28"/>
  <c r="J23" i="13"/>
  <c r="J20" i="13"/>
  <c r="J18" i="13"/>
  <c r="F47" i="13"/>
  <c r="F51" i="13"/>
  <c r="J24" i="13"/>
  <c r="J11" i="13"/>
  <c r="J10" i="13"/>
  <c r="J21" i="13"/>
  <c r="J17" i="13"/>
  <c r="J13" i="13"/>
  <c r="J22" i="13"/>
  <c r="J25" i="13"/>
  <c r="J9" i="13"/>
  <c r="J19" i="13"/>
  <c r="J16" i="13"/>
  <c r="J12" i="13"/>
  <c r="G27" i="13"/>
  <c r="H8" i="13"/>
  <c r="J8" i="13"/>
  <c r="I8" i="13"/>
  <c r="I14" i="13"/>
  <c r="J14" i="13"/>
  <c r="I111" i="6"/>
  <c r="O111" i="6"/>
  <c r="H111" i="6"/>
  <c r="N111" i="6"/>
  <c r="J108" i="6"/>
  <c r="P53" i="6"/>
  <c r="P108" i="6"/>
  <c r="I25" i="25"/>
  <c r="G43" i="25"/>
  <c r="G53" i="6"/>
  <c r="M108" i="6"/>
  <c r="G108" i="6"/>
  <c r="G52" i="6"/>
  <c r="D39" i="25"/>
  <c r="J25" i="25"/>
  <c r="K53" i="6"/>
  <c r="L16" i="34"/>
  <c r="O16" i="34"/>
  <c r="Q108" i="6"/>
  <c r="K108" i="6"/>
  <c r="K52" i="6"/>
  <c r="K110" i="6"/>
  <c r="I56" i="6"/>
  <c r="P85" i="6"/>
  <c r="E45" i="25"/>
  <c r="J52" i="6"/>
  <c r="J56" i="6"/>
  <c r="I112" i="6"/>
  <c r="I9" i="25"/>
  <c r="J9" i="25"/>
  <c r="N16" i="34"/>
  <c r="N56" i="6"/>
  <c r="N85" i="6"/>
  <c r="N52" i="6"/>
  <c r="H85" i="6"/>
  <c r="G112" i="6"/>
  <c r="J112" i="6"/>
  <c r="J17" i="25"/>
  <c r="J19" i="25"/>
  <c r="J12" i="25"/>
  <c r="D41" i="25"/>
  <c r="D45" i="25"/>
  <c r="J15" i="25"/>
  <c r="J18" i="25"/>
  <c r="J20" i="25"/>
  <c r="J21" i="25"/>
  <c r="J14" i="25"/>
  <c r="J11" i="25"/>
  <c r="J16" i="25"/>
  <c r="J10" i="25"/>
  <c r="J13" i="25"/>
  <c r="H112" i="6"/>
  <c r="M52" i="6"/>
  <c r="M56" i="6"/>
  <c r="G85" i="6"/>
  <c r="M85" i="6"/>
  <c r="O85" i="6"/>
  <c r="O52" i="6"/>
  <c r="I85" i="6"/>
  <c r="O56" i="6"/>
  <c r="H56" i="6"/>
  <c r="H52" i="6"/>
  <c r="H54" i="7"/>
  <c r="J54" i="7"/>
  <c r="I54" i="7"/>
  <c r="I8" i="34"/>
  <c r="L21" i="24"/>
  <c r="K21" i="24"/>
  <c r="I21" i="24"/>
  <c r="I12" i="34"/>
  <c r="N12" i="34"/>
  <c r="I11" i="34"/>
  <c r="N11" i="34"/>
  <c r="H32" i="9"/>
  <c r="J53" i="8"/>
  <c r="I53" i="8"/>
  <c r="H53" i="8"/>
  <c r="N9" i="34"/>
  <c r="I9" i="34"/>
  <c r="F59" i="15"/>
  <c r="E68" i="15"/>
  <c r="H54" i="15"/>
  <c r="M13" i="34"/>
  <c r="O13" i="34"/>
  <c r="G58" i="15"/>
  <c r="H58" i="15"/>
  <c r="G59" i="15"/>
  <c r="G68" i="15"/>
  <c r="I13" i="34"/>
  <c r="N13" i="34"/>
  <c r="I32" i="9"/>
  <c r="G61" i="9"/>
  <c r="G66" i="9"/>
  <c r="AF48" i="28"/>
  <c r="AF98" i="28"/>
  <c r="S98" i="28"/>
  <c r="S48" i="28"/>
  <c r="I10" i="34"/>
  <c r="J16" i="9"/>
  <c r="J19" i="9"/>
  <c r="J11" i="9"/>
  <c r="J24" i="9"/>
  <c r="J17" i="9"/>
  <c r="J14" i="9"/>
  <c r="J20" i="9"/>
  <c r="J28" i="9"/>
  <c r="J25" i="9"/>
  <c r="J12" i="9"/>
  <c r="J27" i="9"/>
  <c r="F61" i="9"/>
  <c r="F66" i="9"/>
  <c r="J29" i="9"/>
  <c r="J18" i="9"/>
  <c r="J13" i="9"/>
  <c r="J10" i="34"/>
  <c r="H10" i="34"/>
  <c r="J22" i="9"/>
  <c r="J26" i="9"/>
  <c r="J23" i="9"/>
  <c r="J15" i="9"/>
  <c r="J10" i="9"/>
  <c r="J9" i="9"/>
  <c r="AE43" i="28"/>
  <c r="AE99" i="28"/>
  <c r="AH23" i="28"/>
  <c r="AH46" i="28"/>
  <c r="H27" i="13"/>
  <c r="G47" i="13"/>
  <c r="I27" i="13"/>
  <c r="Q111" i="6"/>
  <c r="K111" i="6"/>
  <c r="K56" i="6"/>
  <c r="J33" i="25"/>
  <c r="J35" i="25"/>
  <c r="J30" i="25"/>
  <c r="J27" i="25"/>
  <c r="J34" i="25"/>
  <c r="J36" i="25"/>
  <c r="J31" i="25"/>
  <c r="D42" i="25"/>
  <c r="G42" i="25"/>
  <c r="I42" i="25"/>
  <c r="J37" i="25"/>
  <c r="J28" i="25"/>
  <c r="J29" i="25"/>
  <c r="J32" i="25"/>
  <c r="J26" i="25"/>
  <c r="G39" i="25"/>
  <c r="I39" i="25"/>
  <c r="G56" i="6"/>
  <c r="M111" i="6"/>
  <c r="G111" i="6"/>
  <c r="P111" i="6"/>
  <c r="J111" i="6"/>
  <c r="P56" i="6"/>
  <c r="H16" i="34"/>
  <c r="H114" i="6"/>
  <c r="J110" i="6"/>
  <c r="G45" i="25"/>
  <c r="I114" i="6"/>
  <c r="G41" i="25"/>
  <c r="I110" i="6"/>
  <c r="G110" i="6"/>
  <c r="H110" i="6"/>
  <c r="N10" i="34"/>
  <c r="AH99" i="28"/>
  <c r="AH43" i="28"/>
  <c r="AE48" i="28"/>
  <c r="AE98" i="28"/>
  <c r="G51" i="13"/>
  <c r="J114" i="6"/>
  <c r="K114" i="6"/>
  <c r="G114" i="6"/>
  <c r="AH98" i="28"/>
  <c r="AH48" i="28"/>
  <c r="E11" i="37" l="1"/>
  <c r="C80" i="14"/>
  <c r="C75" i="9"/>
  <c r="C59" i="8"/>
  <c r="C54" i="13"/>
  <c r="C76" i="12"/>
  <c r="E104" i="37"/>
  <c r="D160" i="37"/>
  <c r="E107" i="37"/>
  <c r="P55" i="28"/>
  <c r="P97" i="28" s="1"/>
  <c r="AD55" i="28"/>
  <c r="AD97" i="28" s="1"/>
  <c r="E56" i="37"/>
  <c r="C47" i="30"/>
  <c r="S55" i="28"/>
  <c r="S97" i="28" s="1"/>
  <c r="E43" i="37"/>
  <c r="N55" i="28"/>
  <c r="N97" i="28" s="1"/>
  <c r="R55" i="28"/>
  <c r="R97" i="28" s="1"/>
  <c r="L55" i="28"/>
  <c r="L97" i="28" s="1"/>
  <c r="H55" i="28"/>
  <c r="H97" i="28" s="1"/>
  <c r="V55" i="28"/>
  <c r="V97" i="28" s="1"/>
  <c r="W55" i="28"/>
  <c r="W97" i="28" s="1"/>
  <c r="J55" i="28"/>
  <c r="J97" i="28" s="1"/>
  <c r="AG55" i="28"/>
  <c r="AG97" i="28" s="1"/>
  <c r="AC55" i="28"/>
  <c r="AC97" i="28" s="1"/>
  <c r="AH55" i="28"/>
  <c r="AH97" i="28" s="1"/>
  <c r="X55" i="28"/>
  <c r="X97" i="28" s="1"/>
  <c r="M55" i="28"/>
  <c r="M97" i="28" s="1"/>
  <c r="Y55" i="28"/>
  <c r="Y97" i="28" s="1"/>
  <c r="G55" i="28"/>
  <c r="G97" i="28" s="1"/>
  <c r="O55" i="28"/>
  <c r="O97" i="28" s="1"/>
  <c r="I55" i="28"/>
  <c r="I97" i="28" s="1"/>
  <c r="AE55" i="28"/>
  <c r="AE97" i="28" s="1"/>
  <c r="K55" i="28"/>
  <c r="K97" i="28" s="1"/>
  <c r="AF55" i="28"/>
  <c r="AF97" i="28" s="1"/>
  <c r="T55" i="28"/>
  <c r="T97" i="28" s="1"/>
  <c r="Z55" i="28"/>
  <c r="Z97" i="28" s="1"/>
  <c r="AA55" i="28"/>
  <c r="AA97" i="28" s="1"/>
  <c r="Q55" i="28"/>
  <c r="Q97" i="28" s="1"/>
  <c r="AB55" i="28"/>
  <c r="AB97" i="28" s="1"/>
  <c r="I69" i="33"/>
  <c r="I14" i="33"/>
  <c r="I67" i="33"/>
  <c r="I15" i="34"/>
  <c r="I73" i="33" l="1"/>
  <c r="I85" i="33" s="1"/>
</calcChain>
</file>

<file path=xl/sharedStrings.xml><?xml version="1.0" encoding="utf-8"?>
<sst xmlns="http://schemas.openxmlformats.org/spreadsheetml/2006/main" count="869" uniqueCount="615">
  <si>
    <t>Português</t>
  </si>
  <si>
    <t>English</t>
  </si>
  <si>
    <t>-</t>
  </si>
  <si>
    <t>Os valores da execução final de 2016 correspondem aos valores divulgados na Conta Geral do Estado, ajustados aos critérios de consolidação adotados em 2017 (os quais, face a 2016, foram alargados a subsídios, ativos e passivos financeiros, ainda que apenas o primeiro seja aplicável ao presente quadro).</t>
  </si>
  <si>
    <t xml:space="preserve"> </t>
  </si>
  <si>
    <t>Capital</t>
  </si>
  <si>
    <t>This estimate is used only in months in which there is a lack of report. In other months, the information considered is that effectively reported by the entities.</t>
  </si>
  <si>
    <t>Procedeu-se, a partir de abril de 2017, à individualização em linhas próprias das componentes indicadas, que se encontravam indevidamente adicionadas às “Outras prestações”:
- "Subsídios Correntes - Outros PO PT2020"; e
- "Subsídios Correntes - Programa Operacional de Apoio às Pessoas Mais Carenciadas – POAPMC".</t>
  </si>
  <si>
    <t>From April 2017 onward, the lines “Current subsidies – Other operational programs under the UE multiannual financial framework for the period 2014-2020” and “Current subsidies – Operational Program for Aid to the Most Deprived “ were identified separately, since these items were incorrectly included in “Social benefits – other benefits”.</t>
  </si>
  <si>
    <t>Subsector</t>
  </si>
  <si>
    <t>2012</t>
  </si>
  <si>
    <t>2013</t>
  </si>
  <si>
    <t>2014</t>
  </si>
  <si>
    <t>2015</t>
  </si>
  <si>
    <t>From the 1st July 2014, the responsibility on pension supplements, previously paid by the Military Forces Pension Fund, was transferred to the CGA. This is reflected in the "Survival and Other" component.</t>
  </si>
  <si>
    <t>set</t>
  </si>
  <si>
    <t>R01</t>
  </si>
  <si>
    <t>R02</t>
  </si>
  <si>
    <t>R03</t>
  </si>
  <si>
    <t>R06</t>
  </si>
  <si>
    <t>R0604 a R0605</t>
  </si>
  <si>
    <t>R0601/02/07 a 09</t>
  </si>
  <si>
    <t>R09</t>
  </si>
  <si>
    <t>R10</t>
  </si>
  <si>
    <t>R1004 a R1005</t>
  </si>
  <si>
    <t>R1001/02/07 a 09</t>
  </si>
  <si>
    <t>R13</t>
  </si>
  <si>
    <t>D01</t>
  </si>
  <si>
    <t>D02</t>
  </si>
  <si>
    <t>D03</t>
  </si>
  <si>
    <t>D04</t>
  </si>
  <si>
    <t>D0401/02/07 a 09</t>
  </si>
  <si>
    <t>D05</t>
  </si>
  <si>
    <t>D06</t>
  </si>
  <si>
    <t>D07</t>
  </si>
  <si>
    <t>D08</t>
  </si>
  <si>
    <t>D0804 a D0805</t>
  </si>
  <si>
    <t>D0801/02/07 a 09</t>
  </si>
  <si>
    <t>D11</t>
  </si>
  <si>
    <t xml:space="preserve">          </t>
  </si>
  <si>
    <t>Fonte: Direção-Geral Orçamento</t>
  </si>
  <si>
    <t>Despesa efetiva</t>
  </si>
  <si>
    <t>Despesa primária</t>
  </si>
  <si>
    <t>Diferenças de consolidação</t>
  </si>
  <si>
    <t>Outras despesas</t>
  </si>
  <si>
    <t>Investimento</t>
  </si>
  <si>
    <t>Subsídios</t>
  </si>
  <si>
    <t>Transferências</t>
  </si>
  <si>
    <t>Juros e outros encargos</t>
  </si>
  <si>
    <t xml:space="preserve">Aquisição de bens e serviços </t>
  </si>
  <si>
    <t>Despesas com o pessoal</t>
  </si>
  <si>
    <t>(%)</t>
  </si>
  <si>
    <t>Absoluta</t>
  </si>
  <si>
    <t>Natureza da Despesa</t>
  </si>
  <si>
    <t>Despesa da Administração Central e da Segurança Social</t>
  </si>
  <si>
    <t>O acréscimo verificado no número de pensionistas e na despesa com pensões na rubrica "Sobrevivência e Outras Pensões" a partir do mês de outubro de 2017 decorre da aplicação do Decreto-Lei n.º 95-2017, de 10 de agosto, que regula a transferência para a Caixa Geral de Aposentações, I. P., do encargo financeiro com os complementos de pensão dos trabalhadores da Carris. Estes complementos representam um impacto direto no decréscimo verificado na rubrica "Pensão média nova Sobrevivência e outras (€)".</t>
  </si>
  <si>
    <t>The increase in the number of pensioners and pension expenditure in the item "Survival and Others Pensions" as of October 2017 is the result of the transfer to Caixa Geral de Aposentações, IP, of the financial burden with the pension supplements of Carris’ employees (Law Decree nr. 95/2017 of August 10th). - These supplements have a direct impact on the decrease of the item "Average Value paid per new Survival and Others Pensioner".</t>
  </si>
  <si>
    <t xml:space="preserve">Decorrente da aplicação do  Decreto-Lei n.º 166-A/2013, de 27 de dezembro, que transferiu para a Caixa Geral de Aposentações, I.P., a partir de 1 de julho de 2014, a responsabilidade pelo processamento e pagamento dos complementos de pensão a cargo do Fundo de Pensões dos Militares das Forças Armadas, a rubrica de pensões de “Sobrevivência e outras" passou a considerar essa despesa. </t>
  </si>
  <si>
    <t>R04/R05/R07/R08/R15</t>
  </si>
  <si>
    <t>A linha de despesa "Pensão velhice do regime substitutivo dos bancários" inclui:
- a partir de agosto de 2017, os complementos de pensões dos trabalhadores da Companhia Carris de Ferro de Lisboa, S. A. (Carris), cujo processamento de despesa fica a cargo do Instituto da Segurança Social, I.P., em cumprimento do disposto no Decreto-Lei n.º 95/2017, de 10 de agosto;
- a partir de janeiro de 2020, os complementos de pensões dos trabalhadores da Sociedade de Transportes Coletivos do Porto, S.A. (STCP), cujo processamento de despesa fica a cargo do Instituto da Segurança Social, I.P., em cumprimento do disposto no Decreto-Lei n.º 151/2019,de 11 de outubro.</t>
  </si>
  <si>
    <t>The line “Old age pension scheme from Banking regime” includes:
- From August 2017 onward, supplemental pension benefits due to Companhia Carris de Ferro de Lisboa, S. A. (Carris) former employees, as Social Security is in charge of making these payments according to Decree-Law no. 95/2017 of August 10.
- From January 2020 onward, supplemental pension benefits due to Sociedade de Transportes Coletivos do Porto, S.A. (STCP) former employees, as Social Security is in charge of making these payments according to Decree-Law no. 151/2019 of October 11.</t>
  </si>
  <si>
    <t>(a) The values identified in this item correspond to those recorded by the NHS' entities in the information systems that support the budget execution monitoring. Negative monthly values derive from accumulated amounts lower than those of the previous month recorded by the entities.</t>
  </si>
  <si>
    <t>Notas:</t>
  </si>
  <si>
    <t>TOTAL</t>
  </si>
  <si>
    <t>(2)</t>
  </si>
  <si>
    <t>(1)</t>
  </si>
  <si>
    <t>Total</t>
  </si>
  <si>
    <t>2021</t>
  </si>
  <si>
    <t>, criadas pela Circular Série A n.º 1398 da DGO, as Medidas 097 - 'Programa Ativar' e 098 - 'Incentivo Extraordinário à Normalização', criadas com a Lei n.º 27-A/2020, de 24 de julho, a Medida 099 - 'Universalização da Escola Digital', criada com a Lei nº75-B/2020, de 31 de dezembro) e Medida 102 - "Plano de Recuperação e Resiliência" prevista na Portaria n.º 48/2021, de 4 de março).</t>
  </si>
  <si>
    <t>The expenditure implementation results from the execution and reporting systems of the entities' budget execution (accounted in budgetary measures 095 - 'Contingency COVID-2019 - prevention, containment, mitigation and treatment' and 096 - 'Contingency COVID 2019 - ensuring normality', created by DGO Circular No. 1398, Measures 097 - 'Ativar Program' and 098 - 'Extraordinary Incentive to Normalization', created with Law No. 27-A/2020, of July 24 (2020 Supplementary State Budget Law), measure 099 - 'Universalization of the Digital School', created with Law nº 75-B / 2020, of December 31 - 2021 State Budget Law and measure 102 - "Recovery and Resilience plan").</t>
  </si>
  <si>
    <t>Return from the European Financial Stabilization Fund to the Portuguese State of the profitability of the prepaid margins retained when the loan was initially disbursed.</t>
  </si>
  <si>
    <t>Pagamento relativo ao princípio da onerosidade realizado pela Direção-Geral de Recursos da Defesa Nacional em dezembro de 2021, mas que diz respeito ao ano de 2020 (o montante em causa foi expurgado da despesa de 2021 e considerado em 2020, por forma a não afetar a comparabilidade homóloga).</t>
  </si>
  <si>
    <t>Directorate General for National Defence Resources - Payment made in December 2021, as a financial compensation for the use of public buildings, but which refers to the year 2020.</t>
  </si>
  <si>
    <t>2022</t>
  </si>
  <si>
    <t>Para as entidades identificadas considera-se na execução orçamental uma estimativa de execução para os meses em falta, esta estimativa consiste na correspondente previsão mensal.</t>
  </si>
  <si>
    <t>For the entities identified above an estimate is being used for the months without report, the estimate corresponds to the 2022 monthly budget implementation prediction.</t>
  </si>
  <si>
    <t>BANIF, S.A.</t>
  </si>
  <si>
    <t>As estimativas de execução consistem na correspondente previsão mensal inicial de execução do Orçamento para 2022. Estas estimativas são adicionadas à Conta da Administração Central para minimizar o efeito da falta de reporte de execução. Apenas inclui informação das entidades que disponibilizaram previsão de execução para os meses em causa.</t>
  </si>
  <si>
    <t xml:space="preserve"> Estimated amounts correspond to the 2022 monthly budget implementation prediction. These estimates are added to the Central Government account in order to minimize the impacts of missing information in the report of implementation. Only includes information of the entities that provided implementation prediction for the respective months.</t>
  </si>
  <si>
    <t>Devolução pelo Fundo Europeu de Estabilização Financeira (FEEF) ao Estado português, da rentabilidade das prepaid margins retida aquando do desembolso inicial do empréstimo do PAEF.</t>
  </si>
  <si>
    <t>(a) Os valores identificados neste item correspondem aos que foram registados pelas entidades nos sistemas de informação de suporte ao acompanhamento da execução orçamental. Valores mensais negativos resultam do registo, pelas entidades, de valores acumulados inferiores aos do mês precedente.</t>
  </si>
  <si>
    <t>Transferências correntes - compensação faseada às autarquias relativamente às transferências efetivadas em 2018 ao abrigo da Lei de Finanças Locais - art. 5.º da Lei n.º 73/2013, de 3 de setembro, na redação pela Lei n.º 51/2018, 16 de agosto.</t>
  </si>
  <si>
    <t>Compensation mechanism between 2019 and 2021 for the part of the transfers not delivered in 2018, due to the maximum growth limitation mechanism for each municipality and parish in the previous version of the Local Finances Law (current transfers).</t>
  </si>
  <si>
    <t>Transferências de capital - compensação faseada às autarquias relativamente às transferências efetivadas em 2018 ao abrigo da Lei de Finanças Locais - art.º 5.º da Lei n.º 73/2013, de 3 de setembro, na redação pela Lei n.º 51/2018, 16 de agosto.</t>
  </si>
  <si>
    <t>Compensation mechanism between 2019 and 2021 for the part of the transfers not delivered in 2018, due to the maximum growth limitation mechanism for each municipality and parish in the previous version of the Local Finances Law (capital transfers).</t>
  </si>
  <si>
    <t>D0404 e D0405</t>
  </si>
  <si>
    <t>Pagamentos de encargos para sistemas de segurança social, realizados em janeiro mas respeitantes ao ano anterior, pelos Estabelecimentos de Educação e Ensinos Básico e Secundário.</t>
  </si>
  <si>
    <t>Alteração da contabilização da despesa suportada pela Direção-Geral do Tesouro e Finanças no âmbito do programa “IVAucher”, de "Outras despesas correntes" para "Subsídios".</t>
  </si>
  <si>
    <t>Pagamentos realizados pelo Fundo de Resolução ao Novo Banco, ao abrigo do Acordo de Capitalização Contingente, celebrado entre as duas entidades em outubro de 2017.</t>
  </si>
  <si>
    <t>Payments made by the Resolution Fund to Novo Banco under the contingent capitalization agreement signed in october 2017 by the two parties.</t>
  </si>
  <si>
    <t>December’s employer social security contributions payed in january by the Basic and Secondary Education Establishments.</t>
  </si>
  <si>
    <t>Reclassification, in 2021, of spending related to “IVAucher”, a COVID-19 crisis response program, by the Directorate General of Treasury and Finance, from ‘other current expenditure’ to ‘subsidies’.</t>
  </si>
  <si>
    <t>Variação homóloga acumulada</t>
  </si>
  <si>
    <t>Execução acumulada</t>
  </si>
  <si>
    <t>Instituto Português do Mar e da Atmosfera, I.P. (5854)</t>
  </si>
  <si>
    <t>Fundo de Compensação Salarial dos Profissionais da Pesca (5942)</t>
  </si>
  <si>
    <t>Fundo Azul (5979)</t>
  </si>
  <si>
    <t>Estrutura de Missão para a Extensão da Plataforma Continental (3048)</t>
  </si>
  <si>
    <t>Direção-Geral de Recursos Naturais, Segurança e Serviços Marítimos (4221)</t>
  </si>
  <si>
    <t>Direção-Geral de Política do Mar (4199)</t>
  </si>
  <si>
    <t>Autoridade de Gestão do Programa Operacional Mar 2020 (4396)</t>
  </si>
  <si>
    <t>Instituto Nacional de Investigação Agrária e Veterinária, I.P. (5856)</t>
  </si>
  <si>
    <t>Instituto dos Vinhos do Douro e do Porto, I.P. (5693)</t>
  </si>
  <si>
    <t>Instituto de Financiamento da Agricultura e Pescas, I.P. (5736)</t>
  </si>
  <si>
    <t>Instituto da Vinha e do Vinho, I.P. (5286)</t>
  </si>
  <si>
    <t>Gabinete de Planeamento e Políticas (2961)</t>
  </si>
  <si>
    <t>Fundo Sanitário e de Segurança Alimentar Mais (5850)</t>
  </si>
  <si>
    <t>Estrutura de Missão para o Programa de Desenvolvimento Rural do Continente (4390)</t>
  </si>
  <si>
    <t>EDIA - Empresa de Desenvolvimento e Infraestruturas do Alqueva, S.A. (5934)</t>
  </si>
  <si>
    <t>Direção-Geral de Alimentação e Veterinária (2410)</t>
  </si>
  <si>
    <t>Direção-Geral da Agricultura e Desenvolvimento Rural (2940)</t>
  </si>
  <si>
    <t>Direção Regional de Agricultura e Pescas do Norte (2944)</t>
  </si>
  <si>
    <t>Direção Regional de Agricultura e Pescas do Centro (2949)</t>
  </si>
  <si>
    <t>Direção Regional de Agricultura e Pescas do Algarve (2404)</t>
  </si>
  <si>
    <t>Direção Regional de Agricultura e Pescas do Alentejo (2403)</t>
  </si>
  <si>
    <t>Direção Regional de Agricultura e Pescas de Lisboa e Vale do Tejo (2402)</t>
  </si>
  <si>
    <t>Metro - Mondego, S.A. (5904)</t>
  </si>
  <si>
    <t>Laboratório Nacional de Engenharia Civil (5723)</t>
  </si>
  <si>
    <t>Instituto dos Mercados Públicos, do Imobiliário e da Construção (5657)</t>
  </si>
  <si>
    <t>Instituto da Mobilidade e dos Transportes (5749)</t>
  </si>
  <si>
    <t>Infraestruturas de Portugal, S.A. (5791)</t>
  </si>
  <si>
    <t>Gabinetes dos Membros do Governo do Ministério das Infraestruturas e Habitação (4401)</t>
  </si>
  <si>
    <t>Gabinete de Prevenção e Investigação de Acidentes com Aeronaves e de Acidentes Ferroviários (4441)</t>
  </si>
  <si>
    <t>Fundo para o Serviço Público de Transportes (5004)</t>
  </si>
  <si>
    <t>Fundo Nacional de Reabilitação do Edificado (5024)</t>
  </si>
  <si>
    <t>Fundação Museu Nacional Ferroviário Armando Ginestal Machado (5903)</t>
  </si>
  <si>
    <t>CP - Comboios de Portugal, E.P.E. (5902)</t>
  </si>
  <si>
    <t>Comissão Nacional de Congressos da Estrada (5020)</t>
  </si>
  <si>
    <t>Autoridade Nacional das Comunicações (5270)</t>
  </si>
  <si>
    <t>Autoridade Nacional da Aviação Civil (5664)</t>
  </si>
  <si>
    <t>Autoridade da Mobilidade e dos Transportes (5900)</t>
  </si>
  <si>
    <t>Vianapolis, Sociedade para o Desenvolvimento do Programa Polis em Viana do Castelo, S.A. (5804)</t>
  </si>
  <si>
    <t>Transtejo - Transportes Tejo, S.A. (5871)</t>
  </si>
  <si>
    <t>Soflusa - Sociedade Fluvial de Transportes, S.A. (5872)</t>
  </si>
  <si>
    <t>Secretaria-Geral do Ministério do Ambiente (4253)</t>
  </si>
  <si>
    <t>Polis Litoral Ria Formosa, S.A. (5799)</t>
  </si>
  <si>
    <t>Polis Litoral Ria de Aveiro, S.A. (5798)</t>
  </si>
  <si>
    <t>Polis Litoral Norte, S.A. (5797)</t>
  </si>
  <si>
    <t>Nortrem - Aluguer de Material Ferroviário, A.C.E (5026)</t>
  </si>
  <si>
    <t>Metropolitano de Lisboa, E.P.E. (5790)</t>
  </si>
  <si>
    <t>Metro do Porto, S.A. (5789)</t>
  </si>
  <si>
    <t>Metro do Porto Consultoria - Consultoria em Transportes Urbanos e Participações, Unipessoal, Lda. (5905)</t>
  </si>
  <si>
    <t>Marina do Parque das Nações - Sociedade Concessionária da Marina Parque das Nações, S.A. (5936)</t>
  </si>
  <si>
    <t>Laboratório Nacional de Energia e Geologia, I.P. (5724)</t>
  </si>
  <si>
    <t>Instituto da Conservação da Natureza e das Florestas, I.P. (5855)</t>
  </si>
  <si>
    <t>Inspeção-Geral da Agricultura, do Mar, do Ambiente e do Ordenamento do Território (4223)</t>
  </si>
  <si>
    <t>Fundo Ambiental (5982)</t>
  </si>
  <si>
    <t>Entidade Reguladora dos Serviços Energéticos, I.P. (5271)</t>
  </si>
  <si>
    <t>Entidade Reguladora dos Serviços das Águas e dos Resíduos (5681)</t>
  </si>
  <si>
    <t>Entidade Nacional para o Setor Energético, E.P.E. (5939)</t>
  </si>
  <si>
    <t>Direção-Geral do Território (4227)</t>
  </si>
  <si>
    <t>Direção-Geral de Energia e Geologia (4450)</t>
  </si>
  <si>
    <t>Costa Polis Sociedade para o Desenvolvimento do Programa Polis na Costa da Caparica, S.A. (5795)</t>
  </si>
  <si>
    <t>Conselho Nacional do Ambiente e Desenvolvimento Sustentável (2443)</t>
  </si>
  <si>
    <t>Conselho Nacional da Água (2450)</t>
  </si>
  <si>
    <t>AVEIROPOLIS - Sociedade para o Desenvolvimento do Programa Polis em Aveiro, S.A. (5988)</t>
  </si>
  <si>
    <t>Agência Portuguesa do Ambiente, I.P. (5849)</t>
  </si>
  <si>
    <t>Agência para a Energia (5015)</t>
  </si>
  <si>
    <t>Ação Governativa - Ministério Ambiente e da Ação Climática (MAAC) (4252)</t>
  </si>
  <si>
    <t>Unidade Local de Saúde do Norte Alentejano, E.P.E (6519)</t>
  </si>
  <si>
    <t>Unidade Local de Saúde do Nordeste, E.P.E (6540)</t>
  </si>
  <si>
    <t>Unidade Local de Saúde do Litoral Alentejano, E.P.E (6534)</t>
  </si>
  <si>
    <t>Unidade Local de Saúde do Baixo Alentejo, E.P.E (6527)</t>
  </si>
  <si>
    <t>Unidade Local de Saúde do Alto Minho, E.P.E (6525)</t>
  </si>
  <si>
    <t>Unidade Local de Saúde de Matosinhos, E.P.E. (6506)</t>
  </si>
  <si>
    <t>Unidade Local de Saúde de Castelo Branco, E.P.E (6533)</t>
  </si>
  <si>
    <t>Unidade Local de Saúde da Guarda, E.P.E (6526)</t>
  </si>
  <si>
    <t>SUCH - Serviço de Utilização Comum dos Hospitais (5899)</t>
  </si>
  <si>
    <t>Serviços Partilhados do Ministério da Saúde, E.P.E. (5842)</t>
  </si>
  <si>
    <t>Serviço de Intervenção nos Comportamentos Aditivos e nas Dependências (4201)</t>
  </si>
  <si>
    <t>Secretaria-Geral do Ministério da Saúde (2897)</t>
  </si>
  <si>
    <t>Instituto Português do Sangue e da Transplantação (5847)</t>
  </si>
  <si>
    <t>Instituto Português de Oncologia - Porto, E.P.E (6509)</t>
  </si>
  <si>
    <t>Instituto Português de Oncologia - Lisboa, E.P.E (6508)</t>
  </si>
  <si>
    <t>Instituto Português de Oncologia - Coimbra, E.P.E. (6507)</t>
  </si>
  <si>
    <t>Instituto Oftalmológico Dr. Gama Pinto (5504)</t>
  </si>
  <si>
    <t>Instituto Nacional de Saúde Dr. Ricardo Jorge, I.P. (5498)</t>
  </si>
  <si>
    <t>Instituto Nacional de Emergência Médica, I.P. (5491)</t>
  </si>
  <si>
    <t>Inspeção-Geral das Atividades em Saúde (1906)</t>
  </si>
  <si>
    <t>INFARMED - Autoridade Nacional do Medicamento e Produtos de Saúde, I.P. (5493)</t>
  </si>
  <si>
    <t>Hospital Santa Maria Maior - Barcelos, E.P.E (6503)</t>
  </si>
  <si>
    <t>Hospital Prof. Doutor Fernando Fonseca, E.P.E (6530)</t>
  </si>
  <si>
    <t>Hospital Magalhães Lemos - Porto, E.P.E (6528)</t>
  </si>
  <si>
    <t>Hospital Garcia da Orta, E.P.E. - Almada (6505)</t>
  </si>
  <si>
    <t>Hospital Dr. Francisco Zagalo - Ovar (5594)</t>
  </si>
  <si>
    <t>Hospital do Espirito Santo, de Évora, E.P.E (6513)</t>
  </si>
  <si>
    <t>Hospital Distrital de Santarém, E.P.E (6504)</t>
  </si>
  <si>
    <t>Hospital Distrital da Figueira da Foz, E.P.E (6502)</t>
  </si>
  <si>
    <t>Hospital de Braga, EPE (6564)</t>
  </si>
  <si>
    <t>Hospital da Senhora da Oliveira Guimarães, E.P.E (6517)</t>
  </si>
  <si>
    <t>Hospital Arcebispo João do Crisóstomo - Cantanhede (5587)</t>
  </si>
  <si>
    <t>Fundo para a Investigação em Saúde (5947)</t>
  </si>
  <si>
    <t>Entidade Reguladora da Saúde (5706)</t>
  </si>
  <si>
    <t>Direção-Geral da Saúde (2194)</t>
  </si>
  <si>
    <t>Centro Hospitalar Vila Nova de Gaia/Espinho, E.P.E (6518)</t>
  </si>
  <si>
    <t>Centro Hospitalar Universitário do Porto, E.P.E (6520)</t>
  </si>
  <si>
    <t>Centro Hospitalar Universitário de São João, E.P.E (6535)</t>
  </si>
  <si>
    <t>Centro Hospitalar Universitário de Lisboa Norte, E.P.E (6522)</t>
  </si>
  <si>
    <t>Centro Hospitalar Universitário de Lisboa Central, E.P.E (6514)</t>
  </si>
  <si>
    <t>Centro Hospitalar Trás-os-Montes e Alto Douro, E.P.E (6515)</t>
  </si>
  <si>
    <t>Centro Hospitalar Tondela- Viseu, E.P.E (6538)</t>
  </si>
  <si>
    <t>Centro Hospitalar Psiquiátrico de Lisboa (5752)</t>
  </si>
  <si>
    <t>Centro Hospitalar Póvoa do Varzim - Vila do Conde, E.P.E (6523)</t>
  </si>
  <si>
    <t>Centro Hospitalar e Universitário do Algarve, E.P.E (6559)</t>
  </si>
  <si>
    <t>Centro Hospitalar e Universitário de Coimbra, E.P.E (6536)</t>
  </si>
  <si>
    <t>Centro Hospitalar do Tâmega e Sousa, E.P.E (6521)</t>
  </si>
  <si>
    <t>Centro Hospitalar do Oeste,  E.P.E (6562)</t>
  </si>
  <si>
    <t>Centro Hospitalar do Médio Tejo, E.P.E (6501)</t>
  </si>
  <si>
    <t>Centro Hospitalar do Médio Ave, E.P.E (6516)</t>
  </si>
  <si>
    <t>Centro Hospitalar do Baixo Vouga, E.P.E (6537)</t>
  </si>
  <si>
    <t>Centro Hospitalar de Setúbal, E.P.E (6512)</t>
  </si>
  <si>
    <t>Centro Hospitalar de Lisboa Ocidental, E.P.E (6511)</t>
  </si>
  <si>
    <t>Centro Hospitalar de Leiria, E.P.E (6539)</t>
  </si>
  <si>
    <t>Centro Hospitalar de Entre Douro e Vouga, E.P.E (6529)</t>
  </si>
  <si>
    <t>Centro Hospitalar Barreiro Montijo, E.P.E (6531)</t>
  </si>
  <si>
    <t>Administração Regional de Saúde do Norte, I.P. (5512)</t>
  </si>
  <si>
    <t>Administração Regional de Saúde do Centro, I.P. (5510)</t>
  </si>
  <si>
    <t>Administração Regional de Saúde do Algarve, I.P. (5509)</t>
  </si>
  <si>
    <t>Administração Regional de Saúde do Alentejo, I.P. (5508)</t>
  </si>
  <si>
    <t>Administração Regional de Saúde de Lisboa e Vale do Tejo, I.P. (5511)</t>
  </si>
  <si>
    <t>Administração Central do Sistema de Saúde, I.P. (5494)</t>
  </si>
  <si>
    <t>Ação Governativa - Ministério da Saúde (MS) (4261)</t>
  </si>
  <si>
    <t>Secretaria -Geral do MTSSS (1978)</t>
  </si>
  <si>
    <t>Santa Casa da Misericórdia de Lisboa, I.P. (5810)</t>
  </si>
  <si>
    <t>Instituto Nacional para a Reabilitação, I.P. (2236)</t>
  </si>
  <si>
    <t>Instituto do Emprego e Formação Profissional, I.P. (5619)</t>
  </si>
  <si>
    <t>Inspeção-geral do MTSSS (2528)</t>
  </si>
  <si>
    <t>Gabinete de Estratégia e Planeamento (2938)</t>
  </si>
  <si>
    <t>Fundo de Reestruturação do Setor Solidário (6561)</t>
  </si>
  <si>
    <t>Direção-Geral da Segurança Social (2233)</t>
  </si>
  <si>
    <t>Direção-Geral do Emprego e das Relações de Trabalho (2611)</t>
  </si>
  <si>
    <t>Cooperativa António Sérgio para a Economia Social (5873)</t>
  </si>
  <si>
    <t>Comissão para a Igualdade no Trabalho e Emprego (2538)</t>
  </si>
  <si>
    <t>Comissão Nacional de Promoção dos Direitos e Proteção das Crianças e Jovens (4395)</t>
  </si>
  <si>
    <t>Centro Relações Laborais (4385)</t>
  </si>
  <si>
    <t>Centro Protocolar de Formação Profissional para o Sector da Justiça (5834)</t>
  </si>
  <si>
    <t>Centro Protocolar de Formação Profissional para Jornalistas (5837)</t>
  </si>
  <si>
    <t>Centro de Reabilitação Profissional de Gaia (5835)</t>
  </si>
  <si>
    <t>Centro de Formação Sindical e Aperfeiçoamento Profissional (5784)</t>
  </si>
  <si>
    <t>Centro de Formação Profissional para Setor da Construção Civil e Obras Públicas do Norte (5827)</t>
  </si>
  <si>
    <t>Centro de Formação Profissional para o Sector Alimentar (5832)</t>
  </si>
  <si>
    <t>Centro de Formação Profissional para o Comércio e Afins (5831)</t>
  </si>
  <si>
    <t>Centro de Formação Profissional para o Artesanato e Património (5824)</t>
  </si>
  <si>
    <t>Centro de Formação Profissional para a Indústria de Cerâmica (5828)</t>
  </si>
  <si>
    <t>Centro de Formação Profissional dos Trabalhadores de Escritório, Comércio, Serviços e Novas Tecnologias (5825)</t>
  </si>
  <si>
    <t>Centro de Formação Profissional das Pescas e do Mar (5836)</t>
  </si>
  <si>
    <t>Centro de Formação Profissional das Indústrias da Madeira e Mobiliário (5823)</t>
  </si>
  <si>
    <t>Centro de Formação Profissional da Reparação Automóvel (5822)</t>
  </si>
  <si>
    <t>Centro de Formação Profissional da Indústria Têxtil, Vestuário, Confeção e Lanifícios (5813)</t>
  </si>
  <si>
    <t>Centro de Formação Profissional da Indústria Metalúrgica e Metalomecânica (5820)</t>
  </si>
  <si>
    <t>Centro de Formação Profissional da Indústria Eletrónica (5819)</t>
  </si>
  <si>
    <t>Centro de Formação Profissional da Indústria de Ourivesaria e Relojoaria (CINDOR) (5818)</t>
  </si>
  <si>
    <t>Centro de Formação Profissional da Indústria de Fundição (5817)</t>
  </si>
  <si>
    <t>Centro de Formação Profissional da Indústria de Cortiça (5816)</t>
  </si>
  <si>
    <t>Centro de Formação Profissional da Indústria de Construção Civil e Obras Públicas do Sul (5814)</t>
  </si>
  <si>
    <t>Centro de Formação Profissional da Indústria de Calçado (5815)</t>
  </si>
  <si>
    <t>Centro de Formação Profissional CESAE Digital (5031)</t>
  </si>
  <si>
    <t>Centro de Formação e Inovação Tecnológica (INOVINTER) (5811)</t>
  </si>
  <si>
    <t>Centro de Educação e Formação Profissional Integrada (CEFPI) (5812)</t>
  </si>
  <si>
    <t>Casa Pia de Lisboa, I.P. (5809)</t>
  </si>
  <si>
    <t>Caixa-Geral de Aposentações, I.P. (5222)</t>
  </si>
  <si>
    <t>Autoridade para as Condições de Trabalho (2965)</t>
  </si>
  <si>
    <t>Ação Governativa - Ministério do Trabalho, Solidariedade e Segurança Social (MTSSS) (4262)</t>
  </si>
  <si>
    <t>Secretaria-Geral do Ministério da Educação (2618)</t>
  </si>
  <si>
    <t>Parque Escolar - E.P.E. (5808)</t>
  </si>
  <si>
    <t>Instituto de Gestão Financeira da Educação, I.P. (5950)</t>
  </si>
  <si>
    <t>Instituto de Avaliação Educativa, I.P. (5874)</t>
  </si>
  <si>
    <t>Inspeção Geral da Educação e Ciência (1902)</t>
  </si>
  <si>
    <t>Fundação do Desporto (5997)</t>
  </si>
  <si>
    <t>Estabelecimentos de Educação e Ensinos Básico e Secundário (4266)</t>
  </si>
  <si>
    <t>Escola Portuguesa de S. Tomé e Príncipe - CELP (5980)</t>
  </si>
  <si>
    <t>Escola Portuguesa de Moçambique (5697)</t>
  </si>
  <si>
    <t>Escola Portuguesa de Luanda - Centro de Ensino e Língua Portuguesa (5037)</t>
  </si>
  <si>
    <t>Escola Portuguesa de Díli - CELP - Ruy Cinatti (5767)</t>
  </si>
  <si>
    <t>Escola Portuguesa de Cabo Verde - CELP (5981)</t>
  </si>
  <si>
    <t>Editorial do Ministério da Educação e Ciência (5294)</t>
  </si>
  <si>
    <t>Direção-Geral dos Estabelecimentos Escolares (4239)</t>
  </si>
  <si>
    <t>Direção-Geral de Estatísticas da Educação e Ciência (2941)</t>
  </si>
  <si>
    <t>Direção-Geral da Educação (2641)</t>
  </si>
  <si>
    <t>Direção-Geral da Administração Escolar (2530)</t>
  </si>
  <si>
    <t>Conselho Nacional de Educação (2625)</t>
  </si>
  <si>
    <t>Agência Nacional para a Qualificação e o Ensino Profissional, I.P. (5737)</t>
  </si>
  <si>
    <t>Agência Nacional Erasmus + Juventude/Desporto e Corpo Europeu de Solidariedade (5964)</t>
  </si>
  <si>
    <t>Ação Governativa - Ministério da Educação (ME) (4268)</t>
  </si>
  <si>
    <t>Universidade Nova de Lisboa - Fundação Pública (5987)</t>
  </si>
  <si>
    <t>Universidade dos Açores (5305)</t>
  </si>
  <si>
    <t>Universidade do Porto - Fundação Pública (5807)</t>
  </si>
  <si>
    <t>Universidade do Minho - Fundação Pública (5326)</t>
  </si>
  <si>
    <t>Universidade do Algarve (5306)</t>
  </si>
  <si>
    <t>Universidade de Trás-os-Montes e Alto Douro (5360)</t>
  </si>
  <si>
    <t>Universidade de Lisboa (UL) - Reitoria (5865)</t>
  </si>
  <si>
    <t>Universidade de Évora (5312)</t>
  </si>
  <si>
    <t>Universidade de Coimbra (5309)</t>
  </si>
  <si>
    <t>Universidade de Aveiro - Fundação Pública (5841)</t>
  </si>
  <si>
    <t>Universidade da Madeira (5325)</t>
  </si>
  <si>
    <t>Universidade da Beira Interior (5308)</t>
  </si>
  <si>
    <t>Universidade Aberta (5304)</t>
  </si>
  <si>
    <t>UNINOVA - Instituto de Desenvolvimento de Novas Tecnologias (5019)</t>
  </si>
  <si>
    <t>UL - Instituto Superior Técnico (5353)</t>
  </si>
  <si>
    <t>UL - Instituto Superior de Economia e Gestão (5354)</t>
  </si>
  <si>
    <t>UL - Instituto Superior de Agronomia (5355)</t>
  </si>
  <si>
    <t>UL - Instituto Superior Ciências Sociais Políticas (5357)</t>
  </si>
  <si>
    <t>UL - Instituto de Geografia e Ordenamento do Território (5765)</t>
  </si>
  <si>
    <t>UL - Instituto de Educação (5764)</t>
  </si>
  <si>
    <t>UL - Instituto de Ciências Sociais (5322)</t>
  </si>
  <si>
    <t>UL - Faculdade de Psicologia (5763)</t>
  </si>
  <si>
    <t>UL - Faculdade de Motricidade Humana (5359)</t>
  </si>
  <si>
    <t>UL - Faculdade de Medicina Veterinária (5356)</t>
  </si>
  <si>
    <t>UL - Faculdade de Medicina Dentária (5320)</t>
  </si>
  <si>
    <t>UL - Faculdade de Medicina (5316)</t>
  </si>
  <si>
    <t>UL - Faculdade de Letras (5314)</t>
  </si>
  <si>
    <t>UL - Faculdade de Farmácia (5318)</t>
  </si>
  <si>
    <t>UL - Faculdade de Direito (5315)</t>
  </si>
  <si>
    <t>UL - Faculdade de Ciências (5317)</t>
  </si>
  <si>
    <t>UL - Faculdade de Belas-Artes (5321)</t>
  </si>
  <si>
    <t>UL - Faculdade de Arquitetura (5358)</t>
  </si>
  <si>
    <t>SAS - Universidade dos Açores (5433)</t>
  </si>
  <si>
    <t>SAS - Universidade do Minho (5441)</t>
  </si>
  <si>
    <t>SAS - Universidade do Algarve (5434)</t>
  </si>
  <si>
    <t>SAS - Universidade de Trás-os-Montes e Alto Douro (5445)</t>
  </si>
  <si>
    <t>SAS - Universidade de Lisboa (UL) (5866)</t>
  </si>
  <si>
    <t>SAS - Universidade de Évora (5438)</t>
  </si>
  <si>
    <t>SAS - Universidade de Coimbra (5437)</t>
  </si>
  <si>
    <t>SAS - Universidade da Madeira (5440)</t>
  </si>
  <si>
    <t>SAS - Universidade Beira Interior (5436)</t>
  </si>
  <si>
    <t>SAS - Instituto Politécnico do Porto (5456)</t>
  </si>
  <si>
    <t>SAS - Instituto Politécnico de Viseu (5461)</t>
  </si>
  <si>
    <t>SAS - Instituto Politécnico de Viana do Castelo (5460)</t>
  </si>
  <si>
    <t>SAS - Instituto Politécnico de Tomar (5459)</t>
  </si>
  <si>
    <t>SAS - Instituto Politécnico de Setúbal (5458)</t>
  </si>
  <si>
    <t>SAS - Instituto Politécnico de Santarém (5457)</t>
  </si>
  <si>
    <t>SAS - Instituto Politécnico de Portalegre (5455)</t>
  </si>
  <si>
    <t>SAS - Instituto Politécnico de Lisboa (5454)</t>
  </si>
  <si>
    <t>SAS - Instituto Politécnico de Leiria (5453)</t>
  </si>
  <si>
    <t>SAS - Instituto Politécnico de Coimbra (5451)</t>
  </si>
  <si>
    <t>SAS - Instituto Politécnico de Castelo Branco (5450)</t>
  </si>
  <si>
    <t>SAS - Instituto Politécnico de Bragança (5449)</t>
  </si>
  <si>
    <t>SAS - Instituto Politécnico de Beja (5448)</t>
  </si>
  <si>
    <t>SAS - Instituto Politécnico da Guarda (5452)</t>
  </si>
  <si>
    <t>ISCTE - Instituto Universitário de Lisboa - Fundação Pública (5840)</t>
  </si>
  <si>
    <t>Instituto Superior de Engenharia do Porto (5410)</t>
  </si>
  <si>
    <t>Instituto Superior de Engenharia de Lisboa (5400)</t>
  </si>
  <si>
    <t>Instituto Politécnico do Porto (5406)</t>
  </si>
  <si>
    <t>Instituto Politécnico do Cávado e do Ave - Fundação Pública (5379)</t>
  </si>
  <si>
    <t>Instituto Politécnico de Viseu (5426)</t>
  </si>
  <si>
    <t>Instituto Politécnico de Viana do Castelo (5421)</t>
  </si>
  <si>
    <t>Instituto Politécnico de Tomar (5420)</t>
  </si>
  <si>
    <t>Instituto Politécnico de Setúbal (5416)</t>
  </si>
  <si>
    <t>Instituto Politécnico de Santarém (5411)</t>
  </si>
  <si>
    <t>Instituto Politécnico de Portalegre (5401)</t>
  </si>
  <si>
    <t>Instituto Politécnico de Lisboa (5393)</t>
  </si>
  <si>
    <t>Instituto Politécnico de Leiria (5389)</t>
  </si>
  <si>
    <t>Instituto Politécnico de Coimbra (5380)</t>
  </si>
  <si>
    <t>Instituto Politécnico de Castelo Branco (5374)</t>
  </si>
  <si>
    <t>Instituto Politécnico de Bragança (5372)</t>
  </si>
  <si>
    <t>Instituto Politécnico de Beja (5367)</t>
  </si>
  <si>
    <t>Instituto Politécnico da Guarda (5385)</t>
  </si>
  <si>
    <t>IMAR - Instituto do Mar (5879)</t>
  </si>
  <si>
    <t>Fundação para o Desenvolvimento Ciências Económicas Financeiras e Empresariais (5882)</t>
  </si>
  <si>
    <t>Fundação para a Ciência e Tecnologia, I.P. (5298)</t>
  </si>
  <si>
    <t>Fundação Gaspar Frutuoso (5960)</t>
  </si>
  <si>
    <t>Escola Superior Náutica Infante D. Henrique (5747)</t>
  </si>
  <si>
    <t>Escola Superior de Hotelaria e Turismo do Estoril (5278)</t>
  </si>
  <si>
    <t>Escola Superior de Enfermagem do Porto (5732)</t>
  </si>
  <si>
    <t>Escola Superior de Enfermagem de Lisboa (5748)</t>
  </si>
  <si>
    <t>Escola Superior de Enfermagem de Coimbra (5731)</t>
  </si>
  <si>
    <t>Direção-Geral do Ensino Superior (2561)</t>
  </si>
  <si>
    <t>Centro Científico e Cultural de Macau, I.P. (2168)</t>
  </si>
  <si>
    <t>AUP - Associação das Universidades Portuguesas (5008)</t>
  </si>
  <si>
    <t>Agência Nacional para a Gestão do Programa Erasmus + Educação e Formação (5963)</t>
  </si>
  <si>
    <t>Agência Espacial Portuguesa - Portugal SPACE (5025)</t>
  </si>
  <si>
    <t>Ação Governativa - Ministério da Ciência, Tecnologia e Ensino Superior (MCTES) (4404)</t>
  </si>
  <si>
    <t>Academia das Ciências de Lisboa (2164)</t>
  </si>
  <si>
    <t>Teatro Nacional de São João, E.P.E (5778)</t>
  </si>
  <si>
    <t>Teatro Nacional D. Maria II, E.P.E. (5968)</t>
  </si>
  <si>
    <t>Rádio e Televisão de Portugal, S.A. (5777)</t>
  </si>
  <si>
    <t>OPART- Organismo de Produção Artística, E.P.E. (5862)</t>
  </si>
  <si>
    <t>Instituto do Cinema e do Audiovisual, I.P. (5487)</t>
  </si>
  <si>
    <t>Gestão Administrativa e Financeira do Ministério da Cultura (4403)</t>
  </si>
  <si>
    <t>Gabinetes dos Membros do Governo do Ministério da Cultura (4400)</t>
  </si>
  <si>
    <t>Fundo de Salvaguarda do Património Cultural (5766)</t>
  </si>
  <si>
    <t>Fundo de Fomento Cultural (5484)</t>
  </si>
  <si>
    <t>Fundação Centro Cultural de Belém (5885)</t>
  </si>
  <si>
    <t>Direção-Geral do Património Cultural (5858)</t>
  </si>
  <si>
    <t>Direção Regional de Cultura do Norte (2286)</t>
  </si>
  <si>
    <t>Direção Regional de Cultura do Centro (2287)</t>
  </si>
  <si>
    <t>Direção Regional de Cultura do Algarve (2289)</t>
  </si>
  <si>
    <t>Direção Regional de Cultura do Alentejo (2288)</t>
  </si>
  <si>
    <t>Côa Parque- Fundação para a Salvaguarda e Valorização do Vale do Côa (5957)</t>
  </si>
  <si>
    <t>Cinemateca Portuguesa - Museu do Cinema, I.P. (5861)</t>
  </si>
  <si>
    <t>Tribunal da Relação do Porto (2655)</t>
  </si>
  <si>
    <t>Tribunal da Relação de Lisboa (2654)</t>
  </si>
  <si>
    <t>Tribunal da Relação de Guimarães (2658)</t>
  </si>
  <si>
    <t>Tribunal da Relação de Évora (2657)</t>
  </si>
  <si>
    <t>Tribunal da Relação de Coimbra (2656)</t>
  </si>
  <si>
    <t>Tribunal Central Administrativo - Sul (2659)</t>
  </si>
  <si>
    <t>Tribunal Central Administrativo - Norte (2804)</t>
  </si>
  <si>
    <t>Polícia Judiciária (1223)</t>
  </si>
  <si>
    <t>Instituto dos Registos e do Notariado, I.P. (1221)</t>
  </si>
  <si>
    <t>Comissão para o Acompanhamento dos Auxiliares de Justiça (5940)</t>
  </si>
  <si>
    <t>Centro de Estudos Judiciários (1281)</t>
  </si>
  <si>
    <t>Serviços Sociais da P.S.P. (5249)</t>
  </si>
  <si>
    <t>Serviços Sociais da G.N.R. (5248)</t>
  </si>
  <si>
    <t>Serviço de Estrangeiros e Fronteiras (1973)</t>
  </si>
  <si>
    <t>Polícia de Segurança Pública (1974)</t>
  </si>
  <si>
    <t>Guarda Nacional Republicana (1975)</t>
  </si>
  <si>
    <t>Escola Nacional de Bombeiros (5016)</t>
  </si>
  <si>
    <t>Cofre de Previdência da P.S.P. (5245)</t>
  </si>
  <si>
    <t>Autoridade Nacional de Segurança Rodoviária (2947)</t>
  </si>
  <si>
    <t>Autoridade Nacional de Emergência e Proteção Civil (5738)</t>
  </si>
  <si>
    <t>Polícia Judiciária Militar (2351)</t>
  </si>
  <si>
    <t>Marinha (2791)</t>
  </si>
  <si>
    <t>Instituto Hidrográfico (5229)</t>
  </si>
  <si>
    <t>Instituto de Defesa Nacional (2350)</t>
  </si>
  <si>
    <t>Força Aérea (2793)</t>
  </si>
  <si>
    <t>Exército (2792)</t>
  </si>
  <si>
    <t>Estado-Maior General das Forças Armadas (2790)</t>
  </si>
  <si>
    <t>Fundo de Regularização da Dívida Pública (5223)</t>
  </si>
  <si>
    <t>Unidade Técnica de Acompanhamento e Monitorização do Setor Público Empresarial (4426)</t>
  </si>
  <si>
    <t>Unidade Técnica de Acompanhamento de Projetos (4425)</t>
  </si>
  <si>
    <t>Sistema de Indemnização aos Investidores (5969)</t>
  </si>
  <si>
    <t>Secretaria-Geral do Ministério das Finanças (4432)</t>
  </si>
  <si>
    <t>Parvalorem, S.A. (5782)</t>
  </si>
  <si>
    <t>Oitante, S.A. (5974)</t>
  </si>
  <si>
    <t>Inspeção-Geral de Finanças (4435)</t>
  </si>
  <si>
    <t>Gabinete de Planeamento, Estratégia, Avaliação e Relações Internacionais (4433)</t>
  </si>
  <si>
    <t>Fundo de Resolução (5919)</t>
  </si>
  <si>
    <t>Fundo de Reabilitação e Conservação Patrimonial (5760)</t>
  </si>
  <si>
    <t>Fundo de Garantia de Depósitos (5932)</t>
  </si>
  <si>
    <t>Fundo de Garantia Automóvel (5756)</t>
  </si>
  <si>
    <t>Fundo de Estabilização Tributário (5214)</t>
  </si>
  <si>
    <t>Fundo de Acidentes de Trabalho (5218)</t>
  </si>
  <si>
    <t>ESTAMO - Participações Imobiliárias, S.A. (5913)</t>
  </si>
  <si>
    <t>Entidade de Serviços Partilhados da Administração Pública, I.P. (5857)</t>
  </si>
  <si>
    <t>Direção-Geral de Tesouro e Finanças (4437)</t>
  </si>
  <si>
    <t>Comissão do Mercado de Valores Mobiliários (5224)</t>
  </si>
  <si>
    <t>Comissão de Normalização Contabilística (4423)</t>
  </si>
  <si>
    <t>Banif, S.A. (5971)</t>
  </si>
  <si>
    <t>Banif Imobiliária, S.A. (5970)</t>
  </si>
  <si>
    <t>Autoridade Tributária e Aduaneira (3130)</t>
  </si>
  <si>
    <t>Autoridade de Supervisão de Seguros e Fundos de Pensões (5221)</t>
  </si>
  <si>
    <t>Fundo para as Relações Internacionais, I.P. (5242)</t>
  </si>
  <si>
    <t>Camões - Instituto da Cooperação e da Língua, I.P. (5848)</t>
  </si>
  <si>
    <t>Turismo do Porto e Norte de Portugal, E.R. (5907)</t>
  </si>
  <si>
    <t>Turismo do Alentejo, E.R.T. (5910)</t>
  </si>
  <si>
    <t>Turismo Centro de Portugal (5908)</t>
  </si>
  <si>
    <t>Região de Turismo do Algarve (5911)</t>
  </si>
  <si>
    <t>Instituto Português de Acreditação I.P. (5705)</t>
  </si>
  <si>
    <t>Fundo para a Promoção dos Direitos dos Consumidores (5022)</t>
  </si>
  <si>
    <t>Fundo de Inovação, Tecnologia e Economia Circular (5986)</t>
  </si>
  <si>
    <t>Fundo de Fundos para a Internacionalização (5010)</t>
  </si>
  <si>
    <t>Fundo de Contragarantia Mútuo (5955)</t>
  </si>
  <si>
    <t>Fundo de Coinvestimento 200M (5007)</t>
  </si>
  <si>
    <t>Fundo de Capital e Quase Capital (5984)</t>
  </si>
  <si>
    <t>Fundo de Apoio ao Turismo e ao Cinema (5006)</t>
  </si>
  <si>
    <t>Entidade Regional de Turismo da Região de Lisboa (5909)</t>
  </si>
  <si>
    <t>Unidade Nacional do Mecanismo Financeiro do Espaço Económico Europeu (4456)</t>
  </si>
  <si>
    <t>Serviços Sociais da Administração Pública (5739)</t>
  </si>
  <si>
    <t>Serviço de Informações Estratégicas de Defesa (5227)</t>
  </si>
  <si>
    <t>Instituto Nacional de Estatística, I.P. (2190)</t>
  </si>
  <si>
    <t>Instituto de Proteção e Assistência na Doença, I.P. (5983)</t>
  </si>
  <si>
    <t>Gestão Administrativa e Financeira da Presidência do Conselho de Ministros (4388)</t>
  </si>
  <si>
    <t>Gabinetes dos Membros do Governo da Presidência do Conselho de Ministros (4259)</t>
  </si>
  <si>
    <t>Gabinetes dos Membros do Governo - Coesão Territorial (4455)</t>
  </si>
  <si>
    <t>Fundo para a Inovação Social (5009)</t>
  </si>
  <si>
    <t>Fundo de Apoio Municipal (5949)</t>
  </si>
  <si>
    <t>Fundação Luso-Americana para o Desenvolvimento (5886)</t>
  </si>
  <si>
    <t>Instituto Nacional de Administração, I.P. (5032)</t>
  </si>
  <si>
    <t>Direção-Geral da Administração e do Emprego Público (4436)</t>
  </si>
  <si>
    <t>Comissão de Coordenação e Desenvolvimento Regional do Norte (5685)</t>
  </si>
  <si>
    <t>Comissão de Coordenação e Desenvolvimento Regional do Centro (5686)</t>
  </si>
  <si>
    <t>Comissão de Coordenação e Desenvolvimento Regional do Algarve (5689)</t>
  </si>
  <si>
    <t>Comissão de Coordenação e Desenvolvimento Regional do Alentejo (5688)</t>
  </si>
  <si>
    <t>Comissão de Coordenação e Desenvolvimento Regional de Lisboa e Vale do Tejo (5687)</t>
  </si>
  <si>
    <t>Agência para o Desenvolvimento e Coesão (5875)</t>
  </si>
  <si>
    <t>Agência para a Modernização Administrativa, I.P. (5746)</t>
  </si>
  <si>
    <t>Tribunal de Contas - Sede (1013)</t>
  </si>
  <si>
    <t>Tribunal de Contas - Secção Regional dos Açores (1920)</t>
  </si>
  <si>
    <t>Tribunal de Contas - Secção Regional da Madeira (1921)</t>
  </si>
  <si>
    <t>Tribunal Constitucional (5962)</t>
  </si>
  <si>
    <t>Supremo Tribunal de Justiça (1206)</t>
  </si>
  <si>
    <t>Supremo Tribunal Administrativo (1207)</t>
  </si>
  <si>
    <t>Serviço do Provedor de Justiça (5202)</t>
  </si>
  <si>
    <t>Procuradoria Geral da República (5017)</t>
  </si>
  <si>
    <t>Presidência da República (5200)</t>
  </si>
  <si>
    <t>Mec. Nac. Monotor. da Implementação da Conv. S. Direitos Pessoas C. Deficiência (4457)</t>
  </si>
  <si>
    <t>Entidade Reguladora para a Comunicação Social (5733)</t>
  </si>
  <si>
    <t>Conselho Superior de Magistratura (5750)</t>
  </si>
  <si>
    <t>Conselho Nacional de Ética para as Ciências da Vida (3046)</t>
  </si>
  <si>
    <t>Conselho Económico e Social (2334)</t>
  </si>
  <si>
    <t>Conselho de Prevenção da Corrupção (3014)</t>
  </si>
  <si>
    <t>Conselho das Finanças Públicas (5846)</t>
  </si>
  <si>
    <t>Comissão Nacional de Proteção de Dados (5014)</t>
  </si>
  <si>
    <t>Comissão Nacional de Eleições (3043)</t>
  </si>
  <si>
    <t>Comissão de Acesso aos Documentos Administrativos (3044)</t>
  </si>
  <si>
    <t>Cofre Privativo Tribunal Contas - Madeira (5210)</t>
  </si>
  <si>
    <t>Cofre Privativo do Tribunal de Contas - Sede (5208)</t>
  </si>
  <si>
    <t>Cofre Privativo do Tribunal de Contas - Açores (5209)</t>
  </si>
  <si>
    <t>Assembleia da República (5201)</t>
  </si>
  <si>
    <t>Pagamento à parceria público-privada do Hospital de Loures, efetuado em janeiro de 2022, decorrente de decisão arbitral de tribunal.</t>
  </si>
  <si>
    <t>Payment to the Hospital Beatriz Ângelo's public-private partnership, made in January 2022, following arbitral tribunal decision.</t>
  </si>
  <si>
    <t>FUNDAÇÃO PARA O DESENVOLVIMENTO CIÊNCIAS ECONÓMICAS FINANCEIRAS E EMPRESARIAIS</t>
  </si>
  <si>
    <t>Atualização do valor de referência anual da prestação social de inclusão pela Portaria n.º 5/2021, de 6 de janeiro, com efeitos retroativos a partir de 1 de outubro de 2020. Esta operação contabilística gerou um movimento em sentido contrário na receita de Reposições não abatidas nos pagamentos.</t>
  </si>
  <si>
    <t>Update of the annual reference value of the social inclusion benefit by Portaria No. 5/2021, of January 6, with retroactive effect from October 1, 2020. This accounting operation was compensated by an opposite efect on the revenue side.</t>
  </si>
  <si>
    <t/>
  </si>
  <si>
    <t>Gabinete do Representante  da República - Região Autónoma da Madeira (2335)</t>
  </si>
  <si>
    <t>Gabinete do Representante  da República - Região Autónoma dos Açores (2336)</t>
  </si>
  <si>
    <t>Agência para a Gestão Integrada de Fogos Rurais, I. P. (4447)</t>
  </si>
  <si>
    <t>Alto Comissariado para as Migrações, IP (5893)</t>
  </si>
  <si>
    <t>Autoridade Antidopagem de Portugal (4459)</t>
  </si>
  <si>
    <t>Autoridade para Prevenção e Combate à Violência Desporto (4449)</t>
  </si>
  <si>
    <t>Comissao de Recrutamento e Seleção para a AP - CRESAP (4424)</t>
  </si>
  <si>
    <t>Direção-Geral das Autarquias Locais (4445)</t>
  </si>
  <si>
    <t>Gabinete do Secretário-Geral  Estruturas Comuns ao SIED e SIS (5753)</t>
  </si>
  <si>
    <t>Instituto Português do Desporto e Juventude, IP (5844)</t>
  </si>
  <si>
    <t>Serviço de Informações de Seguranca (5247)</t>
  </si>
  <si>
    <t>Ação Governativa (4236)</t>
  </si>
  <si>
    <t>AICEP - Agência para o Investimento e Comércio Externo de Portugal, EPE (5884)</t>
  </si>
  <si>
    <t>Gestão Administrativa e Financeira do Orçamento do MNE (4237)</t>
  </si>
  <si>
    <t>Arsenal do Alfeite, SA (5838)</t>
  </si>
  <si>
    <t>Direcção Geral de Política de Defesa Nacional (2344)</t>
  </si>
  <si>
    <t>Direcção-Geral de Recursos da Defesa Nacional (4394)</t>
  </si>
  <si>
    <t>Extra - Explosivos da Trafaria, SA (5889)</t>
  </si>
  <si>
    <t>Gabinete de Membros do Governo (2342)</t>
  </si>
  <si>
    <t>IDD - Portugal Defence SA (5888)</t>
  </si>
  <si>
    <t>Inspecção Geral de Defesa Nacional (2349)</t>
  </si>
  <si>
    <t>Instituto de Ação Social das Forcas Armadas (5239)</t>
  </si>
  <si>
    <t>Laboratório Nacional do Medicamento (5030)</t>
  </si>
  <si>
    <t>Secretaria Geral do Ministério da Defesa (2343)</t>
  </si>
  <si>
    <t>Ação Governativa (4263)</t>
  </si>
  <si>
    <t>Inspecção Geral da Administração  Interna (1947)</t>
  </si>
  <si>
    <t>Secretaria Geral do Ministério da Administração Interna (1950)</t>
  </si>
  <si>
    <t>SIRESP - Gestão de Redes Digitais de Segurança e Emergência, SA (5023)</t>
  </si>
  <si>
    <t>Comissão de Protecção de Vítimas de Crimes (3047)</t>
  </si>
  <si>
    <t>Direcção-Geral  de Reinserção e Serviços Prisionais (4215)</t>
  </si>
  <si>
    <t>Direcção-Geral da  Administração da Justiça (1201)</t>
  </si>
  <si>
    <t>Direcção-Geral da Política de Justiça (2932)</t>
  </si>
  <si>
    <t>Fundo para a Modernização da Justiça (5851)</t>
  </si>
  <si>
    <t>Gabinetes dos Membros do Governo (4257)</t>
  </si>
  <si>
    <t>Inspecção Geral dos Serviços de Justiça (2550)</t>
  </si>
  <si>
    <t>Instituto Gestão Financeira e Equipamentos da Justiça, IP (5852)</t>
  </si>
  <si>
    <t>Instituto Nacional da Propriedade Industrial,I.P. (5745)</t>
  </si>
  <si>
    <t>Instituto Nacional de Medicina Legal e Ciências Forenses,I.P. (5262)</t>
  </si>
  <si>
    <t>Secretaria Geral do Ministério da Justiça (1203)</t>
  </si>
  <si>
    <t>Consest - Promoção Imobiliária, S.A. (5914)</t>
  </si>
  <si>
    <t>Parparticipadas, S.G.P.S., S.A. (5926)</t>
  </si>
  <si>
    <t>Parpública - Participações Públicas, S.G.P.S., S.A. (5915)</t>
  </si>
  <si>
    <t>Ação Governativa do Ministério das Finanças (4235)</t>
  </si>
  <si>
    <t>Agência de Gestão da Tesouraria e da Dívida Pública, E.P.E. (5215)</t>
  </si>
  <si>
    <t>Direção Geral do Orçamento (4434)</t>
  </si>
  <si>
    <t>Fundo p/ a Revitalização e Modernização do Tecido Empresarial, S.G.P.S., S.A. (5921)</t>
  </si>
  <si>
    <t>SAGESECUR -  Sociedade de Estudos, Desenvolvimento e Part. em Projetos, S.A. (5956)</t>
  </si>
  <si>
    <t>WIL - Projetos Turísticos, S.A. (5978)</t>
  </si>
  <si>
    <t>Fundo Revive Natureza (5027)</t>
  </si>
  <si>
    <t>Agência Nacional de Inovação, SA (5953)</t>
  </si>
  <si>
    <t>Autoridade da Concorrência (5690)</t>
  </si>
  <si>
    <t>Enatur - Empresa Nacional de Turismo, S.A. (5786)</t>
  </si>
  <si>
    <t>Estrutura de Missão para as Comemorações do V Centenário da Circum-Navegação (4442)</t>
  </si>
  <si>
    <t>Fundo de Capitalização e Resiliência (5036)</t>
  </si>
  <si>
    <t>Fundo de Dívida e Garantias (5985)</t>
  </si>
  <si>
    <t>Gabinete Investigação Acidentes Marítimos Autoridade para a Meteorol Aeronáutica (4420)</t>
  </si>
  <si>
    <t>Gestão Administrativa e Financeira do Min da Economia e do Mar (4280)</t>
  </si>
  <si>
    <t>IAPMEI - Agência para a Competitividade e Inovação, IP (5266)</t>
  </si>
  <si>
    <t>Instituto do Turismo de Portugal I.P. (5277)</t>
  </si>
  <si>
    <t>Instituto Português da Qualidade I.P. (5267)</t>
  </si>
  <si>
    <t>I3S - Instituto de Investigação e Inovação em Saúde da Universidade do Porto (5034)</t>
  </si>
  <si>
    <t>IPATIMUP - Instituto de Patologia e Imunologia Molecular da Universidade do Port (5035)</t>
  </si>
  <si>
    <t>Centro Hospitalar Universitário Da Cova Da Beira, Epe (6500)</t>
  </si>
  <si>
    <t>Centro de Medicina de Reabilitação da Região Centro - Rovisco Pais (5535)</t>
  </si>
  <si>
    <t>EAS - Empresa Ambiente na Saúde, Unipessoal, Lda. (5894)</t>
  </si>
  <si>
    <t>Hospital de Vila Franca de Xira, EPE (6566)</t>
  </si>
  <si>
    <t>Instituto da Habitação e da Reabilitação Urbana, I.P. (5013)</t>
  </si>
  <si>
    <t>Ação Governativa - Ministério da Agricultura e Alimentação (MAA) (4256)</t>
  </si>
  <si>
    <t>a) TDC- The Discoveries Centre For Regenerative And Precision Medicine – Associação – Entidade extinta</t>
  </si>
  <si>
    <t>b) Polis Litoral Sudoeste - Sociedade para a Requalificação e Valorização do Sudoeste Alentejano e Costa Vicentina, S.A. – Entidade extinta</t>
  </si>
  <si>
    <t>A presente listagem apresenta as entidades da Administração Central que integram o Orçamento do Estado para 2022.</t>
  </si>
  <si>
    <r>
      <t xml:space="preserve">Polis Litoral Sudoeste - Sociedade para a Requalificação e Valorização do Sudoeste Alentejano e Costa Vicentina, S.A. (5800)      </t>
    </r>
    <r>
      <rPr>
        <b/>
        <sz val="8"/>
        <color rgb="FF000000"/>
        <rFont val="Calibri"/>
        <family val="2"/>
        <scheme val="minor"/>
      </rPr>
      <t xml:space="preserve"> b)</t>
    </r>
  </si>
  <si>
    <t>Ação Governativa do Ministério da Economia e Mar (4264)</t>
  </si>
  <si>
    <r>
      <t xml:space="preserve">TDC - The Discoveries Centre For Regenerative And Precision Medicine - Associação (5018)       </t>
    </r>
    <r>
      <rPr>
        <b/>
        <sz val="8"/>
        <color rgb="FF000000"/>
        <rFont val="Calibri"/>
        <family val="2"/>
        <scheme val="minor"/>
      </rPr>
      <t>a)</t>
    </r>
  </si>
  <si>
    <t>Garantia Infância</t>
  </si>
  <si>
    <t>Escolher Língua:
Choose Language:</t>
  </si>
  <si>
    <t>set*</t>
  </si>
  <si>
    <t>out*</t>
  </si>
  <si>
    <t>nov*</t>
  </si>
  <si>
    <t>jan*</t>
  </si>
  <si>
    <t>fev*</t>
  </si>
  <si>
    <t>mar*</t>
  </si>
  <si>
    <t>abr*</t>
  </si>
  <si>
    <t>mai*</t>
  </si>
  <si>
    <t>jun*</t>
  </si>
  <si>
    <t>jul*</t>
  </si>
  <si>
    <t>ago*</t>
  </si>
  <si>
    <t>Banif, S.A.; Fundação para o Desenvolvimento Ciências Económicas Financeiras e Empresariais.</t>
  </si>
  <si>
    <t>FORÇA AÉREA a)</t>
  </si>
  <si>
    <t>out</t>
  </si>
  <si>
    <t>c) PARUPS, S.A. - Entidade extinta</t>
  </si>
  <si>
    <r>
      <t xml:space="preserve">Parups, S.A. (5781)  </t>
    </r>
    <r>
      <rPr>
        <b/>
        <sz val="8"/>
        <color rgb="FF000000"/>
        <rFont val="Calibri"/>
        <family val="2"/>
        <scheme val="minor"/>
      </rPr>
      <t xml:space="preserve">     c)</t>
    </r>
  </si>
  <si>
    <t>Os valores apresentados nas colunas dos diversos subsetores encontram-se expurgados dos montantes consolidados no âmbito das Administrações Públicas.</t>
  </si>
  <si>
    <t>Fonte:</t>
  </si>
  <si>
    <t>O valor do impacto orçamental da medida de isenção de pagamento da Taxa Social Única consiste numa estimativa apurada pelo Instituto de Gestão Financeira da Segurança Social, I.P..</t>
  </si>
  <si>
    <t>Os dados da Administração Regional e Local são provisórios.</t>
  </si>
  <si>
    <t>Por motivos de ordem técnica, a execução orçamental da Força Aérea, relativa a novembro de 2021, não foi apropriada integralmente pelos sistemas orçamentais centrais, tendo a entidade enviado, posteriormente, a devida informação.</t>
  </si>
  <si>
    <t>Due to technical reasons, the budget implementation data regarding the Air Force for November 2021, was not fully transposed from the local to the central budget information systems. The required information was later sent by the aforementioned entity.</t>
  </si>
  <si>
    <t>O período de novembro de 2022 encontra-se ajustado de pagamentos efetuados pela Direção-Geral de Tesouro e Finanças relativos ao programa AUTOvoucher. De modo a relevar esta despesa na medida 103 "Impacto do choque geopolítico", foi necessário efetuar um procedimento de estorno que, por motivos técnicos, não foi possível concluir antes do fecho do período, inviabilizando o novo registo desta despesa nos sistemas orçamentais.</t>
  </si>
  <si>
    <t>The November 2022 period is adjusted for payments made by the Directorate-General of the Treasury and Finance relating to the AUTOvoucher programme. In order to include this expense in measure 103 "Impact of the geopolitical shock", it was necessary to carry out a reversal procedure which, for technical reasons, it was not possible to complete before the end of the period, making it impossible to re-register this expense in the budget systems.</t>
  </si>
  <si>
    <r>
      <t xml:space="preserve">Fundo de Eficiência Energética (5028)    </t>
    </r>
    <r>
      <rPr>
        <b/>
        <sz val="8"/>
        <color rgb="FF000000"/>
        <rFont val="Calibri"/>
        <family val="2"/>
        <scheme val="minor"/>
      </rPr>
      <t>d)</t>
    </r>
  </si>
  <si>
    <r>
      <t xml:space="preserve">Fundo Florestal Permanente (5883)       </t>
    </r>
    <r>
      <rPr>
        <b/>
        <sz val="8"/>
        <color rgb="FF000000"/>
        <rFont val="Calibri"/>
        <family val="2"/>
        <scheme val="minor"/>
      </rPr>
      <t>d)</t>
    </r>
  </si>
  <si>
    <r>
      <t xml:space="preserve">Fundo para a Sustentabilidade Sistémica do Setor Energético (5941)    </t>
    </r>
    <r>
      <rPr>
        <b/>
        <sz val="8"/>
        <color rgb="FF000000"/>
        <rFont val="Calibri"/>
        <family val="2"/>
        <scheme val="minor"/>
      </rPr>
      <t xml:space="preserve"> d)</t>
    </r>
  </si>
  <si>
    <t>d) O Decreto-Lei n.º 114/2021, de 15 de dezembro, determinou a fusão do Fundo Florestal Permanente, do Fundo de Eficiência Energética e do Fundo para a Sustentabilidade Sistémica do Setor Energético no Fundo Ambiental</t>
  </si>
  <si>
    <t>nov</t>
  </si>
  <si>
    <t>b) O período de novembro de 2022 encontra-se ajustado de pagamentos efetuados pela Direção-Geral de Tesouro e Finanças relativos ao programa AUTOvoucher. De modo a relevar esta despesa na medida 103 "Impacto do choque geopolítico", foi necessário efetuar um procedimento de estorno que, por motivos técnicos, não foi possível concluir antes do fecho do período, inviabilizando o novo registo desta despesa nos sistemas orçamentais.</t>
  </si>
  <si>
    <t>b) The November 2022 period is adjusted for payments made by the Directorate-General of the Treasury and Finance relating to the AUTOvoucher programme. In order to include this expense in measure 103 "Impact of the geopolitical shock", it was necessary to carry out a reversal procedure which, for technical reasons, it was not possible to complete before the end of the period, making it impossible to re-register this expense in the budget systems.</t>
  </si>
  <si>
    <t>DIREÇÃO-GERAL DE TESOURO E FINANÇAS b)</t>
  </si>
  <si>
    <t>,Entidades Coordenadoras dos Programas, Direção Regional do Orçamento e Tesouro da Região Autónoma dos Açores, Direção Regional do Orçamento e Tesouro da Região Autónoma da Madeira e Direção-Geral das Autarquias Locais.</t>
  </si>
  <si>
    <t>Coordinating entities of the Budgetaries Programs, Azores Autonomous Region Budget and Treasury Regional Directorate, Madeira Autonomous Region Budget and Treasury Regional Directorate and Directorate-General for Local Authorities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</si>
</sst>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3">
    <numFmt numFmtId="44" formatCode="_-* #,##0.00\ &quot;€&quot;_-;\-* #,##0.00\ &quot;€&quot;_-;_-* &quot;-&quot;??\ &quot;€&quot;_-;_-@_-"/>
    <numFmt numFmtId="43" formatCode="_-* #,##0.00\ _€_-;\-* #,##0.00\ _€_-;_-* &quot;-&quot;??\ _€_-;_-@_-"/>
    <numFmt numFmtId="164" formatCode="_-* #,##0.00_-;\-* #,##0.00_-;_-* &quot;-&quot;??_-;_-@_-"/>
    <numFmt numFmtId="165" formatCode="#,##0.0"/>
    <numFmt numFmtId="166" formatCode="0.0%"/>
    <numFmt numFmtId="167" formatCode="[$-816]dd/mmm/yy;@"/>
    <numFmt numFmtId="168" formatCode="0.00000"/>
    <numFmt numFmtId="169" formatCode="#,##0.000"/>
    <numFmt numFmtId="170" formatCode="#,##0.0000"/>
    <numFmt numFmtId="171" formatCode="0.0"/>
    <numFmt numFmtId="172" formatCode="#,##0.000000"/>
    <numFmt numFmtId="173" formatCode="_-* #,##0.00000000\ _€_-;\-* #,##0.00000000\ _€_-;_-* &quot;-&quot;??\ _€_-;_-@_-"/>
    <numFmt numFmtId="174" formatCode="_-* #,##0.000000\ _€_-;\-* #,##0.000000\ _€_-;_-* &quot;-&quot;??\ _€_-;_-@_-"/>
    <numFmt numFmtId="175" formatCode="_-* #,##0\ _€_-;\-* #,##0\ _€_-;_-* &quot;-&quot;??\ _€_-;_-@_-"/>
    <numFmt numFmtId="176" formatCode="_-* #,##0.0000000\ _€_-;\-* #,##0.0000000\ _€_-;_-* &quot;-&quot;??\ _€_-;_-@_-"/>
    <numFmt numFmtId="177" formatCode="_-* #,##0.0000\ _€_-;\-* #,##0.0000\ _€_-;_-* &quot;-&quot;??\ _€_-;_-@_-"/>
    <numFmt numFmtId="178" formatCode="_-* #,##0.000\ _€_-;\-* #,##0.000\ _€_-;_-* &quot;-&quot;??\ _€_-;_-@_-"/>
    <numFmt numFmtId="179" formatCode="_-* #,##0.0\ _€_-;\-* #,##0.0\ _€_-;_-* &quot;-&quot;??\ _€_-;_-@_-"/>
    <numFmt numFmtId="180" formatCode="_-* #,##0.00000\ _€_-;\-* #,##0.00000\ _€_-;_-* &quot;-&quot;??\ _€_-;_-@_-"/>
    <numFmt numFmtId="181" formatCode="#,##0.0000000"/>
    <numFmt numFmtId="182" formatCode="_-* #,##0.00000000000\ _€_-;\-* #,##0.00000000000\ _€_-;_-* &quot;-&quot;??\ _€_-;_-@_-"/>
    <numFmt numFmtId="183" formatCode="#,##0.00000"/>
    <numFmt numFmtId="184" formatCode="#,##0.00000000"/>
    <numFmt numFmtId="185" formatCode="#,##0.000000000"/>
    <numFmt numFmtId="186" formatCode="0.000000000"/>
    <numFmt numFmtId="187" formatCode="#,##0.0000000000"/>
    <numFmt numFmtId="188" formatCode="0.000000"/>
    <numFmt numFmtId="189" formatCode="0.0000000"/>
    <numFmt numFmtId="190" formatCode="0.000000000000"/>
    <numFmt numFmtId="191" formatCode="0.00000000000"/>
    <numFmt numFmtId="192" formatCode="#,##0.00000000000"/>
    <numFmt numFmtId="193" formatCode="#,##0.0_ ;\-#,##0.0\ "/>
    <numFmt numFmtId="194" formatCode="_ [$￥-804]* #,##0.00_ ;_ [$￥-804]* \-#,##0.00_ ;_ [$￥-804]* &quot;-&quot;??_ ;_ @_ "/>
    <numFmt numFmtId="195" formatCode="0.00_ ;[Red]\-0.00\ "/>
    <numFmt numFmtId="196" formatCode="0.0000_ ;[Red]\-0.0000\ "/>
    <numFmt numFmtId="197" formatCode="0.0000"/>
    <numFmt numFmtId="198" formatCode="0.000"/>
    <numFmt numFmtId="199" formatCode="0.0_ ;[Red]\-0.0\ "/>
    <numFmt numFmtId="200" formatCode="_-* #,##0\ [$€-1]_-;\-* #,##0\ [$€-1]_-;_-* &quot;-&quot;??\ [$€-1]_-"/>
    <numFmt numFmtId="201" formatCode="[$-409]mmm\-yy;@"/>
    <numFmt numFmtId="202" formatCode="#,##0;\(#,##0\)"/>
    <numFmt numFmtId="203" formatCode="#,##0;\-#,##0;\-"/>
    <numFmt numFmtId="204" formatCode="&quot;$&quot;#,##0.00_);[Red]\(&quot;$&quot;#,##0.00\)"/>
    <numFmt numFmtId="205" formatCode="&quot;Perpetuidade (g= &quot;0.0%&quot;)&quot;"/>
    <numFmt numFmtId="206" formatCode="[$-409]mmm/yy;@"/>
    <numFmt numFmtId="207" formatCode="_-* #,##0.0\ &quot;€&quot;_-;\-* #,##0.0\ &quot;€&quot;_-;_-* &quot;-&quot;??\ &quot;€&quot;_-;_-@_-"/>
    <numFmt numFmtId="208" formatCode="_-* #,##0\ &quot;€&quot;_-;\-* #,##0\ &quot;€&quot;_-;_-* &quot;-&quot;??\ &quot;€&quot;_-;_-@_-"/>
    <numFmt numFmtId="209" formatCode="&quot;$&quot;#,##0.00_);\(&quot;$&quot;#,##0.00\)"/>
    <numFmt numFmtId="210" formatCode="_(&quot;$&quot;* #,##0.00_);_(&quot;$&quot;* \(#,##0.00\);_(&quot;$&quot;* &quot;-&quot;??_);_(@_)"/>
    <numFmt numFmtId="211" formatCode="&quot;$&quot;#,##0_);\(&quot;$&quot;#,##0\)"/>
    <numFmt numFmtId="212" formatCode="mmmm\ d\,\ yyyy"/>
    <numFmt numFmtId="213" formatCode="_-* #,##0.00\ [$€]_-;\-* #,##0.00\ [$€]_-;_-* &quot;-&quot;??\ [$€]_-;_-@_-"/>
    <numFmt numFmtId="214" formatCode="_-* #,##0.00\ [$€-1]_-;\-* #,##0.00\ [$€-1]_-;_-* &quot;-&quot;??\ [$€-1]_-"/>
    <numFmt numFmtId="215" formatCode="mmm\-d\-yyyy"/>
    <numFmt numFmtId="216" formatCode="#,##0.0_);[Red]\(#,##0.0\)"/>
    <numFmt numFmtId="217" formatCode="0.0%;[Red]\(0.0%\)"/>
    <numFmt numFmtId="218" formatCode="_-* #,##0.00\ _P_t_s_-;\-* #,##0.00\ _P_t_s_-;_-* &quot;-&quot;??\ _P_t_s_-;_-@_-"/>
    <numFmt numFmtId="219" formatCode="_-* #,##0.00\ &quot;Esc.&quot;_-;\-* #,##0.00\ &quot;Esc.&quot;_-;_-* &quot;-&quot;??\ &quot;Esc.&quot;_-;_-@_-"/>
    <numFmt numFmtId="220" formatCode="_-* #,##0.00\ &quot;Pts&quot;_-;\-* #,##0.00\ &quot;Pts&quot;_-;_-* &quot;-&quot;??\ &quot;Pts&quot;_-;_-@_-"/>
    <numFmt numFmtId="221" formatCode="#,##0\ "/>
    <numFmt numFmtId="222" formatCode="0.00_)"/>
    <numFmt numFmtId="223" formatCode="#,##0.000_);[Red]\(#,##0.000\)"/>
    <numFmt numFmtId="224" formatCode="0_)"/>
    <numFmt numFmtId="225" formatCode="0.00%;[Red]\(0.00%\)"/>
    <numFmt numFmtId="226" formatCode="0.0%&quot;Sales&quot;"/>
    <numFmt numFmtId="227" formatCode="_-* #,##0.00\ _E_s_c_._-;\-* #,##0.00\ _E_s_c_._-;_-* &quot;-&quot;??\ _E_s_c_._-;_-@_-"/>
    <numFmt numFmtId="228" formatCode="#,"/>
    <numFmt numFmtId="229" formatCode="#,##0.000;[Red]&quot;-&quot;#,##0.000"/>
    <numFmt numFmtId="230" formatCode="#,##0.00;[Red]&quot;-&quot;#,##0.00"/>
    <numFmt numFmtId="231" formatCode="#,##0;\-#,##0;&quot;-&quot;"/>
    <numFmt numFmtId="232" formatCode="#,##0.00;\-#,##0.00;&quot;-&quot;"/>
    <numFmt numFmtId="233" formatCode="#,##0%;\-#,##0%;&quot;- &quot;"/>
    <numFmt numFmtId="234" formatCode="#,##0.0%;\-#,##0.0%;&quot;- &quot;"/>
    <numFmt numFmtId="235" formatCode="#,##0.00%;\-#,##0.00%;&quot;- &quot;"/>
    <numFmt numFmtId="236" formatCode="#,##0.0;\-#,##0.0;&quot;-&quot;"/>
    <numFmt numFmtId="237" formatCode="[Blue]#,##0.0\ \ \ \ \ \ \ "/>
    <numFmt numFmtId="238" formatCode="m\o\n\th\ d\,\ \y\y\y\y"/>
    <numFmt numFmtId="239" formatCode="0%;\(0%\)"/>
    <numFmt numFmtId="240" formatCode="\ \ @"/>
    <numFmt numFmtId="241" formatCode="\ \ \ \ @"/>
    <numFmt numFmtId="242" formatCode="#,##0.00000_ ;\-#,##0.00000\ "/>
    <numFmt numFmtId="243" formatCode="_-* #,##0.0\ _€_-;\-* #,##0.0\ _€_-;_-* &quot;-&quot;?\ _€_-;_-@_-"/>
    <numFmt numFmtId="244" formatCode="#,##0.000000000000"/>
  </numFmts>
  <fonts count="241">
    <font>
      <sz val="11"/>
      <color theme="1"/>
      <name val="Calibri"/>
      <family val="2"/>
      <scheme val="minor"/>
    </font>
    <font>
      <sz val="8"/>
      <color theme="1"/>
      <name val="Calibri"/>
      <family val="2"/>
    </font>
    <font>
      <sz val="8"/>
      <color theme="1"/>
      <name val="Calibri"/>
      <family val="2"/>
    </font>
    <font>
      <sz val="8"/>
      <color theme="1"/>
      <name val="Calibri"/>
      <family val="2"/>
    </font>
    <font>
      <sz val="8"/>
      <color theme="1"/>
      <name val="Calibri"/>
      <family val="2"/>
    </font>
    <font>
      <sz val="11"/>
      <color theme="1"/>
      <name val="Calibri"/>
      <family val="2"/>
      <scheme val="minor"/>
    </font>
    <font>
      <b/>
      <sz val="15"/>
      <color theme="3"/>
      <name val="Calibri"/>
      <family val="2"/>
      <scheme val="minor"/>
    </font>
    <font>
      <sz val="11"/>
      <color rgb="FF006100"/>
      <name val="Calibri"/>
      <family val="2"/>
      <scheme val="minor"/>
    </font>
    <font>
      <sz val="12"/>
      <name val="Times New Roman"/>
      <family val="1"/>
    </font>
    <font>
      <b/>
      <sz val="9"/>
      <name val="Calibri"/>
      <family val="2"/>
    </font>
    <font>
      <sz val="9"/>
      <name val="Calibri"/>
      <family val="2"/>
    </font>
    <font>
      <sz val="10"/>
      <name val="Arial"/>
      <family val="2"/>
    </font>
    <font>
      <b/>
      <sz val="14"/>
      <color rgb="FF002060"/>
      <name val="Calibri"/>
      <family val="2"/>
      <scheme val="minor"/>
    </font>
    <font>
      <sz val="10"/>
      <color rgb="FF002060"/>
      <name val="Arial"/>
      <family val="2"/>
    </font>
    <font>
      <b/>
      <sz val="11"/>
      <color rgb="FF002060"/>
      <name val="Calibri"/>
      <family val="2"/>
      <scheme val="minor"/>
    </font>
    <font>
      <sz val="14"/>
      <color theme="3" tint="-0.249977111117893"/>
      <name val="Calibri"/>
      <family val="2"/>
      <scheme val="minor"/>
    </font>
    <font>
      <sz val="11"/>
      <color rgb="FF002060"/>
      <name val="Calibri"/>
      <family val="2"/>
      <scheme val="minor"/>
    </font>
    <font>
      <sz val="9"/>
      <name val="Arial"/>
      <family val="2"/>
    </font>
    <font>
      <b/>
      <sz val="8"/>
      <color rgb="FF3017FF"/>
      <name val="Calibri"/>
      <family val="2"/>
      <scheme val="minor"/>
    </font>
    <font>
      <b/>
      <sz val="9"/>
      <color rgb="FF3015D5"/>
      <name val="Calibri"/>
      <family val="2"/>
      <scheme val="minor"/>
    </font>
    <font>
      <b/>
      <sz val="9"/>
      <color rgb="FF0000FF"/>
      <name val="Calibri"/>
      <family val="2"/>
    </font>
    <font>
      <sz val="8"/>
      <name val="Calibri"/>
      <family val="2"/>
    </font>
    <font>
      <b/>
      <sz val="8"/>
      <color indexed="12"/>
      <name val="Calibri"/>
      <family val="2"/>
    </font>
    <font>
      <sz val="9"/>
      <color theme="1"/>
      <name val="Calibri"/>
      <family val="2"/>
    </font>
    <font>
      <b/>
      <sz val="8"/>
      <color rgb="FF3015D5"/>
      <name val="Calibri"/>
      <family val="2"/>
    </font>
    <font>
      <b/>
      <sz val="8"/>
      <name val="Calibri"/>
      <family val="2"/>
    </font>
    <font>
      <sz val="8"/>
      <color theme="1"/>
      <name val="Calibri"/>
      <family val="2"/>
    </font>
    <font>
      <sz val="10"/>
      <color theme="1"/>
      <name val="Calibri"/>
      <family val="2"/>
    </font>
    <font>
      <sz val="10"/>
      <name val="Times New Roman"/>
      <family val="1"/>
    </font>
    <font>
      <sz val="8"/>
      <name val="Calibri"/>
      <family val="2"/>
      <scheme val="minor"/>
    </font>
    <font>
      <b/>
      <sz val="8"/>
      <name val="Calibri"/>
      <family val="2"/>
      <scheme val="minor"/>
    </font>
    <font>
      <sz val="9"/>
      <name val="Calibri"/>
      <family val="2"/>
      <scheme val="minor"/>
    </font>
    <font>
      <sz val="10"/>
      <name val="Calibri"/>
      <family val="2"/>
      <scheme val="minor"/>
    </font>
    <font>
      <sz val="8"/>
      <color rgb="FFFFFFFF"/>
      <name val="Calibri"/>
      <family val="2"/>
      <scheme val="minor"/>
    </font>
    <font>
      <b/>
      <sz val="8"/>
      <color rgb="FF3015D5"/>
      <name val="Calibri"/>
      <family val="2"/>
      <scheme val="minor"/>
    </font>
    <font>
      <b/>
      <sz val="8"/>
      <color rgb="FF0000FF"/>
      <name val="Calibri"/>
      <family val="2"/>
      <scheme val="minor"/>
    </font>
    <font>
      <i/>
      <sz val="8"/>
      <name val="Calibri"/>
      <family val="2"/>
      <scheme val="minor"/>
    </font>
    <font>
      <sz val="12"/>
      <name val="Calibri"/>
      <family val="2"/>
      <scheme val="minor"/>
    </font>
    <font>
      <b/>
      <u/>
      <sz val="8"/>
      <name val="Calibri"/>
      <family val="2"/>
      <scheme val="minor"/>
    </font>
    <font>
      <b/>
      <sz val="14"/>
      <color rgb="FF002060"/>
      <name val="Calibri"/>
      <family val="2"/>
    </font>
    <font>
      <sz val="8"/>
      <color indexed="8"/>
      <name val="Calibri"/>
      <family val="2"/>
    </font>
    <font>
      <b/>
      <sz val="15"/>
      <color indexed="9"/>
      <name val="Calibri"/>
      <family val="2"/>
    </font>
    <font>
      <i/>
      <sz val="8"/>
      <name val="Calibri"/>
      <family val="2"/>
    </font>
    <font>
      <b/>
      <u/>
      <sz val="8"/>
      <name val="Calibri"/>
      <family val="2"/>
    </font>
    <font>
      <sz val="8"/>
      <color theme="0"/>
      <name val="Calibri"/>
      <family val="2"/>
    </font>
    <font>
      <b/>
      <sz val="9"/>
      <color indexed="10"/>
      <name val="Calibri"/>
      <family val="2"/>
    </font>
    <font>
      <b/>
      <sz val="8"/>
      <color rgb="FF0000FF"/>
      <name val="Calibri"/>
      <family val="2"/>
    </font>
    <font>
      <sz val="8"/>
      <color indexed="8"/>
      <name val="Calibri"/>
      <family val="2"/>
      <scheme val="minor"/>
    </font>
    <font>
      <b/>
      <sz val="8"/>
      <color indexed="8"/>
      <name val="Calibri"/>
      <family val="2"/>
    </font>
    <font>
      <sz val="8"/>
      <color theme="0"/>
      <name val="Calibri"/>
      <family val="2"/>
      <scheme val="minor"/>
    </font>
    <font>
      <sz val="8"/>
      <color theme="1"/>
      <name val="Calibri"/>
      <family val="2"/>
      <scheme val="minor"/>
    </font>
    <font>
      <sz val="8"/>
      <color rgb="FFFF0000"/>
      <name val="Calibri"/>
      <family val="2"/>
    </font>
    <font>
      <sz val="9"/>
      <color rgb="FFFF0000"/>
      <name val="Calibri"/>
      <family val="2"/>
    </font>
    <font>
      <sz val="9"/>
      <color theme="0"/>
      <name val="Calibri"/>
      <family val="2"/>
    </font>
    <font>
      <b/>
      <sz val="8"/>
      <color theme="0"/>
      <name val="Calibri"/>
      <family val="2"/>
    </font>
    <font>
      <sz val="8"/>
      <color rgb="FFFFFFFF"/>
      <name val="Calibri"/>
      <family val="2"/>
    </font>
    <font>
      <b/>
      <sz val="8"/>
      <color indexed="10"/>
      <name val="Calibri"/>
      <family val="2"/>
    </font>
    <font>
      <sz val="8"/>
      <color indexed="10"/>
      <name val="Calibri"/>
      <family val="2"/>
    </font>
    <font>
      <sz val="8"/>
      <color indexed="12"/>
      <name val="Calibri"/>
      <family val="2"/>
    </font>
    <font>
      <sz val="8"/>
      <name val="Arial"/>
      <family val="2"/>
    </font>
    <font>
      <sz val="10"/>
      <color theme="1"/>
      <name val="Calibri"/>
      <family val="2"/>
      <scheme val="minor"/>
    </font>
    <font>
      <sz val="7"/>
      <color theme="1"/>
      <name val="Calibri"/>
      <family val="2"/>
      <scheme val="minor"/>
    </font>
    <font>
      <i/>
      <sz val="9"/>
      <name val="Arial"/>
      <family val="2"/>
    </font>
    <font>
      <sz val="9"/>
      <color theme="9" tint="-0.249977111117893"/>
      <name val="Arial"/>
      <family val="2"/>
    </font>
    <font>
      <sz val="8"/>
      <color theme="9" tint="-0.249977111117893"/>
      <name val="Calibri"/>
      <family val="2"/>
      <scheme val="minor"/>
    </font>
    <font>
      <sz val="8"/>
      <color rgb="FF000066"/>
      <name val="Calibri"/>
      <family val="2"/>
      <scheme val="minor"/>
    </font>
    <font>
      <sz val="10"/>
      <color rgb="FF000066"/>
      <name val="Arial"/>
      <family val="2"/>
    </font>
    <font>
      <b/>
      <sz val="8"/>
      <color rgb="FF000066"/>
      <name val="Calibri"/>
      <family val="2"/>
      <scheme val="minor"/>
    </font>
    <font>
      <i/>
      <sz val="7"/>
      <name val="Calibri"/>
      <family val="2"/>
    </font>
    <font>
      <b/>
      <u/>
      <sz val="8"/>
      <name val="Arial"/>
      <family val="2"/>
    </font>
    <font>
      <sz val="14"/>
      <color rgb="FF222222"/>
      <name val="Arial Unicode MS"/>
      <family val="2"/>
    </font>
    <font>
      <i/>
      <sz val="11"/>
      <color rgb="FF1F497D"/>
      <name val="Calibri"/>
      <family val="2"/>
    </font>
    <font>
      <sz val="11"/>
      <name val="Calibri"/>
      <family val="2"/>
    </font>
    <font>
      <sz val="8"/>
      <name val="Garamond"/>
      <family val="1"/>
    </font>
    <font>
      <b/>
      <sz val="10"/>
      <color rgb="FF00B050"/>
      <name val="Arial"/>
      <family val="2"/>
    </font>
    <font>
      <b/>
      <sz val="8"/>
      <color indexed="56"/>
      <name val="Calibri"/>
      <family val="2"/>
    </font>
    <font>
      <b/>
      <sz val="9"/>
      <name val="Calibri"/>
      <family val="2"/>
      <scheme val="minor"/>
    </font>
    <font>
      <sz val="8"/>
      <color theme="0" tint="-0.499984740745262"/>
      <name val="Calibri"/>
      <family val="2"/>
    </font>
    <font>
      <sz val="12"/>
      <name val="Calibri"/>
      <family val="2"/>
    </font>
    <font>
      <sz val="11"/>
      <color rgb="FF000000"/>
      <name val="Calibri"/>
      <family val="2"/>
    </font>
    <font>
      <sz val="8"/>
      <color theme="0" tint="-4.9989318521683403E-2"/>
      <name val="Calibri"/>
      <family val="2"/>
    </font>
    <font>
      <b/>
      <sz val="8"/>
      <color theme="0" tint="-0.499984740745262"/>
      <name val="Calibri"/>
      <family val="2"/>
    </font>
    <font>
      <sz val="7"/>
      <name val="Calibri"/>
      <family val="2"/>
    </font>
    <font>
      <b/>
      <sz val="12"/>
      <name val="Calibri"/>
      <family val="2"/>
    </font>
    <font>
      <b/>
      <sz val="8"/>
      <color rgb="FFFF0000"/>
      <name val="Calibri"/>
      <family val="2"/>
    </font>
    <font>
      <sz val="10"/>
      <name val="Calibri"/>
      <family val="2"/>
    </font>
    <font>
      <sz val="10"/>
      <color theme="0" tint="-0.499984740745262"/>
      <name val="Calibri"/>
      <family val="2"/>
    </font>
    <font>
      <b/>
      <sz val="10"/>
      <name val="Calibri"/>
      <family val="2"/>
      <scheme val="minor"/>
    </font>
    <font>
      <sz val="9"/>
      <color indexed="12"/>
      <name val="Calibri"/>
      <family val="2"/>
      <scheme val="minor"/>
    </font>
    <font>
      <sz val="11"/>
      <color theme="1"/>
      <name val="Calibri"/>
      <family val="2"/>
    </font>
    <font>
      <u/>
      <sz val="11"/>
      <color theme="10"/>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FF0000"/>
      <name val="Calibri"/>
      <family val="2"/>
      <scheme val="minor"/>
    </font>
    <font>
      <sz val="11"/>
      <color indexed="8"/>
      <name val="Calibri"/>
      <family val="2"/>
    </font>
    <font>
      <sz val="10"/>
      <color indexed="8"/>
      <name val="Arial"/>
      <family val="2"/>
    </font>
    <font>
      <sz val="11"/>
      <color indexed="9"/>
      <name val="Calibri"/>
      <family val="2"/>
    </font>
    <font>
      <sz val="10"/>
      <color indexed="9"/>
      <name val="Arial"/>
      <family val="2"/>
    </font>
    <font>
      <b/>
      <sz val="9"/>
      <name val="Helv"/>
    </font>
    <font>
      <sz val="10"/>
      <color indexed="16"/>
      <name val="Arial"/>
      <family val="2"/>
    </font>
    <font>
      <b/>
      <sz val="18"/>
      <name val="Arial"/>
      <family val="2"/>
    </font>
    <font>
      <b/>
      <sz val="15"/>
      <color indexed="56"/>
      <name val="Calibri"/>
      <family val="2"/>
    </font>
    <font>
      <b/>
      <sz val="15"/>
      <color indexed="62"/>
      <name val="Calibri"/>
      <family val="2"/>
    </font>
    <font>
      <b/>
      <sz val="15"/>
      <color indexed="56"/>
      <name val="Arial"/>
      <family val="2"/>
    </font>
    <font>
      <b/>
      <sz val="13"/>
      <color indexed="56"/>
      <name val="Calibri"/>
      <family val="2"/>
    </font>
    <font>
      <b/>
      <sz val="13"/>
      <color indexed="62"/>
      <name val="Calibri"/>
      <family val="2"/>
    </font>
    <font>
      <b/>
      <sz val="13"/>
      <color indexed="56"/>
      <name val="Arial"/>
      <family val="2"/>
    </font>
    <font>
      <b/>
      <sz val="11"/>
      <color indexed="56"/>
      <name val="Calibri"/>
      <family val="2"/>
    </font>
    <font>
      <b/>
      <sz val="11"/>
      <color indexed="62"/>
      <name val="Calibri"/>
      <family val="2"/>
    </font>
    <font>
      <b/>
      <sz val="11"/>
      <color indexed="56"/>
      <name val="Arial"/>
      <family val="2"/>
    </font>
    <font>
      <b/>
      <sz val="10"/>
      <color indexed="53"/>
      <name val="Arial"/>
      <family val="2"/>
    </font>
    <font>
      <b/>
      <sz val="11"/>
      <color rgb="FFFA7D00"/>
      <name val="Calibri"/>
      <family val="2"/>
    </font>
    <font>
      <b/>
      <sz val="10"/>
      <color indexed="52"/>
      <name val="Arial"/>
      <family val="2"/>
    </font>
    <font>
      <sz val="11"/>
      <color indexed="52"/>
      <name val="Calibri"/>
      <family val="2"/>
    </font>
    <font>
      <sz val="10"/>
      <color indexed="52"/>
      <name val="Arial"/>
      <family val="2"/>
    </font>
    <font>
      <b/>
      <sz val="10"/>
      <color indexed="9"/>
      <name val="Arial"/>
      <family val="2"/>
    </font>
    <font>
      <sz val="12"/>
      <name val="Arial"/>
      <family val="2"/>
    </font>
    <font>
      <sz val="11"/>
      <color rgb="FF006100"/>
      <name val="Calibri"/>
      <family val="2"/>
    </font>
    <font>
      <sz val="11"/>
      <color indexed="17"/>
      <name val="Calibri"/>
      <family val="2"/>
    </font>
    <font>
      <sz val="10"/>
      <color indexed="17"/>
      <name val="Arial"/>
      <family val="2"/>
    </font>
    <font>
      <b/>
      <sz val="8"/>
      <name val="Arial"/>
      <family val="2"/>
    </font>
    <font>
      <sz val="8"/>
      <name val="Tahoma"/>
      <family val="2"/>
    </font>
    <font>
      <b/>
      <sz val="10"/>
      <color indexed="8"/>
      <name val="Arial"/>
      <family val="2"/>
    </font>
    <font>
      <sz val="11"/>
      <color rgb="FF3F3F76"/>
      <name val="Calibri"/>
      <family val="2"/>
    </font>
    <font>
      <sz val="11"/>
      <color indexed="62"/>
      <name val="Calibri"/>
      <family val="2"/>
    </font>
    <font>
      <sz val="10"/>
      <color indexed="62"/>
      <name val="Arial"/>
      <family val="2"/>
    </font>
    <font>
      <sz val="11"/>
      <name val="Times New Roman"/>
      <family val="1"/>
    </font>
    <font>
      <i/>
      <sz val="11"/>
      <color indexed="23"/>
      <name val="Calibri"/>
      <family val="2"/>
    </font>
    <font>
      <sz val="10"/>
      <color indexed="23"/>
      <name val="Arial"/>
      <family val="2"/>
    </font>
    <font>
      <b/>
      <sz val="12"/>
      <name val="Arial"/>
      <family val="2"/>
    </font>
    <font>
      <u/>
      <sz val="11"/>
      <color theme="10"/>
      <name val="Calibri"/>
      <family val="2"/>
    </font>
    <font>
      <u/>
      <sz val="11"/>
      <color indexed="12"/>
      <name val="Calibri"/>
      <family val="2"/>
    </font>
    <font>
      <u/>
      <sz val="8"/>
      <color rgb="FF0000FF"/>
      <name val="Calibri"/>
      <family val="2"/>
      <scheme val="minor"/>
    </font>
    <font>
      <sz val="11"/>
      <color indexed="20"/>
      <name val="Calibri"/>
      <family val="2"/>
    </font>
    <font>
      <sz val="10"/>
      <color indexed="20"/>
      <name val="Arial"/>
      <family val="2"/>
    </font>
    <font>
      <sz val="10"/>
      <color indexed="24"/>
      <name val="Arial"/>
      <family val="2"/>
    </font>
    <font>
      <sz val="8"/>
      <color indexed="10"/>
      <name val="Arial"/>
      <family val="2"/>
    </font>
    <font>
      <sz val="10"/>
      <color indexed="60"/>
      <name val="Arial"/>
      <family val="2"/>
    </font>
    <font>
      <sz val="11"/>
      <color rgb="FF9C6500"/>
      <name val="Calibri"/>
      <family val="2"/>
    </font>
    <font>
      <b/>
      <i/>
      <sz val="16"/>
      <name val="Helv"/>
    </font>
    <font>
      <sz val="10"/>
      <name val="Courier"/>
      <family val="3"/>
    </font>
    <font>
      <sz val="12"/>
      <name val="Courier"/>
      <family val="3"/>
    </font>
    <font>
      <sz val="10"/>
      <name val="MS Sans Serif"/>
      <family val="2"/>
    </font>
    <font>
      <sz val="11"/>
      <color theme="1"/>
      <name val="Arial Narrow"/>
      <family val="2"/>
    </font>
    <font>
      <sz val="10"/>
      <name val="Arial CE"/>
      <charset val="238"/>
    </font>
    <font>
      <sz val="10"/>
      <name val="Times New Roman CE"/>
      <family val="1"/>
      <charset val="238"/>
    </font>
    <font>
      <b/>
      <sz val="10"/>
      <color indexed="63"/>
      <name val="Arial"/>
      <family val="2"/>
    </font>
    <font>
      <sz val="10"/>
      <name val="Helv"/>
    </font>
    <font>
      <b/>
      <sz val="11"/>
      <color indexed="63"/>
      <name val="Calibri"/>
      <family val="2"/>
    </font>
    <font>
      <b/>
      <sz val="18"/>
      <color indexed="62"/>
      <name val="Cambria"/>
      <family val="2"/>
    </font>
    <font>
      <sz val="11"/>
      <color indexed="10"/>
      <name val="Calibri"/>
      <family val="2"/>
    </font>
    <font>
      <sz val="10"/>
      <color indexed="10"/>
      <name val="Arial"/>
      <family val="2"/>
    </font>
    <font>
      <i/>
      <sz val="10"/>
      <color indexed="23"/>
      <name val="Arial"/>
      <family val="2"/>
    </font>
    <font>
      <b/>
      <sz val="18"/>
      <color indexed="56"/>
      <name val="Cambria"/>
      <family val="2"/>
    </font>
    <font>
      <b/>
      <sz val="16"/>
      <color indexed="9"/>
      <name val="Arial"/>
      <family val="2"/>
    </font>
    <font>
      <b/>
      <sz val="14"/>
      <name val="Arial"/>
      <family val="2"/>
    </font>
    <font>
      <b/>
      <sz val="11"/>
      <name val="Arial"/>
      <family val="2"/>
    </font>
    <font>
      <b/>
      <sz val="10"/>
      <name val="Helv"/>
    </font>
    <font>
      <b/>
      <sz val="11"/>
      <color indexed="8"/>
      <name val="Calibri"/>
      <family val="2"/>
    </font>
    <font>
      <b/>
      <sz val="11"/>
      <color indexed="9"/>
      <name val="Calibri"/>
      <family val="2"/>
    </font>
    <font>
      <sz val="10"/>
      <name val="Tahoma"/>
      <family val="2"/>
    </font>
    <font>
      <sz val="8"/>
      <color rgb="FFFF0000"/>
      <name val="Calibri"/>
      <family val="2"/>
      <scheme val="minor"/>
    </font>
    <font>
      <sz val="10"/>
      <color rgb="FF3015D5"/>
      <name val="Arial"/>
      <family val="2"/>
    </font>
    <font>
      <sz val="9"/>
      <color rgb="FF3015D5"/>
      <name val="Calibri"/>
      <family val="2"/>
    </font>
    <font>
      <sz val="8"/>
      <color rgb="FF3015D5"/>
      <name val="Calibri"/>
      <family val="2"/>
    </font>
    <font>
      <b/>
      <sz val="8"/>
      <name val="Times New Roman"/>
      <family val="1"/>
    </font>
    <font>
      <b/>
      <sz val="11"/>
      <color indexed="52"/>
      <name val="Calibri"/>
      <family val="2"/>
    </font>
    <font>
      <sz val="1"/>
      <color indexed="16"/>
      <name val="Courier"/>
      <family val="3"/>
    </font>
    <font>
      <b/>
      <sz val="15"/>
      <color indexed="62"/>
      <name val="Arial"/>
      <family val="2"/>
    </font>
    <font>
      <b/>
      <sz val="13"/>
      <color indexed="62"/>
      <name val="Arial"/>
      <family val="2"/>
    </font>
    <font>
      <b/>
      <sz val="11"/>
      <color indexed="62"/>
      <name val="Arial"/>
      <family val="2"/>
    </font>
    <font>
      <b/>
      <sz val="1"/>
      <color indexed="16"/>
      <name val="Courier"/>
      <family val="3"/>
    </font>
    <font>
      <sz val="9"/>
      <name val="UniversCondLight"/>
    </font>
    <font>
      <sz val="10"/>
      <color indexed="53"/>
      <name val="Arial"/>
      <family val="2"/>
    </font>
    <font>
      <sz val="11"/>
      <color indexed="60"/>
      <name val="Calibri"/>
      <family val="2"/>
    </font>
    <font>
      <sz val="10"/>
      <name val="Arial Narrow"/>
      <family val="2"/>
    </font>
    <font>
      <sz val="10"/>
      <color theme="1"/>
      <name val="Arial"/>
      <family val="2"/>
    </font>
    <font>
      <sz val="12"/>
      <color indexed="8"/>
      <name val="Arial MT"/>
      <family val="2"/>
    </font>
    <font>
      <sz val="1"/>
      <color indexed="8"/>
      <name val="Courier"/>
      <family val="3"/>
    </font>
    <font>
      <sz val="10"/>
      <color indexed="12"/>
      <name val="Arial"/>
      <family val="2"/>
    </font>
    <font>
      <u/>
      <sz val="8"/>
      <color indexed="12"/>
      <name val="Calibri"/>
      <family val="2"/>
    </font>
    <font>
      <u/>
      <sz val="10"/>
      <color indexed="12"/>
      <name val="Arial"/>
      <family val="2"/>
    </font>
    <font>
      <sz val="10"/>
      <color indexed="14"/>
      <name val="Arial"/>
      <family val="2"/>
    </font>
    <font>
      <sz val="11"/>
      <color indexed="8"/>
      <name val="Arial Narrow"/>
      <family val="2"/>
    </font>
    <font>
      <sz val="10"/>
      <color indexed="8"/>
      <name val="Calibri"/>
      <family val="2"/>
    </font>
    <font>
      <sz val="9"/>
      <color rgb="FF0000FF"/>
      <name val="Calibri"/>
      <family val="2"/>
      <scheme val="minor"/>
    </font>
    <font>
      <b/>
      <sz val="9"/>
      <color rgb="FF0000FF"/>
      <name val="Calibri"/>
      <family val="2"/>
      <scheme val="minor"/>
    </font>
    <font>
      <sz val="9"/>
      <color rgb="FF0000FF"/>
      <name val="Calibri"/>
      <family val="2"/>
    </font>
    <font>
      <sz val="10"/>
      <color rgb="FF0000FF"/>
      <name val="Arial"/>
      <family val="2"/>
    </font>
    <font>
      <sz val="8"/>
      <color rgb="FF0000FF"/>
      <name val="Calibri"/>
      <family val="2"/>
      <scheme val="minor"/>
    </font>
    <font>
      <sz val="8"/>
      <color rgb="FF0000FF"/>
      <name val="Calibri"/>
      <family val="2"/>
    </font>
    <font>
      <sz val="10"/>
      <color rgb="FF0000FF"/>
      <name val="Calibri"/>
      <family val="2"/>
    </font>
    <font>
      <sz val="10"/>
      <color rgb="FF0000FF"/>
      <name val="Calibri"/>
      <family val="2"/>
      <scheme val="minor"/>
    </font>
    <font>
      <b/>
      <sz val="10"/>
      <color rgb="FF0000FF"/>
      <name val="Calibri"/>
      <family val="2"/>
      <scheme val="minor"/>
    </font>
    <font>
      <sz val="12"/>
      <color rgb="FF0000FF"/>
      <name val="Calibri"/>
      <family val="2"/>
      <scheme val="minor"/>
    </font>
    <font>
      <sz val="11"/>
      <color rgb="FF0000FF"/>
      <name val="Calibri"/>
      <family val="2"/>
      <scheme val="minor"/>
    </font>
    <font>
      <sz val="7"/>
      <color rgb="FF0000FF"/>
      <name val="Calibri"/>
      <family val="2"/>
      <scheme val="minor"/>
    </font>
    <font>
      <sz val="9"/>
      <color rgb="FF0000FF"/>
      <name val="Arial"/>
      <family val="2"/>
    </font>
    <font>
      <sz val="8"/>
      <color rgb="FF0000FF"/>
      <name val="Arial"/>
      <family val="2"/>
    </font>
    <font>
      <b/>
      <sz val="8"/>
      <color rgb="FF0000FF"/>
      <name val="Arial"/>
      <family val="2"/>
    </font>
    <font>
      <b/>
      <sz val="12"/>
      <color rgb="FF0000FF"/>
      <name val="Calibri"/>
      <family val="2"/>
    </font>
    <font>
      <sz val="10"/>
      <color theme="0"/>
      <name val="Arial"/>
      <family val="2"/>
    </font>
    <font>
      <i/>
      <sz val="11"/>
      <color theme="1"/>
      <name val="Calibri"/>
      <family val="2"/>
      <scheme val="minor"/>
    </font>
    <font>
      <sz val="8"/>
      <color theme="1" tint="0.499984740745262"/>
      <name val="Calibri"/>
      <family val="2"/>
    </font>
    <font>
      <sz val="10"/>
      <color theme="1" tint="0.499984740745262"/>
      <name val="Arial"/>
      <family val="2"/>
    </font>
    <font>
      <sz val="9"/>
      <color theme="1" tint="0.499984740745262"/>
      <name val="Calibri"/>
      <family val="2"/>
    </font>
    <font>
      <sz val="8"/>
      <color theme="1" tint="0.499984740745262"/>
      <name val="Calibri"/>
      <family val="2"/>
      <scheme val="minor"/>
    </font>
    <font>
      <sz val="11"/>
      <color theme="1" tint="0.499984740745262"/>
      <name val="Calibri"/>
      <family val="2"/>
    </font>
    <font>
      <sz val="12"/>
      <color rgb="FF0000FF"/>
      <name val="Calibri"/>
      <family val="2"/>
    </font>
    <font>
      <sz val="7.5"/>
      <color rgb="FFFF0000"/>
      <name val="Verdana"/>
      <family val="2"/>
    </font>
    <font>
      <b/>
      <sz val="8"/>
      <color rgb="FF3017FF"/>
      <name val="Calibri"/>
      <family val="2"/>
    </font>
    <font>
      <b/>
      <sz val="8"/>
      <color theme="1"/>
      <name val="Calibri"/>
      <family val="2"/>
      <scheme val="minor"/>
    </font>
    <font>
      <sz val="8"/>
      <color rgb="FF000000"/>
      <name val="Calibri"/>
      <family val="2"/>
    </font>
    <font>
      <u/>
      <sz val="10"/>
      <name val="Arial"/>
      <family val="2"/>
    </font>
    <font>
      <u/>
      <sz val="10"/>
      <color rgb="FF002060"/>
      <name val="Arial"/>
      <family val="2"/>
    </font>
    <font>
      <b/>
      <sz val="8"/>
      <color theme="1"/>
      <name val="Calibri"/>
      <family val="2"/>
    </font>
    <font>
      <sz val="10"/>
      <color theme="1"/>
      <name val="Calibri Light"/>
      <family val="2"/>
    </font>
    <font>
      <b/>
      <sz val="11"/>
      <color theme="1"/>
      <name val="Calibri"/>
      <family val="2"/>
    </font>
    <font>
      <sz val="10"/>
      <color theme="0"/>
      <name val="Calibri Light"/>
      <family val="2"/>
    </font>
    <font>
      <sz val="11"/>
      <name val="Calibri"/>
      <family val="2"/>
      <scheme val="minor"/>
    </font>
    <font>
      <sz val="9"/>
      <color theme="1" tint="0.14999847407452621"/>
      <name val="Calibri"/>
      <family val="2"/>
    </font>
    <font>
      <sz val="8"/>
      <color theme="1" tint="0.14999847407452621"/>
      <name val="Calibri"/>
      <family val="2"/>
    </font>
    <font>
      <sz val="9"/>
      <color theme="1"/>
      <name val="Calibri"/>
      <family val="2"/>
      <scheme val="minor"/>
    </font>
    <font>
      <i/>
      <sz val="9"/>
      <color theme="1" tint="0.14999847407452621"/>
      <name val="Calibri"/>
      <family val="2"/>
    </font>
    <font>
      <i/>
      <sz val="8"/>
      <color theme="1" tint="0.14999847407452621"/>
      <name val="Calibri"/>
      <family val="2"/>
    </font>
    <font>
      <sz val="11"/>
      <color rgb="FF000066"/>
      <name val="Calibri"/>
      <family val="2"/>
      <scheme val="minor"/>
    </font>
    <font>
      <b/>
      <sz val="14"/>
      <color rgb="FF000066"/>
      <name val="Calibri"/>
      <family val="2"/>
      <scheme val="minor"/>
    </font>
    <font>
      <b/>
      <sz val="14"/>
      <color rgb="FF000066"/>
      <name val="Calibri"/>
      <family val="2"/>
    </font>
    <font>
      <sz val="10"/>
      <name val="Calibri Light"/>
      <family val="2"/>
    </font>
    <font>
      <sz val="10"/>
      <color rgb="FFFF0000"/>
      <name val="Arial"/>
      <family val="2"/>
    </font>
    <font>
      <b/>
      <sz val="10"/>
      <color rgb="FFFF0000"/>
      <name val="Calibri"/>
      <family val="2"/>
    </font>
    <font>
      <sz val="11"/>
      <color theme="0"/>
      <name val="Calibri"/>
      <family val="2"/>
      <scheme val="minor"/>
    </font>
    <font>
      <sz val="10"/>
      <color theme="0"/>
      <name val="Calibri"/>
      <family val="2"/>
    </font>
    <font>
      <sz val="7"/>
      <color theme="0"/>
      <name val="Calibri"/>
      <family val="2"/>
    </font>
    <font>
      <sz val="8"/>
      <color rgb="FF000000"/>
      <name val="Calibri"/>
      <family val="2"/>
      <scheme val="minor"/>
    </font>
    <font>
      <b/>
      <sz val="8"/>
      <color rgb="FF000000"/>
      <name val="Calibri"/>
      <family val="2"/>
      <scheme val="minor"/>
    </font>
    <font>
      <sz val="8"/>
      <color theme="1"/>
      <name val="Corbel"/>
      <family val="2"/>
    </font>
    <font>
      <b/>
      <sz val="14"/>
      <color indexed="56"/>
      <name val="Calibri"/>
      <family val="2"/>
    </font>
    <font>
      <b/>
      <sz val="14"/>
      <color theme="3"/>
      <name val="Calibri"/>
      <family val="2"/>
      <scheme val="minor"/>
    </font>
  </fonts>
  <fills count="61">
    <fill>
      <patternFill patternType="none"/>
    </fill>
    <fill>
      <patternFill patternType="gray125"/>
    </fill>
    <fill>
      <patternFill patternType="solid">
        <fgColor rgb="FFC6EFCE"/>
      </patternFill>
    </fill>
    <fill>
      <patternFill patternType="solid">
        <fgColor theme="0"/>
        <bgColor indexed="64"/>
      </patternFill>
    </fill>
    <fill>
      <patternFill patternType="solid">
        <fgColor indexed="9"/>
        <bgColor indexed="64"/>
      </patternFill>
    </fill>
    <fill>
      <patternFill patternType="lightVertical">
        <fgColor theme="6" tint="0.39994506668294322"/>
        <bgColor theme="0"/>
      </patternFill>
    </fill>
    <fill>
      <patternFill patternType="solid">
        <fgColor rgb="FFFFFFFF"/>
        <bgColor indexed="64"/>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6"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53"/>
      </patternFill>
    </fill>
    <fill>
      <patternFill patternType="solid">
        <fgColor indexed="45"/>
        <bgColor indexed="45"/>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9"/>
        <bgColor indexed="9"/>
      </patternFill>
    </fill>
    <fill>
      <patternFill patternType="solid">
        <fgColor indexed="22"/>
      </patternFill>
    </fill>
    <fill>
      <patternFill patternType="solid">
        <fgColor indexed="62"/>
      </patternFill>
    </fill>
    <fill>
      <patternFill patternType="solid">
        <fgColor indexed="5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51"/>
        <bgColor indexed="64"/>
      </patternFill>
    </fill>
    <fill>
      <patternFill patternType="solid">
        <fgColor indexed="43"/>
        <bgColor indexed="64"/>
      </patternFill>
    </fill>
    <fill>
      <patternFill patternType="solid">
        <fgColor indexed="43"/>
        <bgColor indexed="43"/>
      </patternFill>
    </fill>
    <fill>
      <patternFill patternType="solid">
        <fgColor indexed="26"/>
      </patternFill>
    </fill>
    <fill>
      <patternFill patternType="solid">
        <fgColor indexed="42"/>
        <bgColor indexed="64"/>
      </patternFill>
    </fill>
    <fill>
      <patternFill patternType="solid">
        <fgColor indexed="24"/>
        <bgColor indexed="64"/>
      </patternFill>
    </fill>
    <fill>
      <patternFill patternType="solid">
        <fgColor indexed="55"/>
      </patternFill>
    </fill>
    <fill>
      <patternFill patternType="mediumGray"/>
    </fill>
  </fills>
  <borders count="108">
    <border>
      <left/>
      <right/>
      <top/>
      <bottom/>
      <diagonal/>
    </border>
    <border>
      <left/>
      <right/>
      <top/>
      <bottom style="thick">
        <color theme="4"/>
      </bottom>
      <diagonal/>
    </border>
    <border>
      <left/>
      <right/>
      <top/>
      <bottom style="thin">
        <color rgb="FF002060"/>
      </bottom>
      <diagonal/>
    </border>
    <border>
      <left/>
      <right/>
      <top style="thin">
        <color rgb="FF0000FF"/>
      </top>
      <bottom/>
      <diagonal/>
    </border>
    <border>
      <left style="dashed">
        <color rgb="FF0000FF"/>
      </left>
      <right style="dashed">
        <color rgb="FF0000FF"/>
      </right>
      <top style="thin">
        <color rgb="FF0000FF"/>
      </top>
      <bottom style="thin">
        <color rgb="FF0000FF"/>
      </bottom>
      <diagonal/>
    </border>
    <border>
      <left style="dashed">
        <color rgb="FF0000FF"/>
      </left>
      <right/>
      <top style="thin">
        <color rgb="FF0000FF"/>
      </top>
      <bottom style="thin">
        <color rgb="FF0000FF"/>
      </bottom>
      <diagonal/>
    </border>
    <border>
      <left/>
      <right/>
      <top/>
      <bottom style="thin">
        <color rgb="FF0000FF"/>
      </bottom>
      <diagonal/>
    </border>
    <border>
      <left/>
      <right/>
      <top style="thin">
        <color rgb="FF0000FF"/>
      </top>
      <bottom style="thin">
        <color rgb="FF0000FF"/>
      </bottom>
      <diagonal/>
    </border>
    <border>
      <left/>
      <right/>
      <top style="thin">
        <color rgb="FF3015D5"/>
      </top>
      <bottom/>
      <diagonal/>
    </border>
    <border>
      <left style="dashed">
        <color rgb="FF3015D5"/>
      </left>
      <right style="dashed">
        <color rgb="FF3015D5"/>
      </right>
      <top style="thin">
        <color rgb="FF3015D5"/>
      </top>
      <bottom style="thin">
        <color rgb="FF3015D5"/>
      </bottom>
      <diagonal/>
    </border>
    <border>
      <left style="dashed">
        <color rgb="FF3015D5"/>
      </left>
      <right/>
      <top style="thin">
        <color rgb="FF3015D5"/>
      </top>
      <bottom style="thin">
        <color rgb="FF3015D5"/>
      </bottom>
      <diagonal/>
    </border>
    <border>
      <left/>
      <right/>
      <top style="thin">
        <color rgb="FF3015D5"/>
      </top>
      <bottom style="thin">
        <color rgb="FF3015D5"/>
      </bottom>
      <diagonal/>
    </border>
    <border>
      <left/>
      <right/>
      <top/>
      <bottom style="thin">
        <color rgb="FF3015D5"/>
      </bottom>
      <diagonal/>
    </border>
    <border>
      <left style="dashed">
        <color rgb="FF3015D5"/>
      </left>
      <right/>
      <top style="thin">
        <color rgb="FF3015D5"/>
      </top>
      <bottom/>
      <diagonal/>
    </border>
    <border>
      <left style="dashed">
        <color rgb="FF3015D5"/>
      </left>
      <right/>
      <top/>
      <bottom style="thin">
        <color rgb="FF3015D5"/>
      </bottom>
      <diagonal/>
    </border>
    <border>
      <left style="dotted">
        <color rgb="FF3015D5"/>
      </left>
      <right style="dotted">
        <color rgb="FF3015D5"/>
      </right>
      <top style="thin">
        <color rgb="FF3015D5"/>
      </top>
      <bottom style="thin">
        <color rgb="FF3015D5"/>
      </bottom>
      <diagonal/>
    </border>
    <border>
      <left style="dotted">
        <color rgb="FF3015D5"/>
      </left>
      <right style="dashed">
        <color rgb="FF3015D5"/>
      </right>
      <top style="thin">
        <color rgb="FF3015D5"/>
      </top>
      <bottom style="thin">
        <color rgb="FF3015D5"/>
      </bottom>
      <diagonal/>
    </border>
    <border>
      <left/>
      <right/>
      <top/>
      <bottom style="thin">
        <color indexed="64"/>
      </bottom>
      <diagonal/>
    </border>
    <border>
      <left/>
      <right/>
      <top style="thin">
        <color indexed="12"/>
      </top>
      <bottom/>
      <diagonal/>
    </border>
    <border>
      <left/>
      <right style="dashed">
        <color rgb="FF0000FF"/>
      </right>
      <top style="thin">
        <color rgb="FF0000FF"/>
      </top>
      <bottom style="thin">
        <color rgb="FF0000FF"/>
      </bottom>
      <diagonal/>
    </border>
    <border>
      <left/>
      <right/>
      <top/>
      <bottom style="thin">
        <color indexed="12"/>
      </bottom>
      <diagonal/>
    </border>
    <border>
      <left style="dotted">
        <color rgb="FF3015D5"/>
      </left>
      <right style="dotted">
        <color rgb="FF3017FF"/>
      </right>
      <top style="thin">
        <color rgb="FF3015D5"/>
      </top>
      <bottom style="thin">
        <color rgb="FF3015D5"/>
      </bottom>
      <diagonal/>
    </border>
    <border>
      <left/>
      <right/>
      <top style="thin">
        <color indexed="12"/>
      </top>
      <bottom style="thin">
        <color indexed="12"/>
      </bottom>
      <diagonal/>
    </border>
    <border>
      <left/>
      <right/>
      <top style="thin">
        <color indexed="12"/>
      </top>
      <bottom style="thin">
        <color rgb="FF3015D5"/>
      </bottom>
      <diagonal/>
    </border>
    <border>
      <left/>
      <right/>
      <top style="thin">
        <color rgb="FF3015D5"/>
      </top>
      <bottom style="thin">
        <color indexed="12"/>
      </bottom>
      <diagonal/>
    </border>
    <border>
      <left/>
      <right style="dashed">
        <color rgb="FF3015D5"/>
      </right>
      <top style="thin">
        <color rgb="FF3015D5"/>
      </top>
      <bottom style="thin">
        <color rgb="FF3015D5"/>
      </bottom>
      <diagonal/>
    </border>
    <border>
      <left/>
      <right style="dashed">
        <color rgb="FF3015D5"/>
      </right>
      <top style="thin">
        <color rgb="FF3015D5"/>
      </top>
      <bottom/>
      <diagonal/>
    </border>
    <border>
      <left/>
      <right style="dashed">
        <color rgb="FF3015D5"/>
      </right>
      <top/>
      <bottom/>
      <diagonal/>
    </border>
    <border>
      <left style="dashed">
        <color rgb="FF3015D5"/>
      </left>
      <right/>
      <top/>
      <bottom/>
      <diagonal/>
    </border>
    <border>
      <left/>
      <right style="dashed">
        <color rgb="FF3015D5"/>
      </right>
      <top/>
      <bottom style="thin">
        <color rgb="FF3015D5"/>
      </bottom>
      <diagonal/>
    </border>
    <border>
      <left/>
      <right/>
      <top style="thin">
        <color rgb="FF3017FF"/>
      </top>
      <bottom style="thin">
        <color rgb="FF3017FF"/>
      </bottom>
      <diagonal/>
    </border>
    <border>
      <left/>
      <right/>
      <top/>
      <bottom style="thin">
        <color rgb="FF3017FF"/>
      </bottom>
      <diagonal/>
    </border>
    <border>
      <left/>
      <right/>
      <top style="thin">
        <color rgb="FF3017FF"/>
      </top>
      <bottom/>
      <diagonal/>
    </border>
    <border>
      <left/>
      <right/>
      <top style="thin">
        <color rgb="FF0000FF"/>
      </top>
      <bottom style="thin">
        <color rgb="FF3015D5"/>
      </bottom>
      <diagonal/>
    </border>
    <border>
      <left style="dotted">
        <color rgb="FF0000FF"/>
      </left>
      <right/>
      <top/>
      <bottom style="thin">
        <color rgb="FF0000FF"/>
      </bottom>
      <diagonal/>
    </border>
    <border>
      <left/>
      <right style="dotted">
        <color rgb="FF0000FF"/>
      </right>
      <top/>
      <bottom style="thin">
        <color rgb="FF0000FF"/>
      </bottom>
      <diagonal/>
    </border>
    <border>
      <left style="dotted">
        <color rgb="FF0000FF"/>
      </left>
      <right/>
      <top/>
      <bottom/>
      <diagonal/>
    </border>
    <border>
      <left style="dotted">
        <color rgb="FF0000FF"/>
      </left>
      <right/>
      <top style="thin">
        <color rgb="FF0000FF"/>
      </top>
      <bottom/>
      <diagonal/>
    </border>
    <border>
      <left/>
      <right style="dotted">
        <color rgb="FF0000FF"/>
      </right>
      <top style="thin">
        <color rgb="FF0000FF"/>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47"/>
      </bottom>
      <diagonal/>
    </border>
    <border>
      <left/>
      <right/>
      <top/>
      <bottom style="medium">
        <color indexed="30"/>
      </bottom>
      <diagonal/>
    </border>
    <border>
      <left/>
      <right/>
      <top/>
      <bottom style="medium">
        <color indexed="47"/>
      </bottom>
      <diagonal/>
    </border>
    <border>
      <left style="medium">
        <color indexed="64"/>
      </left>
      <right style="medium">
        <color indexed="64"/>
      </right>
      <top/>
      <bottom style="hair">
        <color theme="3" tint="0.39994506668294322"/>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dotted">
        <color indexed="28"/>
      </left>
      <right style="dotted">
        <color indexed="28"/>
      </right>
      <top style="dotted">
        <color indexed="28"/>
      </top>
      <bottom style="dotted">
        <color indexed="28"/>
      </bottom>
      <diagonal/>
    </border>
    <border>
      <left style="thin">
        <color indexed="63"/>
      </left>
      <right style="thin">
        <color indexed="63"/>
      </right>
      <top style="thin">
        <color indexed="63"/>
      </top>
      <bottom style="thin">
        <color indexed="63"/>
      </bottom>
      <diagonal/>
    </border>
    <border>
      <left style="dashed">
        <color indexed="55"/>
      </left>
      <right style="dashed">
        <color indexed="55"/>
      </right>
      <top style="dashed">
        <color indexed="55"/>
      </top>
      <bottom style="dashed">
        <color indexed="55"/>
      </bottom>
      <diagonal/>
    </border>
    <border>
      <left style="dashed">
        <color indexed="28"/>
      </left>
      <right style="dashed">
        <color indexed="28"/>
      </right>
      <top style="dashed">
        <color indexed="28"/>
      </top>
      <bottom style="dashed">
        <color indexed="28"/>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dashed">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49"/>
      </top>
      <bottom style="double">
        <color indexed="49"/>
      </bottom>
      <diagonal/>
    </border>
    <border>
      <left/>
      <right/>
      <top style="thin">
        <color indexed="62"/>
      </top>
      <bottom style="double">
        <color indexed="62"/>
      </bottom>
      <diagonal/>
    </border>
    <border>
      <left style="thin">
        <color auto="1"/>
      </left>
      <right style="thin">
        <color auto="1"/>
      </right>
      <top style="thin">
        <color auto="1"/>
      </top>
      <bottom/>
      <diagonal/>
    </border>
    <border>
      <left/>
      <right/>
      <top/>
      <bottom style="thick">
        <color indexed="54"/>
      </bottom>
      <diagonal/>
    </border>
    <border>
      <left/>
      <right/>
      <top/>
      <bottom style="medium">
        <color indexed="44"/>
      </bottom>
      <diagonal/>
    </border>
    <border>
      <left/>
      <right/>
      <top style="thin">
        <color indexed="64"/>
      </top>
      <bottom style="thin">
        <color indexed="64"/>
      </bottom>
      <diagonal/>
    </border>
    <border>
      <left style="medium">
        <color indexed="64"/>
      </left>
      <right style="medium">
        <color indexed="64"/>
      </right>
      <top/>
      <bottom style="hair">
        <color indexed="62"/>
      </bottom>
      <diagonal/>
    </border>
    <border>
      <left/>
      <right/>
      <top style="medium">
        <color indexed="64"/>
      </top>
      <bottom style="medium">
        <color indexed="64"/>
      </bottom>
      <diagonal/>
    </border>
    <border>
      <left style="dotted">
        <color rgb="FF3015D5"/>
      </left>
      <right/>
      <top style="thin">
        <color rgb="FF0000FF"/>
      </top>
      <bottom/>
      <diagonal/>
    </border>
    <border>
      <left style="dotted">
        <color rgb="FF3015D5"/>
      </left>
      <right/>
      <top/>
      <bottom style="thin">
        <color rgb="FF0000FF"/>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dotted">
        <color theme="1"/>
      </top>
      <bottom style="medium">
        <color indexed="64"/>
      </bottom>
      <diagonal/>
    </border>
    <border>
      <left/>
      <right/>
      <top style="dotted">
        <color theme="1"/>
      </top>
      <bottom style="dotted">
        <color theme="1"/>
      </bottom>
      <diagonal/>
    </border>
    <border>
      <left/>
      <right/>
      <top style="thin">
        <color rgb="FF3017FF"/>
      </top>
      <bottom style="dotted">
        <color theme="1"/>
      </bottom>
      <diagonal/>
    </border>
    <border>
      <left/>
      <right/>
      <top style="hair">
        <color auto="1"/>
      </top>
      <bottom style="hair">
        <color auto="1"/>
      </bottom>
      <diagonal/>
    </border>
    <border>
      <left/>
      <right/>
      <top/>
      <bottom style="hair">
        <color auto="1"/>
      </bottom>
      <diagonal/>
    </border>
    <border>
      <left/>
      <right/>
      <top style="hair">
        <color auto="1"/>
      </top>
      <bottom/>
      <diagonal/>
    </border>
    <border>
      <left style="hair">
        <color rgb="FF3015D5"/>
      </left>
      <right/>
      <top style="thin">
        <color rgb="FF3015D5"/>
      </top>
      <bottom style="thin">
        <color rgb="FF3015D5"/>
      </bottom>
      <diagonal/>
    </border>
    <border>
      <left style="hair">
        <color rgb="FF3015D5"/>
      </left>
      <right style="hair">
        <color rgb="FF3015D5"/>
      </right>
      <top style="thin">
        <color rgb="FF3015D5"/>
      </top>
      <bottom style="thin">
        <color rgb="FF3015D5"/>
      </bottom>
      <diagonal/>
    </border>
    <border>
      <left/>
      <right style="hair">
        <color rgb="FF3015D5"/>
      </right>
      <top style="thin">
        <color rgb="FF3015D5"/>
      </top>
      <bottom style="thin">
        <color rgb="FF3015D5"/>
      </bottom>
      <diagonal/>
    </border>
    <border>
      <left style="dashed">
        <color rgb="FF0000FF"/>
      </left>
      <right/>
      <top style="thin">
        <color rgb="FF0000FF"/>
      </top>
      <bottom/>
      <diagonal/>
    </border>
    <border>
      <left style="dotted">
        <color rgb="FF0000FF"/>
      </left>
      <right/>
      <top style="thin">
        <color rgb="FF0000FF"/>
      </top>
      <bottom style="thin">
        <color rgb="FF0000FF"/>
      </bottom>
      <diagonal/>
    </border>
    <border>
      <left/>
      <right style="dotted">
        <color rgb="FF0000FF"/>
      </right>
      <top style="thin">
        <color rgb="FF0000FF"/>
      </top>
      <bottom style="thin">
        <color rgb="FF0000FF"/>
      </bottom>
      <diagonal/>
    </border>
    <border>
      <left/>
      <right style="dashed">
        <color rgb="FF0000FF"/>
      </right>
      <top style="thin">
        <color rgb="FF0000FF"/>
      </top>
      <bottom/>
      <diagonal/>
    </border>
    <border>
      <left style="dashed">
        <color indexed="12"/>
      </left>
      <right/>
      <top style="thin">
        <color indexed="12"/>
      </top>
      <bottom style="thin">
        <color indexed="12"/>
      </bottom>
      <diagonal/>
    </border>
    <border>
      <left/>
      <right style="dashed">
        <color indexed="12"/>
      </right>
      <top style="thin">
        <color indexed="12"/>
      </top>
      <bottom style="thin">
        <color indexed="12"/>
      </bottom>
      <diagonal/>
    </border>
    <border>
      <left style="dashed">
        <color indexed="12"/>
      </left>
      <right style="dashed">
        <color indexed="12"/>
      </right>
      <top style="thin">
        <color indexed="12"/>
      </top>
      <bottom style="thin">
        <color indexed="12"/>
      </bottom>
      <diagonal/>
    </border>
    <border>
      <left/>
      <right style="dashed">
        <color indexed="12"/>
      </right>
      <top style="thin">
        <color indexed="12"/>
      </top>
      <bottom/>
      <diagonal/>
    </border>
    <border>
      <left/>
      <right style="dashed">
        <color indexed="12"/>
      </right>
      <top/>
      <bottom/>
      <diagonal/>
    </border>
    <border>
      <left style="dotted">
        <color rgb="FF0000FF"/>
      </left>
      <right style="dotted">
        <color rgb="FF0000FF"/>
      </right>
      <top/>
      <bottom style="thin">
        <color rgb="FF0000FF"/>
      </bottom>
      <diagonal/>
    </border>
    <border>
      <left style="dashed">
        <color rgb="FF3015D5"/>
      </left>
      <right/>
      <top style="thin">
        <color indexed="12"/>
      </top>
      <bottom style="thin">
        <color indexed="12"/>
      </bottom>
      <diagonal/>
    </border>
    <border>
      <left/>
      <right/>
      <top/>
      <bottom style="medium">
        <color rgb="FF365F91"/>
      </bottom>
      <diagonal/>
    </border>
    <border>
      <left style="dotted">
        <color indexed="12"/>
      </left>
      <right/>
      <top style="thin">
        <color indexed="12"/>
      </top>
      <bottom style="thin">
        <color indexed="12"/>
      </bottom>
      <diagonal/>
    </border>
    <border>
      <left/>
      <right style="dotted">
        <color indexed="12"/>
      </right>
      <top style="thin">
        <color indexed="12"/>
      </top>
      <bottom style="thin">
        <color rgb="FF0000FF"/>
      </bottom>
      <diagonal/>
    </border>
    <border>
      <left/>
      <right style="dashed">
        <color indexed="12"/>
      </right>
      <top/>
      <bottom style="thin">
        <color indexed="12"/>
      </bottom>
      <diagonal/>
    </border>
    <border>
      <left/>
      <right/>
      <top/>
      <bottom style="thin">
        <color indexed="56"/>
      </bottom>
      <diagonal/>
    </border>
    <border>
      <left/>
      <right style="dashed">
        <color auto="1"/>
      </right>
      <top/>
      <bottom/>
      <diagonal/>
    </border>
    <border>
      <left/>
      <right/>
      <top/>
      <bottom style="medium">
        <color theme="3"/>
      </bottom>
      <diagonal/>
    </border>
    <border>
      <left style="dashed">
        <color rgb="FF3015D5"/>
      </left>
      <right style="dashed">
        <color rgb="FF3015D5"/>
      </right>
      <top style="thin">
        <color indexed="12"/>
      </top>
      <bottom style="thin">
        <color indexed="12"/>
      </bottom>
      <diagonal/>
    </border>
    <border>
      <left style="dashed">
        <color indexed="12"/>
      </left>
      <right/>
      <top style="thin">
        <color indexed="12"/>
      </top>
      <bottom/>
      <diagonal/>
    </border>
    <border>
      <left style="dashed">
        <color indexed="12"/>
      </left>
      <right/>
      <top/>
      <bottom/>
      <diagonal/>
    </border>
  </borders>
  <cellStyleXfs count="2821">
    <xf numFmtId="0" fontId="0" fillId="0" borderId="0"/>
    <xf numFmtId="0" fontId="6" fillId="0" borderId="1" applyNumberFormat="0" applyFill="0" applyAlignment="0" applyProtection="0"/>
    <xf numFmtId="0" fontId="7" fillId="2" borderId="0" applyNumberFormat="0" applyBorder="0" applyAlignment="0" applyProtection="0"/>
    <xf numFmtId="0" fontId="5" fillId="0" borderId="0"/>
    <xf numFmtId="0" fontId="5" fillId="0" borderId="0"/>
    <xf numFmtId="0" fontId="8" fillId="0" borderId="0"/>
    <xf numFmtId="9" fontId="8" fillId="0" borderId="0" applyFont="0" applyFill="0" applyBorder="0" applyAlignment="0" applyProtection="0"/>
    <xf numFmtId="0" fontId="11" fillId="0" borderId="0"/>
    <xf numFmtId="0" fontId="5" fillId="0" borderId="0"/>
    <xf numFmtId="0" fontId="8" fillId="0" borderId="0"/>
    <xf numFmtId="0" fontId="8" fillId="0" borderId="0"/>
    <xf numFmtId="43" fontId="11" fillId="0" borderId="0" applyFont="0" applyFill="0" applyBorder="0" applyAlignment="0" applyProtection="0"/>
    <xf numFmtId="0" fontId="8" fillId="0" borderId="0"/>
    <xf numFmtId="9" fontId="11" fillId="0" borderId="0" applyFont="0" applyFill="0" applyBorder="0" applyAlignment="0" applyProtection="0"/>
    <xf numFmtId="0" fontId="8" fillId="0" borderId="0"/>
    <xf numFmtId="0" fontId="8" fillId="0" borderId="0"/>
    <xf numFmtId="0" fontId="28" fillId="0" borderId="0"/>
    <xf numFmtId="43" fontId="8" fillId="0" borderId="0" applyFont="0" applyFill="0" applyBorder="0" applyAlignment="0" applyProtection="0"/>
    <xf numFmtId="0" fontId="11" fillId="0" borderId="0"/>
    <xf numFmtId="0" fontId="5" fillId="0" borderId="0"/>
    <xf numFmtId="0" fontId="5" fillId="0" borderId="0"/>
    <xf numFmtId="43" fontId="5" fillId="0" borderId="0" applyFont="0" applyFill="0" applyBorder="0" applyAlignment="0" applyProtection="0"/>
    <xf numFmtId="0" fontId="11" fillId="0" borderId="0"/>
    <xf numFmtId="43" fontId="11"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11" fillId="0" borderId="0"/>
    <xf numFmtId="0" fontId="11" fillId="0" borderId="0"/>
    <xf numFmtId="0" fontId="11" fillId="0" borderId="0"/>
    <xf numFmtId="0" fontId="60"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43" fontId="5" fillId="0" borderId="0" applyFont="0" applyFill="0" applyBorder="0" applyAlignment="0" applyProtection="0"/>
    <xf numFmtId="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5" borderId="0" applyNumberFormat="0" applyBorder="0" applyAlignment="0" applyProtection="0"/>
    <xf numFmtId="0" fontId="96" fillId="16" borderId="0" applyNumberFormat="0" applyBorder="0" applyAlignment="0" applyProtection="0"/>
    <xf numFmtId="0" fontId="96" fillId="17" borderId="0" applyNumberFormat="0" applyBorder="0" applyAlignment="0" applyProtection="0"/>
    <xf numFmtId="0" fontId="96"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6"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89" fillId="11"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6"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6"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6"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6" fillId="18" borderId="0" applyNumberFormat="0" applyBorder="0" applyAlignment="0" applyProtection="0"/>
    <xf numFmtId="0" fontId="96" fillId="19" borderId="0" applyNumberFormat="0" applyBorder="0" applyAlignment="0" applyProtection="0"/>
    <xf numFmtId="0" fontId="96" fillId="20" borderId="0" applyNumberFormat="0" applyBorder="0" applyAlignment="0" applyProtection="0"/>
    <xf numFmtId="0" fontId="96" fillId="15" borderId="0" applyNumberFormat="0" applyBorder="0" applyAlignment="0" applyProtection="0"/>
    <xf numFmtId="0" fontId="96" fillId="18" borderId="0" applyNumberFormat="0" applyBorder="0" applyAlignment="0" applyProtection="0"/>
    <xf numFmtId="0" fontId="96" fillId="21" borderId="0" applyNumberFormat="0" applyBorder="0" applyAlignment="0" applyProtection="0"/>
    <xf numFmtId="0" fontId="96"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6"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6"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6"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6"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6"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8" fillId="22" borderId="0" applyNumberFormat="0" applyBorder="0" applyAlignment="0" applyProtection="0"/>
    <xf numFmtId="0" fontId="98" fillId="19" borderId="0" applyNumberFormat="0" applyBorder="0" applyAlignment="0" applyProtection="0"/>
    <xf numFmtId="0" fontId="98" fillId="20"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25" borderId="0" applyNumberFormat="0" applyBorder="0" applyAlignment="0" applyProtection="0"/>
    <xf numFmtId="0" fontId="98"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8"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8" fillId="20" borderId="0" applyNumberFormat="0" applyBorder="0" applyAlignment="0" applyProtection="0"/>
    <xf numFmtId="0" fontId="99" fillId="20" borderId="0" applyNumberFormat="0" applyBorder="0" applyAlignment="0" applyProtection="0"/>
    <xf numFmtId="0" fontId="99" fillId="20" borderId="0" applyNumberFormat="0" applyBorder="0" applyAlignment="0" applyProtection="0"/>
    <xf numFmtId="0" fontId="98"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8" fillId="24" borderId="0" applyNumberFormat="0" applyBorder="0" applyAlignment="0" applyProtection="0"/>
    <xf numFmtId="0" fontId="99" fillId="24" borderId="0" applyNumberFormat="0" applyBorder="0" applyAlignment="0" applyProtection="0"/>
    <xf numFmtId="0" fontId="99" fillId="24" borderId="0" applyNumberFormat="0" applyBorder="0" applyAlignment="0" applyProtection="0"/>
    <xf numFmtId="0" fontId="98" fillId="25" borderId="0" applyNumberFormat="0" applyBorder="0" applyAlignment="0" applyProtection="0"/>
    <xf numFmtId="0" fontId="99" fillId="25" borderId="0" applyNumberFormat="0" applyBorder="0" applyAlignment="0" applyProtection="0"/>
    <xf numFmtId="0" fontId="99" fillId="25" borderId="0" applyNumberFormat="0" applyBorder="0" applyAlignment="0" applyProtection="0"/>
    <xf numFmtId="0" fontId="99" fillId="26"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9" fillId="28" borderId="0" applyNumberFormat="0" applyBorder="0" applyAlignment="0" applyProtection="0"/>
    <xf numFmtId="0" fontId="99" fillId="29" borderId="0" applyNumberFormat="0" applyBorder="0" applyAlignment="0" applyProtection="0"/>
    <xf numFmtId="0" fontId="97" fillId="30" borderId="0" applyNumberFormat="0" applyBorder="0" applyAlignment="0" applyProtection="0"/>
    <xf numFmtId="0" fontId="97" fillId="31" borderId="0" applyNumberFormat="0" applyBorder="0" applyAlignment="0" applyProtection="0"/>
    <xf numFmtId="0" fontId="99" fillId="32" borderId="0" applyNumberFormat="0" applyBorder="0" applyAlignment="0" applyProtection="0"/>
    <xf numFmtId="0" fontId="99" fillId="32" borderId="0" applyNumberFormat="0" applyBorder="0" applyAlignment="0" applyProtection="0"/>
    <xf numFmtId="0" fontId="97" fillId="30" borderId="0" applyNumberFormat="0" applyBorder="0" applyAlignment="0" applyProtection="0"/>
    <xf numFmtId="0" fontId="97" fillId="34" borderId="0" applyNumberFormat="0" applyBorder="0" applyAlignment="0" applyProtection="0"/>
    <xf numFmtId="0" fontId="99" fillId="31" borderId="0" applyNumberFormat="0" applyBorder="0" applyAlignment="0" applyProtection="0"/>
    <xf numFmtId="0" fontId="99" fillId="26" borderId="0" applyNumberFormat="0" applyBorder="0" applyAlignment="0" applyProtection="0"/>
    <xf numFmtId="0" fontId="97" fillId="27" borderId="0" applyNumberFormat="0" applyBorder="0" applyAlignment="0" applyProtection="0"/>
    <xf numFmtId="0" fontId="97" fillId="31" borderId="0" applyNumberFormat="0" applyBorder="0" applyAlignment="0" applyProtection="0"/>
    <xf numFmtId="0" fontId="99" fillId="31" borderId="0" applyNumberFormat="0" applyBorder="0" applyAlignment="0" applyProtection="0"/>
    <xf numFmtId="0" fontId="99" fillId="35" borderId="0" applyNumberFormat="0" applyBorder="0" applyAlignment="0" applyProtection="0"/>
    <xf numFmtId="0" fontId="97" fillId="36" borderId="0" applyNumberFormat="0" applyBorder="0" applyAlignment="0" applyProtection="0"/>
    <xf numFmtId="0" fontId="97" fillId="27" borderId="0" applyNumberFormat="0" applyBorder="0" applyAlignment="0" applyProtection="0"/>
    <xf numFmtId="0" fontId="99" fillId="28" borderId="0" applyNumberFormat="0" applyBorder="0" applyAlignment="0" applyProtection="0"/>
    <xf numFmtId="0" fontId="99" fillId="37" borderId="0" applyNumberFormat="0" applyBorder="0" applyAlignment="0" applyProtection="0"/>
    <xf numFmtId="0" fontId="97" fillId="30" borderId="0" applyNumberFormat="0" applyBorder="0" applyAlignment="0" applyProtection="0"/>
    <xf numFmtId="0" fontId="97" fillId="38" borderId="0" applyNumberFormat="0" applyBorder="0" applyAlignment="0" applyProtection="0"/>
    <xf numFmtId="0" fontId="99" fillId="38" borderId="0" applyNumberFormat="0" applyBorder="0" applyAlignment="0" applyProtection="0"/>
    <xf numFmtId="201" fontId="100" fillId="0" borderId="44">
      <alignment horizontal="center" vertical="center"/>
    </xf>
    <xf numFmtId="0" fontId="101" fillId="40" borderId="0" applyNumberFormat="0" applyBorder="0" applyAlignment="0" applyProtection="0"/>
    <xf numFmtId="200" fontId="6" fillId="0" borderId="1" applyNumberFormat="0" applyFill="0" applyAlignment="0" applyProtection="0"/>
    <xf numFmtId="200" fontId="6" fillId="0" borderId="1" applyNumberFormat="0" applyFill="0" applyAlignment="0" applyProtection="0"/>
    <xf numFmtId="0" fontId="102" fillId="0" borderId="0" applyNumberFormat="0" applyFill="0" applyBorder="0" applyAlignment="0" applyProtection="0"/>
    <xf numFmtId="0" fontId="103" fillId="0" borderId="45"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0" fontId="105" fillId="0" borderId="45" applyNumberFormat="0" applyFill="0" applyAlignment="0" applyProtection="0"/>
    <xf numFmtId="0" fontId="105" fillId="0" borderId="45" applyNumberFormat="0" applyFill="0" applyAlignment="0" applyProtection="0"/>
    <xf numFmtId="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0" fontId="106" fillId="0" borderId="47"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0" fontId="108" fillId="0" borderId="47" applyNumberFormat="0" applyFill="0" applyAlignment="0" applyProtection="0"/>
    <xf numFmtId="0" fontId="108" fillId="0" borderId="47"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0" fontId="109" fillId="0" borderId="49"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0" fontId="111" fillId="0" borderId="49" applyNumberFormat="0" applyFill="0" applyAlignment="0" applyProtection="0"/>
    <xf numFmtId="0" fontId="111" fillId="0" borderId="49"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0" fontId="109"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165" fontId="31" fillId="0" borderId="51"/>
    <xf numFmtId="202" fontId="11" fillId="41" borderId="52" applyNumberFormat="0">
      <alignment vertical="center"/>
    </xf>
    <xf numFmtId="203" fontId="11" fillId="42" borderId="52" applyNumberFormat="0">
      <alignment vertical="center"/>
    </xf>
    <xf numFmtId="202" fontId="11" fillId="43" borderId="52" applyNumberFormat="0">
      <alignment vertical="center"/>
    </xf>
    <xf numFmtId="202" fontId="11" fillId="44" borderId="52" applyNumberFormat="0">
      <alignment vertical="center"/>
    </xf>
    <xf numFmtId="3" fontId="11" fillId="0" borderId="52" applyNumberFormat="0">
      <alignment vertical="center"/>
    </xf>
    <xf numFmtId="0" fontId="112" fillId="45" borderId="53" applyNumberFormat="0" applyAlignment="0" applyProtection="0"/>
    <xf numFmtId="0" fontId="112" fillId="45" borderId="53" applyNumberFormat="0" applyAlignment="0" applyProtection="0"/>
    <xf numFmtId="0" fontId="113" fillId="9" borderId="41" applyNumberFormat="0" applyAlignment="0" applyProtection="0"/>
    <xf numFmtId="0" fontId="114" fillId="46" borderId="53" applyNumberFormat="0" applyAlignment="0" applyProtection="0"/>
    <xf numFmtId="0" fontId="114" fillId="46" borderId="53" applyNumberFormat="0" applyAlignment="0" applyProtection="0"/>
    <xf numFmtId="200" fontId="94" fillId="0" borderId="42" applyNumberFormat="0" applyFill="0" applyAlignment="0" applyProtection="0"/>
    <xf numFmtId="200" fontId="94" fillId="0" borderId="42" applyNumberFormat="0" applyFill="0" applyAlignment="0" applyProtection="0"/>
    <xf numFmtId="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0" fontId="116" fillId="0" borderId="54" applyNumberFormat="0" applyFill="0" applyAlignment="0" applyProtection="0"/>
    <xf numFmtId="0" fontId="116" fillId="0" borderId="54"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0" fontId="117" fillId="32" borderId="55" applyNumberFormat="0" applyAlignment="0" applyProtection="0"/>
    <xf numFmtId="165" fontId="118" fillId="0" borderId="0" applyFill="0" applyBorder="0" applyAlignment="0" applyProtection="0"/>
    <xf numFmtId="204" fontId="11" fillId="0" borderId="0" applyFont="0" applyFill="0" applyBorder="0" applyAlignment="0" applyProtection="0"/>
    <xf numFmtId="198"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205"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7"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43" fontId="96"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64" fontId="5" fillId="0" borderId="0" applyFont="0" applyFill="0" applyBorder="0" applyAlignment="0" applyProtection="0"/>
    <xf numFmtId="43" fontId="11" fillId="0" borderId="0" applyFont="0" applyFill="0" applyBorder="0" applyAlignment="0" applyProtection="0"/>
    <xf numFmtId="208"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3" fontId="11" fillId="0" borderId="0" applyFill="0" applyBorder="0" applyAlignment="0" applyProtection="0"/>
    <xf numFmtId="0" fontId="98"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8" fillId="33" borderId="0" applyNumberFormat="0" applyBorder="0" applyAlignment="0" applyProtection="0"/>
    <xf numFmtId="0" fontId="99" fillId="33" borderId="0" applyNumberFormat="0" applyBorder="0" applyAlignment="0" applyProtection="0"/>
    <xf numFmtId="0" fontId="99" fillId="33" borderId="0" applyNumberFormat="0" applyBorder="0" applyAlignment="0" applyProtection="0"/>
    <xf numFmtId="0" fontId="98" fillId="48"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8"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8" fillId="24" borderId="0" applyNumberFormat="0" applyBorder="0" applyAlignment="0" applyProtection="0"/>
    <xf numFmtId="0" fontId="99" fillId="24" borderId="0" applyNumberFormat="0" applyBorder="0" applyAlignment="0" applyProtection="0"/>
    <xf numFmtId="0" fontId="99" fillId="24" borderId="0" applyNumberFormat="0" applyBorder="0" applyAlignment="0" applyProtection="0"/>
    <xf numFmtId="0" fontId="98" fillId="39" borderId="0" applyNumberFormat="0" applyBorder="0" applyAlignment="0" applyProtection="0"/>
    <xf numFmtId="0" fontId="99" fillId="39" borderId="0" applyNumberFormat="0" applyBorder="0" applyAlignment="0" applyProtection="0"/>
    <xf numFmtId="0" fontId="99" fillId="39"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0" fontId="119" fillId="2"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9" fontId="118" fillId="0" borderId="0" applyFill="0" applyBorder="0" applyAlignment="0" applyProtection="0"/>
    <xf numFmtId="204" fontId="11" fillId="0" borderId="0" applyFont="0" applyFill="0" applyBorder="0" applyAlignment="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1" fontId="11" fillId="0" borderId="0" applyFill="0" applyBorder="0" applyAlignment="0" applyProtection="0"/>
    <xf numFmtId="212" fontId="118" fillId="0" borderId="0" applyFill="0" applyBorder="0" applyAlignment="0" applyProtection="0"/>
    <xf numFmtId="17" fontId="122" fillId="0" borderId="0" applyFill="0" applyBorder="0">
      <alignment horizontal="right"/>
    </xf>
    <xf numFmtId="201" fontId="123" fillId="0" borderId="56" applyBorder="0">
      <alignment vertical="center"/>
    </xf>
    <xf numFmtId="0" fontId="124" fillId="49" borderId="0" applyNumberFormat="0" applyBorder="0" applyAlignment="0" applyProtection="0"/>
    <xf numFmtId="0" fontId="124" fillId="50" borderId="0" applyNumberFormat="0" applyBorder="0" applyAlignment="0" applyProtection="0"/>
    <xf numFmtId="0" fontId="124" fillId="51" borderId="0" applyNumberFormat="0" applyBorder="0" applyAlignment="0" applyProtection="0"/>
    <xf numFmtId="200" fontId="93" fillId="8" borderId="41" applyNumberFormat="0" applyAlignment="0" applyProtection="0"/>
    <xf numFmtId="200" fontId="93" fillId="8" borderId="41" applyNumberFormat="0" applyAlignment="0" applyProtection="0"/>
    <xf numFmtId="0" fontId="125" fillId="8" borderId="41"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0" fontId="127" fillId="17" borderId="53" applyNumberFormat="0" applyAlignment="0" applyProtection="0"/>
    <xf numFmtId="0" fontId="127" fillId="17" borderId="53" applyNumberFormat="0" applyAlignment="0" applyProtection="0"/>
    <xf numFmtId="200" fontId="93" fillId="8" borderId="41" applyNumberFormat="0" applyAlignment="0" applyProtection="0"/>
    <xf numFmtId="200" fontId="93" fillId="8" borderId="41" applyNumberFormat="0" applyAlignment="0" applyProtection="0"/>
    <xf numFmtId="200" fontId="93" fillId="8" borderId="41" applyNumberFormat="0" applyAlignment="0" applyProtection="0"/>
    <xf numFmtId="200" fontId="93" fillId="8" borderId="41" applyNumberFormat="0" applyAlignment="0" applyProtection="0"/>
    <xf numFmtId="200" fontId="93" fillId="8" borderId="41" applyNumberFormat="0" applyAlignment="0" applyProtection="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13" fontId="1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201" fontId="128" fillId="53" borderId="57" applyNumberFormat="0"/>
    <xf numFmtId="0" fontId="129" fillId="0" borderId="0" applyNumberFormat="0" applyFill="0" applyBorder="0" applyAlignment="0" applyProtection="0"/>
    <xf numFmtId="201" fontId="28" fillId="44" borderId="58" applyNumberFormat="0">
      <alignment vertical="center"/>
    </xf>
    <xf numFmtId="2" fontId="118" fillId="0" borderId="0" applyFill="0" applyBorder="0" applyAlignment="0" applyProtection="0"/>
    <xf numFmtId="0" fontId="120" fillId="14" borderId="0" applyNumberFormat="0" applyBorder="0" applyAlignment="0" applyProtection="0"/>
    <xf numFmtId="38" fontId="59" fillId="44" borderId="0" applyNumberFormat="0" applyFont="0" applyBorder="0" applyAlignment="0">
      <protection hidden="1"/>
    </xf>
    <xf numFmtId="201" fontId="130" fillId="44" borderId="59" applyNumberFormat="0">
      <alignment vertical="center"/>
    </xf>
    <xf numFmtId="0" fontId="103" fillId="0" borderId="45" applyNumberFormat="0" applyFill="0" applyAlignment="0" applyProtection="0"/>
    <xf numFmtId="0" fontId="106" fillId="0" borderId="47" applyNumberFormat="0" applyFill="0" applyAlignment="0" applyProtection="0"/>
    <xf numFmtId="0" fontId="109" fillId="0" borderId="49" applyNumberFormat="0" applyFill="0" applyAlignment="0" applyProtection="0"/>
    <xf numFmtId="0" fontId="109" fillId="0" borderId="0" applyNumberFormat="0" applyFill="0" applyBorder="0" applyAlignment="0" applyProtection="0"/>
    <xf numFmtId="0" fontId="102" fillId="0" borderId="0" applyNumberFormat="0" applyFill="0" applyBorder="0" applyAlignment="0" applyProtection="0"/>
    <xf numFmtId="0" fontId="131" fillId="0" borderId="0" applyNumberFormat="0" applyFill="0" applyBorder="0" applyAlignment="0" applyProtection="0"/>
    <xf numFmtId="0" fontId="132"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90" fillId="0" borderId="0" applyNumberFormat="0" applyFill="0" applyBorder="0" applyAlignment="0" applyProtection="0"/>
    <xf numFmtId="0" fontId="134" fillId="0" borderId="0" applyNumberFormat="0" applyFill="0" applyBorder="0" applyAlignment="0" applyProtection="0"/>
    <xf numFmtId="0" fontId="135" fillId="13" borderId="0" applyNumberFormat="0" applyBorder="0" applyAlignment="0" applyProtection="0"/>
    <xf numFmtId="0" fontId="136" fillId="13" borderId="0" applyNumberFormat="0" applyBorder="0" applyAlignment="0" applyProtection="0"/>
    <xf numFmtId="0" fontId="136" fillId="13" borderId="0" applyNumberFormat="0" applyBorder="0" applyAlignment="0" applyProtection="0"/>
    <xf numFmtId="0" fontId="126" fillId="17" borderId="53" applyNumberFormat="0" applyAlignment="0" applyProtection="0"/>
    <xf numFmtId="202" fontId="137" fillId="54" borderId="60" applyNumberFormat="0">
      <alignment vertical="center"/>
    </xf>
    <xf numFmtId="0" fontId="126" fillId="17" borderId="53" applyNumberFormat="0" applyAlignment="0" applyProtection="0"/>
    <xf numFmtId="215" fontId="59" fillId="42" borderId="0" applyFont="0" applyBorder="0" applyAlignment="0" applyProtection="0">
      <protection locked="0"/>
    </xf>
    <xf numFmtId="216" fontId="59" fillId="42" borderId="0">
      <protection locked="0"/>
    </xf>
    <xf numFmtId="217" fontId="59" fillId="42" borderId="0" applyFont="0" applyBorder="0" applyAlignment="0">
      <protection locked="0"/>
    </xf>
    <xf numFmtId="10" fontId="59" fillId="42" borderId="0">
      <protection locked="0"/>
    </xf>
    <xf numFmtId="0" fontId="115" fillId="0" borderId="54" applyNumberFormat="0" applyFill="0" applyAlignment="0" applyProtection="0"/>
    <xf numFmtId="218" fontId="11" fillId="0" borderId="0" applyFont="0" applyFill="0" applyBorder="0" applyAlignment="0" applyProtection="0"/>
    <xf numFmtId="219" fontId="1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20" fontId="11" fillId="0" borderId="0" applyFont="0" applyFill="0" applyBorder="0" applyAlignment="0" applyProtection="0"/>
    <xf numFmtId="221" fontId="11" fillId="0" borderId="0"/>
    <xf numFmtId="201" fontId="137" fillId="41" borderId="61" applyNumberFormat="0">
      <alignment vertical="center"/>
      <protection locked="0"/>
    </xf>
    <xf numFmtId="201" fontId="138" fillId="0" borderId="0" applyNumberFormat="0" applyBorder="0">
      <alignment horizontal="left" vertical="top"/>
    </xf>
    <xf numFmtId="0" fontId="139" fillId="55" borderId="0" applyNumberFormat="0" applyBorder="0" applyAlignment="0" applyProtection="0"/>
    <xf numFmtId="0" fontId="140" fillId="7"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222" fontId="141" fillId="0" borderId="0"/>
    <xf numFmtId="216" fontId="11" fillId="0" borderId="0" applyFont="0" applyFill="0" applyBorder="0" applyAlignment="0"/>
    <xf numFmtId="40" fontId="59" fillId="0" borderId="0" applyFont="0" applyFill="0" applyBorder="0" applyAlignment="0"/>
    <xf numFmtId="223" fontId="59" fillId="0" borderId="0" applyFont="0" applyFill="0" applyBorder="0" applyAlignment="0"/>
    <xf numFmtId="0" fontId="5" fillId="0" borderId="0"/>
    <xf numFmtId="175" fontId="11" fillId="0" borderId="0"/>
    <xf numFmtId="200" fontId="11" fillId="0" borderId="0"/>
    <xf numFmtId="0" fontId="5" fillId="0" borderId="0"/>
    <xf numFmtId="0" fontId="5" fillId="0" borderId="0"/>
    <xf numFmtId="0" fontId="11" fillId="0" borderId="0"/>
    <xf numFmtId="0" fontId="5" fillId="0" borderId="0"/>
    <xf numFmtId="200" fontId="11" fillId="0" borderId="0"/>
    <xf numFmtId="200" fontId="11" fillId="0" borderId="0"/>
    <xf numFmtId="200" fontId="11" fillId="0" borderId="0"/>
    <xf numFmtId="200" fontId="11" fillId="0" borderId="0"/>
    <xf numFmtId="200" fontId="11" fillId="0" borderId="0"/>
    <xf numFmtId="0" fontId="89" fillId="0" borderId="0"/>
    <xf numFmtId="1" fontId="142" fillId="0" borderId="0"/>
    <xf numFmtId="0" fontId="11"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96" fillId="0" borderId="0"/>
    <xf numFmtId="0" fontId="11" fillId="0" borderId="0"/>
    <xf numFmtId="0" fontId="96" fillId="0" borderId="0"/>
    <xf numFmtId="0" fontId="11" fillId="0" borderId="0"/>
    <xf numFmtId="0" fontId="96" fillId="0" borderId="0"/>
    <xf numFmtId="0" fontId="11" fillId="0" borderId="0"/>
    <xf numFmtId="0" fontId="11"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8" fillId="0" borderId="0"/>
    <xf numFmtId="0" fontId="8" fillId="0" borderId="0"/>
    <xf numFmtId="0" fontId="11" fillId="0" borderId="0"/>
    <xf numFmtId="0" fontId="8" fillId="0" borderId="0"/>
    <xf numFmtId="0" fontId="5" fillId="0" borderId="0"/>
    <xf numFmtId="222" fontId="143" fillId="0" borderId="0"/>
    <xf numFmtId="222" fontId="143" fillId="0" borderId="0"/>
    <xf numFmtId="222" fontId="143" fillId="0" borderId="0"/>
    <xf numFmtId="0" fontId="5" fillId="0" borderId="0"/>
    <xf numFmtId="0" fontId="5"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8" fillId="0" borderId="0"/>
    <xf numFmtId="0" fontId="5" fillId="0" borderId="0"/>
    <xf numFmtId="0" fontId="96" fillId="0" borderId="0"/>
    <xf numFmtId="0" fontId="144"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5" fillId="0" borderId="0"/>
    <xf numFmtId="0" fontId="5" fillId="0" borderId="0"/>
    <xf numFmtId="0" fontId="5" fillId="0" borderId="0"/>
    <xf numFmtId="0" fontId="11" fillId="0" borderId="0"/>
    <xf numFmtId="202" fontId="1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166" fontId="143" fillId="0" borderId="0"/>
    <xf numFmtId="166" fontId="143" fillId="0" borderId="0"/>
    <xf numFmtId="166" fontId="143" fillId="0" borderId="0"/>
    <xf numFmtId="166" fontId="143" fillId="0" borderId="0"/>
    <xf numFmtId="166" fontId="143" fillId="0" borderId="0"/>
    <xf numFmtId="0" fontId="5" fillId="0" borderId="0"/>
    <xf numFmtId="0" fontId="5" fillId="0" borderId="0"/>
    <xf numFmtId="0" fontId="5" fillId="0" borderId="0"/>
    <xf numFmtId="0" fontId="5" fillId="0" borderId="0"/>
    <xf numFmtId="0" fontId="5" fillId="0" borderId="0"/>
    <xf numFmtId="0" fontId="96" fillId="0" borderId="0"/>
    <xf numFmtId="0" fontId="5" fillId="0" borderId="0"/>
    <xf numFmtId="0" fontId="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11" fillId="0" borderId="0"/>
    <xf numFmtId="166" fontId="143" fillId="0" borderId="0"/>
    <xf numFmtId="166" fontId="143" fillId="0" borderId="0"/>
    <xf numFmtId="166" fontId="143"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8" fillId="0" borderId="0"/>
    <xf numFmtId="0" fontId="8" fillId="0" borderId="0"/>
    <xf numFmtId="0" fontId="5"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11" fillId="0" borderId="0"/>
    <xf numFmtId="0" fontId="144" fillId="0" borderId="0"/>
    <xf numFmtId="0" fontId="5" fillId="0" borderId="0"/>
    <xf numFmtId="0" fontId="145" fillId="0" borderId="0"/>
    <xf numFmtId="0" fontId="5" fillId="0" borderId="0"/>
    <xf numFmtId="0" fontId="11" fillId="0" borderId="0"/>
    <xf numFmtId="200" fontId="11" fillId="0" borderId="0"/>
    <xf numFmtId="200" fontId="11" fillId="0" borderId="0"/>
    <xf numFmtId="0" fontId="5" fillId="0" borderId="0"/>
    <xf numFmtId="0" fontId="5" fillId="0" borderId="0"/>
    <xf numFmtId="0" fontId="5" fillId="0" borderId="0"/>
    <xf numFmtId="0" fontId="96" fillId="0" borderId="0"/>
    <xf numFmtId="0" fontId="5" fillId="0" borderId="0"/>
    <xf numFmtId="0" fontId="5" fillId="0" borderId="0"/>
    <xf numFmtId="0" fontId="96" fillId="0" borderId="0"/>
    <xf numFmtId="0" fontId="5" fillId="0" borderId="0"/>
    <xf numFmtId="0" fontId="11" fillId="0" borderId="0"/>
    <xf numFmtId="0" fontId="96" fillId="0" borderId="0"/>
    <xf numFmtId="0" fontId="5" fillId="0" borderId="0"/>
    <xf numFmtId="0" fontId="5" fillId="0" borderId="0"/>
    <xf numFmtId="0" fontId="96" fillId="0" borderId="0"/>
    <xf numFmtId="0" fontId="11" fillId="0" borderId="0"/>
    <xf numFmtId="0" fontId="11" fillId="0" borderId="0"/>
    <xf numFmtId="0" fontId="11" fillId="0" borderId="0"/>
    <xf numFmtId="0" fontId="8" fillId="0" borderId="0"/>
    <xf numFmtId="0" fontId="5" fillId="0" borderId="0"/>
    <xf numFmtId="0" fontId="5" fillId="0" borderId="0"/>
    <xf numFmtId="0" fontId="8"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8" fillId="0" borderId="0"/>
    <xf numFmtId="0" fontId="8" fillId="0" borderId="0"/>
    <xf numFmtId="0" fontId="144" fillId="0" borderId="0"/>
    <xf numFmtId="216" fontId="122" fillId="0" borderId="0" applyNumberFormat="0" applyFill="0" applyBorder="0" applyAlignment="0" applyProtection="0"/>
    <xf numFmtId="165" fontId="146" fillId="0" borderId="0"/>
    <xf numFmtId="200" fontId="5" fillId="10" borderId="43" applyNumberFormat="0" applyFont="0" applyAlignment="0" applyProtection="0"/>
    <xf numFmtId="200" fontId="5" fillId="10" borderId="43" applyNumberFormat="0" applyFont="0" applyAlignment="0" applyProtection="0"/>
    <xf numFmtId="200" fontId="11" fillId="56" borderId="62" applyNumberFormat="0" applyFont="0" applyAlignment="0" applyProtection="0"/>
    <xf numFmtId="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0" fontId="97" fillId="56" borderId="62" applyNumberFormat="0" applyFont="0" applyAlignment="0" applyProtection="0"/>
    <xf numFmtId="0" fontId="97" fillId="56" borderId="62"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3" fontId="11" fillId="0" borderId="0" applyFont="0" applyFill="0" applyBorder="0" applyAlignment="0" applyProtection="0">
      <alignment horizontal="right"/>
    </xf>
    <xf numFmtId="0" fontId="147" fillId="0" borderId="63" applyNumberFormat="0" applyFill="0" applyBorder="0" applyProtection="0">
      <alignment vertical="top" wrapText="1"/>
    </xf>
    <xf numFmtId="0" fontId="148" fillId="45" borderId="58" applyNumberFormat="0" applyAlignment="0" applyProtection="0"/>
    <xf numFmtId="0" fontId="148" fillId="45" borderId="58" applyNumberFormat="0" applyAlignment="0" applyProtection="0"/>
    <xf numFmtId="224" fontId="59" fillId="0" borderId="64" applyNumberFormat="0" applyFill="0" applyBorder="0" applyAlignment="0" applyProtection="0"/>
    <xf numFmtId="9" fontId="11" fillId="0" borderId="0" applyFont="0" applyFill="0" applyBorder="0" applyAlignment="0" applyProtection="0"/>
    <xf numFmtId="225" fontId="11" fillId="0" borderId="0" applyFont="0" applyFill="0" applyBorder="0" applyAlignment="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9" fillId="0" borderId="0" applyFont="0" applyFill="0" applyBorder="0" applyAlignment="0" applyProtection="0"/>
    <xf numFmtId="9" fontId="12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4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226" fontId="59" fillId="0" borderId="0" applyFont="0" applyFill="0" applyBorder="0" applyAlignment="0" applyProtection="0"/>
    <xf numFmtId="201" fontId="118" fillId="0" borderId="0" applyFont="0" applyFill="0" applyBorder="0" applyAlignment="0" applyProtection="0">
      <alignment horizontal="right"/>
    </xf>
    <xf numFmtId="216" fontId="138" fillId="0" borderId="0" applyNumberFormat="0" applyFill="0" applyBorder="0" applyAlignment="0" applyProtection="0">
      <alignment horizontal="left"/>
    </xf>
    <xf numFmtId="0" fontId="122" fillId="57" borderId="65" applyNumberFormat="0" applyFont="0" applyBorder="0" applyAlignment="0">
      <alignment vertical="top" wrapText="1"/>
    </xf>
    <xf numFmtId="0" fontId="150" fillId="46" borderId="58" applyNumberFormat="0" applyAlignment="0" applyProtection="0"/>
    <xf numFmtId="0" fontId="148" fillId="46" borderId="58" applyNumberFormat="0" applyAlignment="0" applyProtection="0"/>
    <xf numFmtId="0" fontId="148" fillId="46" borderId="58" applyNumberFormat="0" applyAlignment="0" applyProtection="0"/>
    <xf numFmtId="0" fontId="151" fillId="0" borderId="0" applyNumberFormat="0" applyFill="0" applyBorder="0" applyAlignment="0" applyProtection="0"/>
    <xf numFmtId="201" fontId="11" fillId="44" borderId="0">
      <alignment horizontal="center"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95" fillId="0" borderId="0" applyNumberFormat="0" applyFill="0" applyBorder="0" applyAlignment="0" applyProtection="0"/>
    <xf numFmtId="200" fontId="95" fillId="0" borderId="0" applyNumberFormat="0" applyFill="0" applyBorder="0" applyAlignment="0" applyProtection="0"/>
    <xf numFmtId="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0" fontId="129"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5" fillId="0" borderId="0" applyNumberFormat="0" applyFill="0" applyBorder="0" applyAlignment="0" applyProtection="0"/>
    <xf numFmtId="202" fontId="156" fillId="58" borderId="0" applyNumberFormat="0">
      <alignment vertical="center"/>
    </xf>
    <xf numFmtId="202" fontId="157" fillId="0" borderId="0" applyNumberFormat="0">
      <alignment vertical="center"/>
    </xf>
    <xf numFmtId="202" fontId="158" fillId="0" borderId="0" applyNumberFormat="0">
      <alignment vertical="center"/>
    </xf>
    <xf numFmtId="201" fontId="159" fillId="0" borderId="0">
      <alignment vertical="center"/>
    </xf>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60" fillId="0" borderId="67"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0" fontId="150" fillId="0" borderId="66" applyNumberFormat="0" applyFill="0" applyAlignment="0" applyProtection="0"/>
    <xf numFmtId="0" fontId="160" fillId="0" borderId="66" applyNumberFormat="0" applyFill="0" applyAlignment="0" applyProtection="0"/>
    <xf numFmtId="0" fontId="160" fillId="0" borderId="66" applyNumberFormat="0" applyFill="0" applyAlignment="0" applyProtection="0"/>
    <xf numFmtId="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0" fontId="124" fillId="0" borderId="67" applyNumberFormat="0" applyFill="0" applyAlignment="0" applyProtection="0"/>
    <xf numFmtId="0" fontId="124" fillId="0" borderId="67"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61" fillId="59" borderId="55" applyNumberFormat="0" applyAlignment="0" applyProtection="0"/>
    <xf numFmtId="0" fontId="117" fillId="59" borderId="55" applyNumberFormat="0" applyAlignment="0" applyProtection="0"/>
    <xf numFmtId="0" fontId="117" fillId="59" borderId="55" applyNumberFormat="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4" fontId="162" fillId="0" borderId="0" applyFont="0" applyFill="0" applyBorder="0" applyAlignment="0" applyProtection="0"/>
    <xf numFmtId="227" fontId="8"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4" fillId="0" borderId="0" applyFont="0" applyFill="0" applyBorder="0" applyAlignment="0" applyProtection="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152" fillId="0" borderId="0" applyNumberFormat="0" applyFill="0" applyBorder="0" applyAlignment="0" applyProtection="0"/>
    <xf numFmtId="0" fontId="11" fillId="0" borderId="0"/>
    <xf numFmtId="0" fontId="11" fillId="0" borderId="0"/>
    <xf numFmtId="0" fontId="96" fillId="14" borderId="0" applyNumberFormat="0" applyBorder="0" applyAlignment="0" applyProtection="0"/>
    <xf numFmtId="0" fontId="89" fillId="11" borderId="0" applyNumberFormat="0" applyBorder="0" applyAlignment="0" applyProtection="0"/>
    <xf numFmtId="0" fontId="96" fillId="14" borderId="0" applyNumberFormat="0" applyBorder="0" applyAlignment="0" applyProtection="0"/>
    <xf numFmtId="0" fontId="89" fillId="11" borderId="0" applyNumberFormat="0" applyBorder="0" applyAlignment="0" applyProtection="0"/>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12" fillId="45" borderId="53" applyNumberFormat="0" applyAlignment="0" applyProtection="0"/>
    <xf numFmtId="0" fontId="112" fillId="45" borderId="53" applyNumberFormat="0" applyAlignment="0" applyProtection="0"/>
    <xf numFmtId="0" fontId="168" fillId="46" borderId="53" applyNumberFormat="0" applyAlignment="0" applyProtection="0"/>
    <xf numFmtId="0" fontId="168" fillId="46" borderId="53" applyNumberFormat="0" applyAlignment="0" applyProtection="0"/>
    <xf numFmtId="0" fontId="168" fillId="46" borderId="53" applyNumberFormat="0" applyAlignment="0" applyProtection="0"/>
    <xf numFmtId="0" fontId="168" fillId="46" borderId="53" applyNumberFormat="0" applyAlignment="0" applyProtection="0"/>
    <xf numFmtId="0" fontId="120" fillId="14" borderId="0" applyNumberFormat="0" applyBorder="0" applyAlignment="0" applyProtection="0"/>
    <xf numFmtId="228" fontId="169" fillId="0" borderId="0">
      <protection locked="0"/>
    </xf>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0" fontId="97" fillId="0" borderId="0">
      <alignment vertical="top"/>
    </xf>
    <xf numFmtId="44" fontId="8" fillId="0" borderId="0" applyFont="0" applyFill="0" applyBorder="0" applyAlignment="0" applyProtection="0"/>
    <xf numFmtId="228" fontId="169" fillId="0" borderId="0">
      <protection locked="0"/>
    </xf>
    <xf numFmtId="0" fontId="121" fillId="34" borderId="0" applyNumberFormat="0" applyBorder="0" applyAlignment="0" applyProtection="0"/>
    <xf numFmtId="0" fontId="170" fillId="0" borderId="69" applyNumberFormat="0" applyFill="0" applyAlignment="0" applyProtection="0"/>
    <xf numFmtId="0" fontId="171" fillId="0" borderId="47" applyNumberFormat="0" applyFill="0" applyAlignment="0" applyProtection="0"/>
    <xf numFmtId="0" fontId="172" fillId="0" borderId="70" applyNumberFormat="0" applyFill="0" applyAlignment="0" applyProtection="0"/>
    <xf numFmtId="0" fontId="172" fillId="0" borderId="0" applyNumberFormat="0" applyFill="0" applyBorder="0" applyAlignment="0" applyProtection="0"/>
    <xf numFmtId="228" fontId="173" fillId="0" borderId="0">
      <protection locked="0"/>
    </xf>
    <xf numFmtId="228" fontId="173" fillId="0" borderId="0">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27" fillId="38" borderId="53" applyNumberFormat="0" applyAlignment="0" applyProtection="0"/>
    <xf numFmtId="0" fontId="127" fillId="38" borderId="53" applyNumberFormat="0" applyAlignment="0" applyProtection="0"/>
    <xf numFmtId="0" fontId="127" fillId="38" borderId="53" applyNumberFormat="0" applyAlignment="0" applyProtection="0"/>
    <xf numFmtId="0" fontId="127" fillId="38" borderId="53" applyNumberFormat="0" applyAlignment="0" applyProtection="0"/>
    <xf numFmtId="224" fontId="174" fillId="0" borderId="20" applyNumberFormat="0" applyFont="0" applyFill="0" applyAlignment="0" applyProtection="0"/>
    <xf numFmtId="0" fontId="175" fillId="0" borderId="54" applyNumberFormat="0" applyFill="0" applyAlignment="0" applyProtection="0"/>
    <xf numFmtId="0" fontId="176" fillId="52" borderId="0" applyNumberFormat="0" applyBorder="0" applyAlignment="0" applyProtection="0"/>
    <xf numFmtId="0" fontId="144"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5" fillId="0" borderId="0"/>
    <xf numFmtId="0" fontId="11" fillId="0" borderId="0"/>
    <xf numFmtId="0" fontId="11" fillId="0" borderId="0"/>
    <xf numFmtId="0" fontId="5" fillId="0" borderId="0"/>
    <xf numFmtId="0" fontId="5" fillId="0" borderId="0"/>
    <xf numFmtId="0" fontId="5" fillId="0" borderId="0"/>
    <xf numFmtId="0" fontId="8" fillId="0" borderId="0"/>
    <xf numFmtId="43" fontId="11" fillId="0" borderId="0" applyFont="0" applyFill="0" applyBorder="0" applyAlignment="0" applyProtection="0"/>
    <xf numFmtId="0" fontId="11" fillId="0" borderId="0"/>
    <xf numFmtId="0" fontId="11" fillId="0" borderId="0"/>
    <xf numFmtId="0" fontId="11" fillId="0" borderId="0"/>
    <xf numFmtId="0" fontId="5" fillId="0" borderId="0"/>
    <xf numFmtId="0" fontId="11" fillId="0" borderId="0"/>
    <xf numFmtId="0" fontId="11" fillId="0" borderId="0"/>
    <xf numFmtId="0" fontId="144" fillId="0" borderId="0"/>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48" fillId="45" borderId="58" applyNumberFormat="0" applyAlignment="0" applyProtection="0"/>
    <xf numFmtId="0" fontId="148" fillId="45" borderId="58" applyNumberFormat="0" applyAlignment="0" applyProtection="0"/>
    <xf numFmtId="9" fontId="8" fillId="0" borderId="0" applyFont="0" applyFill="0" applyBorder="0" applyAlignment="0" applyProtection="0"/>
    <xf numFmtId="9" fontId="8" fillId="0" borderId="0" applyFont="0" applyFill="0" applyBorder="0" applyAlignment="0" applyProtection="0"/>
    <xf numFmtId="0" fontId="150" fillId="46" borderId="58" applyNumberFormat="0" applyAlignment="0" applyProtection="0"/>
    <xf numFmtId="0" fontId="150" fillId="46" borderId="58" applyNumberFormat="0" applyAlignment="0" applyProtection="0"/>
    <xf numFmtId="0" fontId="150" fillId="46" borderId="58" applyNumberFormat="0" applyAlignment="0" applyProtection="0"/>
    <xf numFmtId="224" fontId="174" fillId="0" borderId="0"/>
    <xf numFmtId="0" fontId="160" fillId="0" borderId="67" applyNumberFormat="0" applyFill="0" applyAlignment="0" applyProtection="0"/>
    <xf numFmtId="0" fontId="160" fillId="0" borderId="67" applyNumberFormat="0" applyFill="0" applyAlignment="0" applyProtection="0"/>
    <xf numFmtId="0" fontId="160" fillId="0" borderId="67" applyNumberFormat="0" applyFill="0" applyAlignment="0" applyProtection="0"/>
    <xf numFmtId="17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8"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53" fillId="0" borderId="0" applyNumberFormat="0" applyFill="0" applyBorder="0" applyAlignment="0" applyProtection="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1" fillId="0" borderId="0"/>
    <xf numFmtId="0" fontId="178" fillId="0" borderId="0"/>
    <xf numFmtId="0" fontId="97" fillId="0" borderId="0"/>
    <xf numFmtId="0" fontId="5" fillId="0" borderId="0"/>
    <xf numFmtId="0" fontId="5" fillId="0" borderId="0"/>
    <xf numFmtId="0" fontId="5" fillId="0" borderId="0"/>
    <xf numFmtId="0" fontId="11" fillId="0" borderId="0"/>
    <xf numFmtId="0" fontId="11" fillId="0" borderId="0"/>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5" fillId="0" borderId="0"/>
    <xf numFmtId="0" fontId="11" fillId="0" borderId="0"/>
    <xf numFmtId="0" fontId="11" fillId="0" borderId="0"/>
    <xf numFmtId="9" fontId="11" fillId="0" borderId="0" applyFont="0" applyFill="0" applyBorder="0" applyAlignment="0" applyProtection="0"/>
    <xf numFmtId="9" fontId="144" fillId="0" borderId="0" applyFont="0" applyFill="0" applyBorder="0" applyAlignment="0" applyProtection="0"/>
    <xf numFmtId="43" fontId="96" fillId="0" borderId="0" applyFont="0" applyFill="0" applyBorder="0" applyAlignment="0" applyProtection="0"/>
    <xf numFmtId="0" fontId="89" fillId="0" borderId="0"/>
    <xf numFmtId="43" fontId="8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12" fillId="45" borderId="53" applyNumberFormat="0" applyAlignment="0" applyProtection="0"/>
    <xf numFmtId="0" fontId="112" fillId="45" borderId="53" applyNumberFormat="0" applyAlignment="0" applyProtection="0"/>
    <xf numFmtId="0" fontId="112" fillId="45" borderId="53" applyNumberFormat="0" applyAlignment="0" applyProtection="0"/>
    <xf numFmtId="0" fontId="112" fillId="45" borderId="53" applyNumberFormat="0" applyAlignment="0" applyProtection="0"/>
    <xf numFmtId="0" fontId="168" fillId="46" borderId="53"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01" fontId="123" fillId="0" borderId="56" applyBorder="0">
      <alignment vertical="center"/>
    </xf>
    <xf numFmtId="0" fontId="126" fillId="17" borderId="53" applyNumberFormat="0" applyAlignment="0" applyProtection="0"/>
    <xf numFmtId="44" fontId="8" fillId="0" borderId="0" applyFont="0" applyFill="0" applyBorder="0" applyAlignment="0" applyProtection="0"/>
    <xf numFmtId="0" fontId="103" fillId="0" borderId="45" applyNumberFormat="0" applyFill="0" applyAlignment="0" applyProtection="0"/>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5"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1" fontId="123" fillId="0" borderId="68" applyBorder="0">
      <alignment vertical="center"/>
    </xf>
    <xf numFmtId="201" fontId="123" fillId="0" borderId="68" applyBorder="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89"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7" fillId="0" borderId="68" applyNumberFormat="0" applyBorder="0" applyProtection="0">
      <alignment horizontal="center"/>
    </xf>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67" fillId="0" borderId="68" applyNumberFormat="0" applyBorder="0" applyProtection="0">
      <alignment horizontal="center"/>
    </xf>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48" fillId="45" borderId="58" applyNumberFormat="0" applyAlignment="0" applyProtection="0"/>
    <xf numFmtId="0" fontId="148" fillId="45" borderId="58" applyNumberFormat="0" applyAlignment="0" applyProtection="0"/>
    <xf numFmtId="0" fontId="148" fillId="45" borderId="58" applyNumberFormat="0" applyAlignment="0" applyProtection="0"/>
    <xf numFmtId="0" fontId="148" fillId="45" borderId="58" applyNumberFormat="0" applyAlignment="0" applyProtection="0"/>
    <xf numFmtId="9" fontId="5" fillId="0" borderId="0" applyFont="0" applyFill="0" applyBorder="0" applyAlignment="0" applyProtection="0"/>
    <xf numFmtId="0" fontId="167" fillId="0" borderId="68" applyNumberFormat="0" applyBorder="0" applyProtection="0">
      <alignment horizontal="center"/>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50" fillId="46" borderId="58" applyNumberFormat="0" applyAlignment="0" applyProtection="0"/>
    <xf numFmtId="0" fontId="150" fillId="46" borderId="58" applyNumberFormat="0" applyAlignment="0" applyProtection="0"/>
    <xf numFmtId="0" fontId="160" fillId="0" borderId="67" applyNumberFormat="0" applyFill="0" applyAlignment="0" applyProtection="0"/>
    <xf numFmtId="0" fontId="160" fillId="0" borderId="67" applyNumberFormat="0" applyFill="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162" fillId="0" borderId="0" applyFont="0" applyFill="0" applyBorder="0" applyAlignment="0" applyProtection="0"/>
    <xf numFmtId="229" fontId="144" fillId="0" borderId="0" applyFont="0" applyFill="0" applyBorder="0" applyAlignment="0" applyProtection="0"/>
    <xf numFmtId="43" fontId="5" fillId="0" borderId="0" applyFont="0" applyFill="0" applyBorder="0" applyAlignment="0" applyProtection="0"/>
    <xf numFmtId="172" fontId="1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0" fontId="144" fillId="0" borderId="0" applyFont="0" applyFill="0" applyBorder="0" applyAlignment="0" applyProtection="0"/>
    <xf numFmtId="169" fontId="144"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89" fillId="0" borderId="0"/>
    <xf numFmtId="0" fontId="5" fillId="0" borderId="0"/>
    <xf numFmtId="0" fontId="5" fillId="0" borderId="0"/>
    <xf numFmtId="44" fontId="145" fillId="0" borderId="0" applyFont="0" applyFill="0" applyBorder="0" applyAlignment="0" applyProtection="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5" borderId="0" applyNumberFormat="0" applyBorder="0" applyAlignment="0" applyProtection="0"/>
    <xf numFmtId="0" fontId="96" fillId="16" borderId="0" applyNumberFormat="0" applyBorder="0" applyAlignment="0" applyProtection="0"/>
    <xf numFmtId="0" fontId="96" fillId="17" borderId="0" applyNumberFormat="0" applyBorder="0" applyAlignment="0" applyProtection="0"/>
    <xf numFmtId="0" fontId="96" fillId="18" borderId="0" applyNumberFormat="0" applyBorder="0" applyAlignment="0" applyProtection="0"/>
    <xf numFmtId="0" fontId="96" fillId="19" borderId="0" applyNumberFormat="0" applyBorder="0" applyAlignment="0" applyProtection="0"/>
    <xf numFmtId="0" fontId="96" fillId="20" borderId="0" applyNumberFormat="0" applyBorder="0" applyAlignment="0" applyProtection="0"/>
    <xf numFmtId="0" fontId="96" fillId="15" borderId="0" applyNumberFormat="0" applyBorder="0" applyAlignment="0" applyProtection="0"/>
    <xf numFmtId="0" fontId="96" fillId="18" borderId="0" applyNumberFormat="0" applyBorder="0" applyAlignment="0" applyProtection="0"/>
    <xf numFmtId="0" fontId="96" fillId="21" borderId="0" applyNumberFormat="0" applyBorder="0" applyAlignment="0" applyProtection="0"/>
    <xf numFmtId="0" fontId="98" fillId="22" borderId="0" applyNumberFormat="0" applyBorder="0" applyAlignment="0" applyProtection="0"/>
    <xf numFmtId="0" fontId="98" fillId="19" borderId="0" applyNumberFormat="0" applyBorder="0" applyAlignment="0" applyProtection="0"/>
    <xf numFmtId="0" fontId="98" fillId="20"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25" borderId="0" applyNumberFormat="0" applyBorder="0" applyAlignment="0" applyProtection="0"/>
    <xf numFmtId="0" fontId="179" fillId="0" borderId="0"/>
    <xf numFmtId="0" fontId="179" fillId="0" borderId="0"/>
    <xf numFmtId="0" fontId="179" fillId="0" borderId="0"/>
    <xf numFmtId="0" fontId="179" fillId="0" borderId="0"/>
    <xf numFmtId="0" fontId="179" fillId="0" borderId="0"/>
    <xf numFmtId="0" fontId="98" fillId="47" borderId="0" applyNumberFormat="0" applyBorder="0" applyAlignment="0" applyProtection="0"/>
    <xf numFmtId="0" fontId="98" fillId="33" borderId="0" applyNumberFormat="0" applyBorder="0" applyAlignment="0" applyProtection="0"/>
    <xf numFmtId="0" fontId="98" fillId="48"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39" borderId="0" applyNumberFormat="0" applyBorder="0" applyAlignment="0" applyProtection="0"/>
    <xf numFmtId="0" fontId="120" fillId="14" borderId="0" applyNumberFormat="0" applyBorder="0" applyAlignment="0" applyProtection="0"/>
    <xf numFmtId="200" fontId="103" fillId="0" borderId="45" applyNumberFormat="0" applyFill="0" applyAlignment="0" applyProtection="0"/>
    <xf numFmtId="200" fontId="103" fillId="0" borderId="45" applyNumberFormat="0" applyFill="0" applyAlignment="0" applyProtection="0"/>
    <xf numFmtId="0" fontId="103" fillId="0" borderId="45" applyNumberFormat="0" applyFill="0" applyAlignment="0" applyProtection="0"/>
    <xf numFmtId="0" fontId="103" fillId="0" borderId="45" applyNumberFormat="0" applyFill="0" applyAlignment="0" applyProtection="0"/>
    <xf numFmtId="200" fontId="103" fillId="0" borderId="45" applyNumberFormat="0" applyFill="0" applyAlignment="0" applyProtection="0"/>
    <xf numFmtId="200" fontId="103" fillId="0" borderId="45" applyNumberFormat="0" applyFill="0" applyAlignment="0" applyProtection="0"/>
    <xf numFmtId="200" fontId="103" fillId="0" borderId="45" applyNumberFormat="0" applyFill="0" applyAlignment="0" applyProtection="0"/>
    <xf numFmtId="200" fontId="103" fillId="0" borderId="45"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0" fontId="106" fillId="0" borderId="47" applyNumberFormat="0" applyFill="0" applyAlignment="0" applyProtection="0"/>
    <xf numFmtId="0" fontId="167" fillId="0" borderId="56" applyNumberFormat="0" applyBorder="0" applyProtection="0">
      <alignment horizontal="center"/>
    </xf>
    <xf numFmtId="0" fontId="106" fillId="0" borderId="47" applyNumberFormat="0" applyFill="0" applyAlignment="0" applyProtection="0"/>
    <xf numFmtId="0" fontId="167" fillId="0" borderId="56" applyNumberFormat="0" applyBorder="0" applyProtection="0">
      <alignment horizontal="center"/>
    </xf>
    <xf numFmtId="200" fontId="106" fillId="0" borderId="47"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0" fontId="109" fillId="0" borderId="49" applyNumberFormat="0" applyFill="0" applyAlignment="0" applyProtection="0"/>
    <xf numFmtId="0" fontId="167" fillId="0" borderId="56" applyNumberFormat="0" applyBorder="0" applyProtection="0">
      <alignment horizontal="center"/>
    </xf>
    <xf numFmtId="0" fontId="109" fillId="0" borderId="49" applyNumberFormat="0" applyFill="0" applyAlignment="0" applyProtection="0"/>
    <xf numFmtId="0" fontId="167" fillId="0" borderId="56" applyNumberFormat="0" applyBorder="0" applyProtection="0">
      <alignment horizontal="center"/>
    </xf>
    <xf numFmtId="200" fontId="109" fillId="0" borderId="49"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0" fontId="109" fillId="0" borderId="0" applyNumberFormat="0" applyFill="0" applyBorder="0" applyAlignment="0" applyProtection="0"/>
    <xf numFmtId="0" fontId="167" fillId="0" borderId="56" applyNumberFormat="0" applyBorder="0" applyProtection="0">
      <alignment horizontal="center"/>
    </xf>
    <xf numFmtId="0" fontId="109" fillId="0" borderId="0" applyNumberFormat="0" applyFill="0" applyBorder="0" applyAlignment="0" applyProtection="0"/>
    <xf numFmtId="0" fontId="167" fillId="0" borderId="56" applyNumberFormat="0" applyBorder="0" applyProtection="0">
      <alignment horizontal="center"/>
    </xf>
    <xf numFmtId="200" fontId="109" fillId="0" borderId="0" applyNumberFormat="0" applyFill="0" applyBorder="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165" fontId="10" fillId="0" borderId="72"/>
    <xf numFmtId="231" fontId="97" fillId="0" borderId="0" applyFill="0" applyBorder="0" applyAlignment="0"/>
    <xf numFmtId="232" fontId="97" fillId="0" borderId="0" applyFill="0" applyBorder="0" applyAlignment="0"/>
    <xf numFmtId="233" fontId="97" fillId="0" borderId="0" applyFill="0" applyBorder="0" applyAlignment="0"/>
    <xf numFmtId="234" fontId="97" fillId="0" borderId="0" applyFill="0" applyBorder="0" applyAlignment="0"/>
    <xf numFmtId="235" fontId="97" fillId="0" borderId="0" applyFill="0" applyBorder="0" applyAlignment="0"/>
    <xf numFmtId="231" fontId="97" fillId="0" borderId="0" applyFill="0" applyBorder="0" applyAlignment="0"/>
    <xf numFmtId="236" fontId="97" fillId="0" borderId="0" applyFill="0" applyBorder="0" applyAlignment="0"/>
    <xf numFmtId="232" fontId="97" fillId="0" borderId="0" applyFill="0" applyBorder="0" applyAlignment="0"/>
    <xf numFmtId="0" fontId="168" fillId="46" borderId="53" applyNumberFormat="0" applyAlignment="0" applyProtection="0"/>
    <xf numFmtId="0" fontId="161" fillId="59" borderId="55" applyNumberFormat="0" applyAlignment="0" applyProtection="0"/>
    <xf numFmtId="200" fontId="115" fillId="0" borderId="54" applyNumberFormat="0" applyFill="0" applyAlignment="0" applyProtection="0"/>
    <xf numFmtId="200" fontId="115" fillId="0" borderId="54" applyNumberFormat="0" applyFill="0" applyAlignment="0" applyProtection="0"/>
    <xf numFmtId="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0" fontId="115" fillId="0" borderId="54" applyNumberFormat="0" applyFill="0" applyAlignment="0" applyProtection="0"/>
    <xf numFmtId="237" fontId="11" fillId="0" borderId="0"/>
    <xf numFmtId="237" fontId="11" fillId="0" borderId="0"/>
    <xf numFmtId="237" fontId="11" fillId="0" borderId="0"/>
    <xf numFmtId="237" fontId="11" fillId="0" borderId="0"/>
    <xf numFmtId="237" fontId="11" fillId="0" borderId="0"/>
    <xf numFmtId="237" fontId="11" fillId="0" borderId="0"/>
    <xf numFmtId="237" fontId="11" fillId="0" borderId="0"/>
    <xf numFmtId="237" fontId="11" fillId="0" borderId="0"/>
    <xf numFmtId="231"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227" fontId="11" fillId="0" borderId="0" applyFont="0" applyFill="0" applyBorder="0" applyAlignment="0" applyProtection="0"/>
    <xf numFmtId="200" fontId="120" fillId="14" borderId="0" applyNumberFormat="0" applyBorder="0" applyAlignment="0" applyProtection="0"/>
    <xf numFmtId="200" fontId="120" fillId="14" borderId="0" applyNumberFormat="0" applyBorder="0" applyAlignment="0" applyProtection="0"/>
    <xf numFmtId="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32" fontId="11"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14" fontId="97" fillId="0" borderId="0" applyFill="0" applyBorder="0" applyAlignment="0"/>
    <xf numFmtId="0" fontId="98" fillId="47" borderId="0" applyNumberFormat="0" applyBorder="0" applyAlignment="0" applyProtection="0"/>
    <xf numFmtId="0" fontId="98" fillId="33" borderId="0" applyNumberFormat="0" applyBorder="0" applyAlignment="0" applyProtection="0"/>
    <xf numFmtId="0" fontId="98" fillId="48"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39" borderId="0" applyNumberFormat="0" applyBorder="0" applyAlignment="0" applyProtection="0"/>
    <xf numFmtId="231" fontId="181" fillId="0" borderId="0" applyFill="0" applyBorder="0" applyAlignment="0"/>
    <xf numFmtId="232" fontId="181" fillId="0" borderId="0" applyFill="0" applyBorder="0" applyAlignment="0"/>
    <xf numFmtId="231" fontId="181" fillId="0" borderId="0" applyFill="0" applyBorder="0" applyAlignment="0"/>
    <xf numFmtId="236" fontId="181" fillId="0" borderId="0" applyFill="0" applyBorder="0" applyAlignment="0"/>
    <xf numFmtId="232" fontId="181" fillId="0" borderId="0" applyFill="0" applyBorder="0" applyAlignment="0"/>
    <xf numFmtId="200" fontId="126" fillId="17" borderId="53" applyNumberFormat="0" applyAlignment="0" applyProtection="0"/>
    <xf numFmtId="200" fontId="126" fillId="17" borderId="53" applyNumberFormat="0" applyAlignment="0" applyProtection="0"/>
    <xf numFmtId="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0" fontId="11" fillId="0" borderId="0"/>
    <xf numFmtId="0" fontId="131" fillId="0" borderId="73" applyNumberFormat="0" applyAlignment="0" applyProtection="0">
      <alignment horizontal="left" vertical="center"/>
    </xf>
    <xf numFmtId="0" fontId="131" fillId="0" borderId="71">
      <alignment horizontal="left" vertical="center"/>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xf numFmtId="0" fontId="182" fillId="0" borderId="0" applyNumberFormat="0" applyFill="0" applyBorder="0" applyAlignment="0" applyProtection="0"/>
    <xf numFmtId="0" fontId="183" fillId="0" borderId="0" applyNumberFormat="0" applyFill="0" applyBorder="0" applyAlignment="0" applyProtection="0">
      <alignment vertical="top"/>
      <protection locked="0"/>
    </xf>
    <xf numFmtId="0" fontId="135" fillId="13" borderId="0" applyNumberFormat="0" applyBorder="0" applyAlignment="0" applyProtection="0"/>
    <xf numFmtId="10" fontId="59" fillId="42" borderId="65" applyNumberFormat="0" applyBorder="0" applyAlignment="0" applyProtection="0"/>
    <xf numFmtId="0" fontId="126" fillId="17" borderId="53" applyNumberFormat="0" applyAlignment="0" applyProtection="0"/>
    <xf numFmtId="231" fontId="184" fillId="0" borderId="0" applyFill="0" applyBorder="0" applyAlignment="0"/>
    <xf numFmtId="232" fontId="184" fillId="0" borderId="0" applyFill="0" applyBorder="0" applyAlignment="0"/>
    <xf numFmtId="231" fontId="184" fillId="0" borderId="0" applyFill="0" applyBorder="0" applyAlignment="0"/>
    <xf numFmtId="236" fontId="184" fillId="0" borderId="0" applyFill="0" applyBorder="0" applyAlignment="0"/>
    <xf numFmtId="232" fontId="184" fillId="0" borderId="0" applyFill="0" applyBorder="0" applyAlignment="0"/>
    <xf numFmtId="44" fontId="96" fillId="0" borderId="0" applyFont="0" applyFill="0" applyBorder="0" applyAlignment="0" applyProtection="0"/>
    <xf numFmtId="44" fontId="96" fillId="0" borderId="0" applyFont="0" applyFill="0" applyBorder="0" applyAlignment="0" applyProtection="0"/>
    <xf numFmtId="0" fontId="176" fillId="52" borderId="0" applyNumberFormat="0" applyBorder="0" applyAlignment="0" applyProtection="0"/>
    <xf numFmtId="0" fontId="142"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85" fillId="0" borderId="0"/>
    <xf numFmtId="0" fontId="18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8" fillId="0" borderId="0"/>
    <xf numFmtId="0" fontId="1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0" fontId="96" fillId="56" borderId="62" applyNumberFormat="0" applyFont="0" applyAlignment="0" applyProtection="0"/>
    <xf numFmtId="200" fontId="96" fillId="56" borderId="62" applyNumberFormat="0" applyFont="0" applyAlignment="0" applyProtection="0"/>
    <xf numFmtId="0" fontId="11"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0" fontId="11" fillId="56" borderId="62" applyNumberFormat="0" applyFont="0" applyAlignment="0" applyProtection="0"/>
    <xf numFmtId="0" fontId="167" fillId="60" borderId="65" applyNumberFormat="0" applyBorder="0" applyProtection="0">
      <alignment horizontal="center"/>
    </xf>
    <xf numFmtId="0" fontId="150" fillId="46" borderId="58" applyNumberFormat="0" applyAlignment="0" applyProtection="0"/>
    <xf numFmtId="235" fontId="11" fillId="0" borderId="0" applyFont="0" applyFill="0" applyBorder="0" applyAlignment="0" applyProtection="0"/>
    <xf numFmtId="23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231" fontId="153" fillId="0" borderId="0" applyFill="0" applyBorder="0" applyAlignment="0"/>
    <xf numFmtId="232" fontId="153" fillId="0" borderId="0" applyFill="0" applyBorder="0" applyAlignment="0"/>
    <xf numFmtId="231" fontId="153" fillId="0" borderId="0" applyFill="0" applyBorder="0" applyAlignment="0"/>
    <xf numFmtId="236" fontId="153" fillId="0" borderId="0" applyFill="0" applyBorder="0" applyAlignment="0"/>
    <xf numFmtId="232" fontId="153" fillId="0" borderId="0" applyFill="0" applyBorder="0" applyAlignment="0"/>
    <xf numFmtId="49" fontId="97" fillId="0" borderId="0" applyFill="0" applyBorder="0" applyAlignment="0"/>
    <xf numFmtId="240" fontId="97" fillId="0" borderId="0" applyFill="0" applyBorder="0" applyAlignment="0"/>
    <xf numFmtId="241" fontId="97" fillId="0" borderId="0" applyFill="0" applyBorder="0" applyAlignment="0"/>
    <xf numFmtId="200" fontId="152" fillId="0" borderId="0" applyNumberFormat="0" applyFill="0" applyBorder="0" applyAlignment="0" applyProtection="0"/>
    <xf numFmtId="200" fontId="152" fillId="0" borderId="0" applyNumberFormat="0" applyFill="0" applyBorder="0" applyAlignment="0" applyProtection="0"/>
    <xf numFmtId="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0" fontId="151" fillId="0" borderId="0" applyNumberFormat="0" applyFill="0" applyBorder="0" applyAlignment="0" applyProtection="0"/>
    <xf numFmtId="0" fontId="103" fillId="0" borderId="45" applyNumberFormat="0" applyFill="0" applyAlignment="0" applyProtection="0"/>
    <xf numFmtId="0" fontId="160" fillId="0" borderId="67" applyNumberFormat="0" applyFill="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203" fontId="11" fillId="42" borderId="52" applyNumberFormat="0">
      <alignment vertical="center"/>
    </xf>
    <xf numFmtId="202" fontId="11" fillId="43" borderId="52" applyNumberFormat="0">
      <alignment vertical="center"/>
    </xf>
    <xf numFmtId="202" fontId="11" fillId="44" borderId="52" applyNumberFormat="0">
      <alignment vertical="center"/>
    </xf>
    <xf numFmtId="3" fontId="11" fillId="0" borderId="52" applyNumberFormat="0">
      <alignment vertical="center"/>
    </xf>
    <xf numFmtId="202" fontId="11" fillId="41" borderId="52" applyNumberFormat="0">
      <alignment vertical="center"/>
    </xf>
    <xf numFmtId="203" fontId="11" fillId="0" borderId="0" applyFont="0" applyFill="0" applyBorder="0" applyAlignment="0" applyProtection="0"/>
    <xf numFmtId="20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3" fontId="11" fillId="0" borderId="0" applyFont="0" applyFill="0" applyBorder="0" applyAlignment="0" applyProtection="0"/>
    <xf numFmtId="205"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1" fontId="11" fillId="0" borderId="0" applyFont="0" applyFill="0" applyBorder="0" applyAlignment="0" applyProtection="0"/>
    <xf numFmtId="207"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198" fontId="11" fillId="0" borderId="0" applyFont="0" applyFill="0" applyBorder="0" applyAlignment="0" applyProtection="0"/>
    <xf numFmtId="204" fontId="11" fillId="0" borderId="0" applyFont="0" applyFill="0" applyBorder="0" applyAlignment="0" applyProtection="0"/>
    <xf numFmtId="231" fontId="11" fillId="0" borderId="0" applyFont="0" applyFill="0" applyBorder="0" applyAlignment="0" applyProtection="0"/>
    <xf numFmtId="208" fontId="11" fillId="0" borderId="0" applyFont="0" applyFill="0" applyBorder="0" applyAlignment="0" applyProtection="0"/>
    <xf numFmtId="43" fontId="11" fillId="0" borderId="0" applyFont="0" applyFill="0" applyBorder="0" applyAlignment="0" applyProtection="0"/>
    <xf numFmtId="3" fontId="11" fillId="0" borderId="0" applyFill="0" applyBorder="0" applyAlignment="0" applyProtection="0"/>
    <xf numFmtId="232" fontId="11" fillId="0" borderId="0" applyFont="0" applyFill="0" applyBorder="0" applyAlignment="0" applyProtection="0"/>
    <xf numFmtId="204" fontId="11" fillId="0" borderId="0" applyFont="0" applyFill="0" applyBorder="0" applyAlignment="0"/>
    <xf numFmtId="211" fontId="11" fillId="0" borderId="0" applyFill="0" applyBorder="0" applyAlignment="0" applyProtection="0"/>
    <xf numFmtId="238" fontId="180" fillId="0" borderId="0">
      <protection locked="0"/>
    </xf>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69" fontId="11" fillId="0" borderId="0" applyFont="0" applyFill="0" applyBorder="0" applyAlignment="0" applyProtection="0"/>
    <xf numFmtId="38" fontId="59" fillId="44" borderId="0" applyNumberFormat="0" applyFont="0" applyBorder="0" applyAlignment="0">
      <protection hidden="1"/>
    </xf>
    <xf numFmtId="10" fontId="59" fillId="42" borderId="65" applyNumberFormat="0" applyBorder="0" applyAlignment="0" applyProtection="0"/>
    <xf numFmtId="215" fontId="59" fillId="42" borderId="0" applyFont="0" applyBorder="0" applyAlignment="0" applyProtection="0">
      <protection locked="0"/>
    </xf>
    <xf numFmtId="216" fontId="59" fillId="42" borderId="0">
      <protection locked="0"/>
    </xf>
    <xf numFmtId="10" fontId="59" fillId="42" borderId="0">
      <protection locked="0"/>
    </xf>
    <xf numFmtId="217" fontId="59" fillId="42" borderId="0" applyFont="0" applyBorder="0" applyAlignment="0">
      <protection locked="0"/>
    </xf>
    <xf numFmtId="21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21" fontId="11" fillId="0" borderId="0"/>
    <xf numFmtId="0" fontId="142" fillId="0" borderId="0"/>
    <xf numFmtId="216" fontId="11" fillId="0" borderId="0" applyFont="0" applyFill="0" applyBorder="0" applyAlignment="0"/>
    <xf numFmtId="40" fontId="59" fillId="0" borderId="0" applyFont="0" applyFill="0" applyBorder="0" applyAlignment="0"/>
    <xf numFmtId="223" fontId="59" fillId="0" borderId="0" applyFont="0" applyFill="0" applyBorder="0" applyAlignment="0"/>
    <xf numFmtId="175" fontId="11" fillId="0" borderId="0"/>
    <xf numFmtId="200" fontId="11" fillId="0" borderId="0"/>
    <xf numFmtId="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5" fillId="0" borderId="0"/>
    <xf numFmtId="0" fontId="5" fillId="0" borderId="0"/>
    <xf numFmtId="0" fontId="11" fillId="0" borderId="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3" fontId="11" fillId="0" borderId="0" applyFont="0" applyFill="0" applyBorder="0" applyAlignment="0" applyProtection="0">
      <alignment horizontal="right"/>
    </xf>
    <xf numFmtId="0" fontId="167" fillId="60" borderId="65" applyNumberFormat="0" applyBorder="0" applyProtection="0">
      <alignment horizontal="center"/>
    </xf>
    <xf numFmtId="224" fontId="59" fillId="0" borderId="64" applyNumberFormat="0" applyFill="0" applyBorder="0" applyAlignment="0" applyProtection="0"/>
    <xf numFmtId="235" fontId="11" fillId="0" borderId="0" applyFont="0" applyFill="0" applyBorder="0" applyAlignment="0" applyProtection="0"/>
    <xf numFmtId="239" fontId="11" fillId="0" borderId="0" applyFont="0" applyFill="0" applyBorder="0" applyAlignment="0" applyProtection="0"/>
    <xf numFmtId="225" fontId="11" fillId="0" borderId="0" applyFont="0" applyFill="0" applyBorder="0" applyAlignment="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226" fontId="59" fillId="0" borderId="0" applyFont="0" applyFill="0" applyBorder="0" applyAlignment="0" applyProtection="0"/>
    <xf numFmtId="201" fontId="11" fillId="44" borderId="0">
      <alignment horizontal="center"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227" fontId="11" fillId="0" borderId="0" applyFont="0" applyFill="0" applyBorder="0" applyAlignment="0" applyProtection="0"/>
    <xf numFmtId="227"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90" fillId="0" borderId="0" applyNumberFormat="0" applyFill="0" applyBorder="0" applyAlignment="0" applyProtection="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218" fillId="0" borderId="0"/>
    <xf numFmtId="0" fontId="218"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164" fontId="5" fillId="0" borderId="0" applyFont="0" applyFill="0" applyBorder="0" applyAlignment="0" applyProtection="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cellStyleXfs>
  <cellXfs count="1806">
    <xf numFmtId="0" fontId="0" fillId="0" borderId="0" xfId="0"/>
    <xf numFmtId="0" fontId="5" fillId="0" borderId="0" xfId="3"/>
    <xf numFmtId="166" fontId="10" fillId="4" borderId="0" xfId="6" applyNumberFormat="1" applyFont="1" applyFill="1" applyAlignment="1">
      <alignment vertical="center"/>
    </xf>
    <xf numFmtId="165" fontId="10" fillId="4" borderId="0" xfId="5" applyNumberFormat="1" applyFont="1" applyFill="1" applyAlignment="1">
      <alignment vertical="center"/>
    </xf>
    <xf numFmtId="165" fontId="10" fillId="3" borderId="0" xfId="5" applyNumberFormat="1" applyFont="1" applyFill="1" applyAlignment="1">
      <alignment vertical="center"/>
    </xf>
    <xf numFmtId="3" fontId="10" fillId="4" borderId="0" xfId="5" applyNumberFormat="1" applyFont="1" applyFill="1" applyAlignment="1">
      <alignment vertical="center"/>
    </xf>
    <xf numFmtId="166" fontId="10" fillId="4" borderId="0" xfId="6" applyNumberFormat="1" applyFont="1" applyFill="1" applyAlignment="1">
      <alignment horizontal="right" vertical="center" wrapText="1"/>
    </xf>
    <xf numFmtId="0" fontId="11" fillId="4" borderId="0" xfId="7" applyFill="1" applyAlignment="1">
      <alignment vertical="center"/>
    </xf>
    <xf numFmtId="165" fontId="10" fillId="5" borderId="0" xfId="5" applyNumberFormat="1" applyFont="1" applyFill="1" applyAlignment="1">
      <alignment vertical="center"/>
    </xf>
    <xf numFmtId="165" fontId="12" fillId="3" borderId="2" xfId="1" applyNumberFormat="1" applyFont="1" applyFill="1" applyBorder="1" applyAlignment="1">
      <alignment vertical="center"/>
    </xf>
    <xf numFmtId="0" fontId="13" fillId="3" borderId="2" xfId="7" applyFont="1" applyFill="1" applyBorder="1" applyAlignment="1">
      <alignment vertical="center"/>
    </xf>
    <xf numFmtId="165" fontId="14" fillId="3" borderId="2" xfId="1" applyNumberFormat="1" applyFont="1" applyFill="1" applyBorder="1" applyAlignment="1">
      <alignment horizontal="center" vertical="center" wrapText="1"/>
    </xf>
    <xf numFmtId="0" fontId="13" fillId="3" borderId="0" xfId="7" applyFont="1" applyFill="1" applyAlignment="1">
      <alignment vertical="center"/>
    </xf>
    <xf numFmtId="0" fontId="7" fillId="0" borderId="0" xfId="2" applyFill="1" applyAlignment="1">
      <alignment vertical="center"/>
    </xf>
    <xf numFmtId="0" fontId="11" fillId="0" borderId="0" xfId="7" applyBorder="1" applyAlignment="1">
      <alignment vertical="center"/>
    </xf>
    <xf numFmtId="0" fontId="11" fillId="0" borderId="0" xfId="7" applyAlignment="1">
      <alignment vertical="center"/>
    </xf>
    <xf numFmtId="0" fontId="11" fillId="0" borderId="0" xfId="7"/>
    <xf numFmtId="0" fontId="11" fillId="3" borderId="0" xfId="7" applyFill="1"/>
    <xf numFmtId="165" fontId="10" fillId="3" borderId="0" xfId="5" applyNumberFormat="1" applyFont="1" applyFill="1" applyBorder="1" applyAlignment="1">
      <alignment vertical="center"/>
    </xf>
    <xf numFmtId="168" fontId="11" fillId="3" borderId="0" xfId="7" applyNumberFormat="1" applyFill="1"/>
    <xf numFmtId="0" fontId="11" fillId="3" borderId="0" xfId="7" applyFill="1" applyBorder="1"/>
    <xf numFmtId="165" fontId="12" fillId="0" borderId="2" xfId="1" applyNumberFormat="1" applyFont="1" applyFill="1" applyBorder="1" applyAlignment="1" applyProtection="1">
      <alignment vertical="center"/>
      <protection locked="0"/>
    </xf>
    <xf numFmtId="165" fontId="29" fillId="0" borderId="0" xfId="12" applyNumberFormat="1" applyFont="1" applyFill="1" applyAlignment="1" applyProtection="1">
      <alignment vertical="center"/>
      <protection locked="0"/>
    </xf>
    <xf numFmtId="173" fontId="29" fillId="0" borderId="0" xfId="11" applyNumberFormat="1" applyFont="1" applyFill="1" applyAlignment="1" applyProtection="1">
      <alignment vertical="center"/>
      <protection locked="0"/>
    </xf>
    <xf numFmtId="43" fontId="29" fillId="0" borderId="0" xfId="11" applyFont="1" applyFill="1" applyAlignment="1" applyProtection="1">
      <alignment vertical="center"/>
      <protection locked="0"/>
    </xf>
    <xf numFmtId="165" fontId="34" fillId="0" borderId="0" xfId="16" applyNumberFormat="1" applyFont="1" applyFill="1" applyAlignment="1" applyProtection="1">
      <alignment vertical="center"/>
      <protection locked="0"/>
    </xf>
    <xf numFmtId="43" fontId="32" fillId="0" borderId="0" xfId="11" applyFont="1" applyFill="1" applyProtection="1">
      <protection locked="0"/>
    </xf>
    <xf numFmtId="174" fontId="32" fillId="0" borderId="0" xfId="11" applyNumberFormat="1" applyFont="1" applyFill="1" applyProtection="1">
      <protection locked="0"/>
    </xf>
    <xf numFmtId="165" fontId="30" fillId="0" borderId="0" xfId="12" applyNumberFormat="1" applyFont="1" applyFill="1" applyAlignment="1" applyProtection="1">
      <alignment vertical="center"/>
      <protection locked="0"/>
    </xf>
    <xf numFmtId="175" fontId="32" fillId="0" borderId="0" xfId="11" applyNumberFormat="1" applyFont="1" applyFill="1" applyProtection="1">
      <protection locked="0"/>
    </xf>
    <xf numFmtId="173" fontId="32" fillId="0" borderId="0" xfId="11" applyNumberFormat="1" applyFont="1" applyFill="1" applyProtection="1">
      <protection locked="0"/>
    </xf>
    <xf numFmtId="43" fontId="29" fillId="0" borderId="0" xfId="11" applyFont="1" applyFill="1" applyProtection="1">
      <protection locked="0"/>
    </xf>
    <xf numFmtId="43" fontId="29" fillId="0" borderId="0" xfId="17" applyFont="1" applyFill="1" applyAlignment="1" applyProtection="1">
      <alignment vertical="center"/>
      <protection locked="0"/>
    </xf>
    <xf numFmtId="0" fontId="32" fillId="0" borderId="0" xfId="7" applyFont="1" applyFill="1" applyProtection="1">
      <protection locked="0"/>
    </xf>
    <xf numFmtId="174" fontId="29" fillId="0" borderId="0" xfId="11" applyNumberFormat="1" applyFont="1" applyFill="1" applyAlignment="1" applyProtection="1">
      <alignment vertical="center"/>
      <protection locked="0"/>
    </xf>
    <xf numFmtId="177" fontId="32" fillId="0" borderId="0" xfId="11" applyNumberFormat="1" applyFont="1" applyFill="1" applyProtection="1">
      <protection locked="0"/>
    </xf>
    <xf numFmtId="178" fontId="32" fillId="0" borderId="0" xfId="11" applyNumberFormat="1" applyFont="1" applyFill="1" applyProtection="1">
      <protection locked="0"/>
    </xf>
    <xf numFmtId="179" fontId="32" fillId="0" borderId="0" xfId="11" applyNumberFormat="1" applyFont="1" applyFill="1" applyProtection="1">
      <protection locked="0"/>
    </xf>
    <xf numFmtId="165" fontId="29" fillId="0" borderId="0" xfId="18" applyNumberFormat="1" applyFont="1" applyFill="1" applyBorder="1" applyAlignment="1" applyProtection="1">
      <alignment horizontal="right" vertical="center"/>
      <protection locked="0"/>
    </xf>
    <xf numFmtId="179" fontId="29" fillId="0" borderId="0" xfId="11" applyNumberFormat="1" applyFont="1" applyFill="1" applyProtection="1">
      <protection locked="0"/>
    </xf>
    <xf numFmtId="180" fontId="32" fillId="0" borderId="0" xfId="11" applyNumberFormat="1" applyFont="1" applyFill="1" applyProtection="1">
      <protection locked="0"/>
    </xf>
    <xf numFmtId="165" fontId="33" fillId="0" borderId="0" xfId="12" applyNumberFormat="1" applyFont="1" applyFill="1" applyAlignment="1" applyProtection="1">
      <alignment vertical="center"/>
      <protection locked="0"/>
    </xf>
    <xf numFmtId="165" fontId="29" fillId="0" borderId="0" xfId="9" applyNumberFormat="1" applyFont="1" applyFill="1" applyAlignment="1" applyProtection="1">
      <alignment vertical="center"/>
      <protection locked="0"/>
    </xf>
    <xf numFmtId="0" fontId="32" fillId="0" borderId="0" xfId="18" applyFont="1" applyFill="1" applyProtection="1">
      <protection locked="0"/>
    </xf>
    <xf numFmtId="165" fontId="29" fillId="0" borderId="0" xfId="9" applyNumberFormat="1" applyFont="1" applyFill="1" applyBorder="1" applyAlignment="1" applyProtection="1">
      <alignment vertical="center"/>
      <protection locked="0"/>
    </xf>
    <xf numFmtId="43" fontId="32" fillId="0" borderId="0" xfId="18" applyNumberFormat="1" applyFont="1" applyFill="1" applyProtection="1">
      <protection locked="0"/>
    </xf>
    <xf numFmtId="43" fontId="29" fillId="0" borderId="0" xfId="11" applyFont="1" applyFill="1" applyBorder="1" applyAlignment="1" applyProtection="1">
      <alignment vertical="center"/>
      <protection locked="0"/>
    </xf>
    <xf numFmtId="165" fontId="29" fillId="0" borderId="0" xfId="9" applyNumberFormat="1" applyFont="1" applyFill="1" applyBorder="1" applyAlignment="1" applyProtection="1">
      <alignment horizontal="left" vertical="center" indent="2"/>
      <protection locked="0"/>
    </xf>
    <xf numFmtId="0" fontId="37" fillId="0" borderId="0" xfId="9" applyFont="1" applyFill="1" applyProtection="1">
      <protection locked="0"/>
    </xf>
    <xf numFmtId="166" fontId="10" fillId="0" borderId="0" xfId="6" applyNumberFormat="1" applyFont="1" applyFill="1" applyAlignment="1">
      <alignment horizontal="right" vertical="center" wrapText="1"/>
    </xf>
    <xf numFmtId="165" fontId="10" fillId="0" borderId="0" xfId="5" applyNumberFormat="1" applyFont="1" applyFill="1" applyAlignment="1">
      <alignment vertical="center"/>
    </xf>
    <xf numFmtId="165" fontId="39" fillId="0" borderId="2" xfId="1" applyNumberFormat="1" applyFont="1" applyFill="1" applyBorder="1" applyAlignment="1">
      <alignment vertical="center"/>
    </xf>
    <xf numFmtId="165" fontId="39" fillId="0" borderId="0" xfId="1" applyNumberFormat="1" applyFont="1" applyFill="1" applyBorder="1" applyAlignment="1">
      <alignment vertical="center"/>
    </xf>
    <xf numFmtId="0" fontId="40" fillId="0" borderId="0" xfId="19" applyFont="1" applyFill="1"/>
    <xf numFmtId="165" fontId="41" fillId="0" borderId="0" xfId="1" applyNumberFormat="1" applyFont="1" applyFill="1" applyBorder="1" applyAlignment="1">
      <alignment horizontal="center" vertical="center"/>
    </xf>
    <xf numFmtId="165" fontId="30" fillId="0" borderId="0" xfId="12" quotePrefix="1" applyNumberFormat="1" applyFont="1" applyFill="1" applyBorder="1" applyAlignment="1" applyProtection="1">
      <alignment horizontal="center" vertical="center" wrapText="1"/>
      <protection locked="0"/>
    </xf>
    <xf numFmtId="165" fontId="25" fillId="0" borderId="0" xfId="12" quotePrefix="1" applyNumberFormat="1" applyFont="1" applyFill="1" applyBorder="1" applyAlignment="1">
      <alignment horizontal="center" vertical="center" wrapText="1"/>
    </xf>
    <xf numFmtId="43" fontId="40" fillId="0" borderId="0" xfId="11" applyFont="1" applyFill="1"/>
    <xf numFmtId="165" fontId="40" fillId="0" borderId="0" xfId="19" applyNumberFormat="1" applyFont="1" applyFill="1"/>
    <xf numFmtId="181" fontId="40" fillId="0" borderId="0" xfId="19" applyNumberFormat="1" applyFont="1" applyFill="1"/>
    <xf numFmtId="43" fontId="40" fillId="0" borderId="0" xfId="19" applyNumberFormat="1" applyFont="1" applyFill="1"/>
    <xf numFmtId="182" fontId="40" fillId="0" borderId="0" xfId="11" applyNumberFormat="1" applyFont="1" applyFill="1"/>
    <xf numFmtId="165" fontId="21" fillId="0" borderId="0" xfId="12" applyNumberFormat="1" applyFont="1" applyFill="1" applyAlignment="1">
      <alignment vertical="center"/>
    </xf>
    <xf numFmtId="0" fontId="21" fillId="0" borderId="0" xfId="16" applyFont="1" applyFill="1"/>
    <xf numFmtId="165" fontId="25" fillId="0" borderId="0" xfId="16" applyNumberFormat="1" applyFont="1" applyFill="1" applyAlignment="1">
      <alignment vertical="center"/>
    </xf>
    <xf numFmtId="43" fontId="21" fillId="0" borderId="0" xfId="11" applyFont="1" applyFill="1"/>
    <xf numFmtId="0" fontId="21" fillId="0" borderId="0" xfId="16" applyFont="1" applyFill="1" applyBorder="1"/>
    <xf numFmtId="4" fontId="21" fillId="0" borderId="0" xfId="16" applyNumberFormat="1" applyFont="1" applyFill="1"/>
    <xf numFmtId="171" fontId="21" fillId="0" borderId="0" xfId="16" applyNumberFormat="1" applyFont="1" applyFill="1" applyBorder="1" applyAlignment="1">
      <alignment horizontal="right"/>
    </xf>
    <xf numFmtId="176" fontId="21" fillId="0" borderId="0" xfId="11" applyNumberFormat="1" applyFont="1" applyFill="1"/>
    <xf numFmtId="0" fontId="21" fillId="0" borderId="0" xfId="16" applyFont="1" applyFill="1" applyBorder="1" applyAlignment="1">
      <alignment horizontal="right"/>
    </xf>
    <xf numFmtId="165" fontId="29" fillId="0" borderId="0" xfId="16" applyNumberFormat="1" applyFont="1" applyFill="1" applyBorder="1"/>
    <xf numFmtId="184" fontId="21" fillId="0" borderId="0" xfId="16" applyNumberFormat="1" applyFont="1" applyFill="1" applyBorder="1"/>
    <xf numFmtId="0" fontId="44" fillId="0" borderId="0" xfId="16" applyFont="1" applyFill="1"/>
    <xf numFmtId="186" fontId="21" fillId="0" borderId="0" xfId="16" applyNumberFormat="1" applyFont="1" applyFill="1"/>
    <xf numFmtId="187" fontId="21" fillId="0" borderId="0" xfId="16" applyNumberFormat="1" applyFont="1" applyFill="1"/>
    <xf numFmtId="0" fontId="21" fillId="0" borderId="0" xfId="16" applyFont="1" applyFill="1" applyBorder="1" applyAlignment="1">
      <alignment horizontal="left" vertical="top" wrapText="1"/>
    </xf>
    <xf numFmtId="0" fontId="21" fillId="0" borderId="0" xfId="16" applyFont="1" applyFill="1" applyAlignment="1">
      <alignment horizontal="left" vertical="top" wrapText="1"/>
    </xf>
    <xf numFmtId="165" fontId="21" fillId="0" borderId="0" xfId="12" applyNumberFormat="1" applyFont="1" applyFill="1" applyAlignment="1">
      <alignment horizontal="left" vertical="center" wrapText="1"/>
    </xf>
    <xf numFmtId="165" fontId="21" fillId="0" borderId="0" xfId="16" applyNumberFormat="1" applyFont="1" applyFill="1"/>
    <xf numFmtId="3" fontId="10" fillId="0" borderId="0" xfId="5" applyNumberFormat="1" applyFont="1" applyFill="1" applyAlignment="1">
      <alignment vertical="center"/>
    </xf>
    <xf numFmtId="2" fontId="45" fillId="0" borderId="0" xfId="1" applyNumberFormat="1" applyFont="1" applyFill="1" applyBorder="1" applyAlignment="1">
      <alignment horizontal="right" vertical="center"/>
    </xf>
    <xf numFmtId="0" fontId="21" fillId="0" borderId="0" xfId="16" applyFont="1" applyFill="1" applyBorder="1" applyAlignment="1">
      <alignment vertical="center"/>
    </xf>
    <xf numFmtId="165" fontId="21" fillId="0" borderId="0" xfId="12" applyNumberFormat="1" applyFont="1" applyFill="1" applyBorder="1" applyAlignment="1">
      <alignment horizontal="center" vertical="center" wrapText="1"/>
    </xf>
    <xf numFmtId="49" fontId="25" fillId="0" borderId="0" xfId="12" applyNumberFormat="1" applyFont="1" applyFill="1" applyBorder="1" applyAlignment="1">
      <alignment horizontal="center" vertical="center" wrapText="1"/>
    </xf>
    <xf numFmtId="165" fontId="21" fillId="0" borderId="0" xfId="18" applyNumberFormat="1" applyFont="1" applyFill="1" applyBorder="1" applyAlignment="1">
      <alignment horizontal="center" vertical="center" wrapText="1"/>
    </xf>
    <xf numFmtId="165" fontId="21" fillId="0" borderId="0" xfId="9" applyNumberFormat="1" applyFont="1" applyFill="1" applyAlignment="1">
      <alignment vertical="center"/>
    </xf>
    <xf numFmtId="43" fontId="21" fillId="0" borderId="0" xfId="11" applyFont="1" applyFill="1" applyAlignment="1">
      <alignment vertical="center"/>
    </xf>
    <xf numFmtId="43" fontId="47" fillId="0" borderId="0" xfId="11" applyFont="1" applyFill="1"/>
    <xf numFmtId="171" fontId="40" fillId="0" borderId="0" xfId="19" applyNumberFormat="1" applyFont="1" applyFill="1"/>
    <xf numFmtId="174" fontId="47" fillId="0" borderId="0" xfId="11" applyNumberFormat="1" applyFont="1" applyFill="1"/>
    <xf numFmtId="168" fontId="40" fillId="0" borderId="0" xfId="19" applyNumberFormat="1" applyFont="1" applyFill="1"/>
    <xf numFmtId="188" fontId="40" fillId="0" borderId="0" xfId="19" applyNumberFormat="1" applyFont="1" applyFill="1"/>
    <xf numFmtId="189" fontId="40" fillId="0" borderId="0" xfId="19" applyNumberFormat="1" applyFont="1" applyFill="1"/>
    <xf numFmtId="190" fontId="40" fillId="0" borderId="0" xfId="19" applyNumberFormat="1" applyFont="1" applyFill="1"/>
    <xf numFmtId="191" fontId="40" fillId="0" borderId="0" xfId="19" applyNumberFormat="1" applyFont="1" applyFill="1"/>
    <xf numFmtId="0" fontId="11" fillId="0" borderId="0" xfId="18" applyFill="1"/>
    <xf numFmtId="43" fontId="21" fillId="0" borderId="0" xfId="17" applyFont="1" applyFill="1" applyAlignment="1">
      <alignment vertical="center"/>
    </xf>
    <xf numFmtId="0" fontId="48" fillId="0" borderId="0" xfId="19" applyFont="1" applyFill="1" applyAlignment="1"/>
    <xf numFmtId="0" fontId="44" fillId="0" borderId="0" xfId="19" applyFont="1" applyFill="1"/>
    <xf numFmtId="0" fontId="50" fillId="0" borderId="0" xfId="19" applyFont="1" applyFill="1" applyAlignment="1">
      <alignment vertical="top" wrapText="1"/>
    </xf>
    <xf numFmtId="0" fontId="51" fillId="0" borderId="0" xfId="19" applyFont="1" applyFill="1"/>
    <xf numFmtId="165" fontId="52" fillId="0" borderId="0" xfId="5" applyNumberFormat="1" applyFont="1" applyFill="1" applyAlignment="1">
      <alignment vertical="center"/>
    </xf>
    <xf numFmtId="165" fontId="53" fillId="0" borderId="0" xfId="5" applyNumberFormat="1" applyFont="1" applyFill="1" applyAlignment="1">
      <alignment vertical="center"/>
    </xf>
    <xf numFmtId="0" fontId="21" fillId="0" borderId="0" xfId="19" applyFont="1" applyFill="1"/>
    <xf numFmtId="165" fontId="51" fillId="0" borderId="0" xfId="12" applyNumberFormat="1" applyFont="1" applyFill="1" applyAlignment="1">
      <alignment vertical="center"/>
    </xf>
    <xf numFmtId="0" fontId="51" fillId="0" borderId="0" xfId="20" applyFont="1" applyFill="1"/>
    <xf numFmtId="172" fontId="10" fillId="0" borderId="0" xfId="5" applyNumberFormat="1" applyFont="1" applyFill="1" applyAlignment="1">
      <alignment vertical="center"/>
    </xf>
    <xf numFmtId="172" fontId="39" fillId="0" borderId="2" xfId="1" applyNumberFormat="1" applyFont="1" applyFill="1" applyBorder="1" applyAlignment="1">
      <alignment vertical="center"/>
    </xf>
    <xf numFmtId="0" fontId="40" fillId="0" borderId="0" xfId="20" applyFont="1" applyFill="1"/>
    <xf numFmtId="172" fontId="21" fillId="0" borderId="0" xfId="12" applyNumberFormat="1" applyFont="1" applyFill="1" applyAlignment="1">
      <alignment vertical="center"/>
    </xf>
    <xf numFmtId="0" fontId="11" fillId="0" borderId="0" xfId="18" applyFill="1" applyBorder="1"/>
    <xf numFmtId="165" fontId="40" fillId="0" borderId="0" xfId="20" applyNumberFormat="1" applyFont="1" applyFill="1"/>
    <xf numFmtId="165" fontId="29" fillId="0" borderId="0" xfId="12" applyNumberFormat="1" applyFont="1" applyFill="1" applyBorder="1" applyAlignment="1" applyProtection="1">
      <alignment vertical="center"/>
      <protection locked="0"/>
    </xf>
    <xf numFmtId="192" fontId="40" fillId="0" borderId="0" xfId="20" applyNumberFormat="1" applyFont="1" applyFill="1"/>
    <xf numFmtId="172" fontId="51" fillId="0" borderId="0" xfId="12" applyNumberFormat="1" applyFont="1" applyFill="1" applyAlignment="1">
      <alignment vertical="center"/>
    </xf>
    <xf numFmtId="165" fontId="44" fillId="0" borderId="0" xfId="12" applyNumberFormat="1" applyFont="1" applyFill="1" applyAlignment="1">
      <alignment horizontal="left" vertical="center" wrapText="1"/>
    </xf>
    <xf numFmtId="165" fontId="21" fillId="0" borderId="0" xfId="14" applyNumberFormat="1" applyFont="1" applyFill="1" applyAlignment="1">
      <alignment vertical="center"/>
    </xf>
    <xf numFmtId="49" fontId="21" fillId="0" borderId="0" xfId="14" applyNumberFormat="1" applyFont="1" applyFill="1" applyAlignment="1">
      <alignment vertical="center"/>
    </xf>
    <xf numFmtId="165" fontId="25" fillId="0" borderId="0" xfId="14" applyNumberFormat="1" applyFont="1" applyFill="1" applyAlignment="1">
      <alignment vertical="center"/>
    </xf>
    <xf numFmtId="165" fontId="57" fillId="0" borderId="0" xfId="14" applyNumberFormat="1" applyFont="1" applyFill="1" applyAlignment="1">
      <alignment vertical="center"/>
    </xf>
    <xf numFmtId="165" fontId="21" fillId="0" borderId="0" xfId="11" applyNumberFormat="1" applyFont="1" applyFill="1" applyAlignment="1">
      <alignment vertical="center"/>
    </xf>
    <xf numFmtId="184" fontId="10" fillId="0" borderId="0" xfId="5" applyNumberFormat="1" applyFont="1" applyFill="1" applyAlignment="1">
      <alignment vertical="center"/>
    </xf>
    <xf numFmtId="0" fontId="21" fillId="0" borderId="0" xfId="18" applyFont="1" applyFill="1"/>
    <xf numFmtId="165" fontId="21" fillId="0" borderId="0" xfId="18" applyNumberFormat="1" applyFont="1" applyFill="1"/>
    <xf numFmtId="165" fontId="21" fillId="0" borderId="0" xfId="18" applyNumberFormat="1" applyFont="1" applyFill="1" applyAlignment="1">
      <alignment horizontal="right"/>
    </xf>
    <xf numFmtId="165" fontId="21" fillId="0" borderId="0" xfId="12" quotePrefix="1" applyNumberFormat="1" applyFont="1" applyFill="1" applyBorder="1" applyAlignment="1">
      <alignment horizontal="center" vertical="center" wrapText="1"/>
    </xf>
    <xf numFmtId="0" fontId="25" fillId="0" borderId="0" xfId="18" applyFont="1" applyFill="1"/>
    <xf numFmtId="3" fontId="21" fillId="0" borderId="0" xfId="18" applyNumberFormat="1" applyFont="1" applyFill="1"/>
    <xf numFmtId="0" fontId="21" fillId="0" borderId="0" xfId="18" applyFont="1" applyFill="1" applyAlignment="1">
      <alignment horizontal="left"/>
    </xf>
    <xf numFmtId="0" fontId="21" fillId="0" borderId="0" xfId="18" applyFont="1" applyFill="1" applyAlignment="1">
      <alignment horizontal="left" indent="2"/>
    </xf>
    <xf numFmtId="43" fontId="0" fillId="0" borderId="0" xfId="11" applyFont="1" applyFill="1"/>
    <xf numFmtId="165" fontId="55" fillId="0" borderId="0" xfId="12" quotePrefix="1" applyNumberFormat="1" applyFont="1" applyFill="1" applyAlignment="1">
      <alignment vertical="center"/>
    </xf>
    <xf numFmtId="165" fontId="21" fillId="0" borderId="0" xfId="18" applyNumberFormat="1" applyFont="1" applyFill="1" applyAlignment="1">
      <alignment wrapText="1"/>
    </xf>
    <xf numFmtId="0" fontId="21" fillId="0" borderId="0" xfId="18" applyFont="1" applyFill="1" applyAlignment="1">
      <alignment wrapText="1"/>
    </xf>
    <xf numFmtId="165" fontId="21" fillId="0" borderId="0" xfId="12" applyNumberFormat="1" applyFont="1" applyFill="1" applyBorder="1" applyAlignment="1">
      <alignment vertical="center"/>
    </xf>
    <xf numFmtId="0" fontId="17" fillId="0" borderId="0" xfId="18" applyFont="1" applyFill="1"/>
    <xf numFmtId="0" fontId="11" fillId="3" borderId="0" xfId="18" applyFill="1"/>
    <xf numFmtId="0" fontId="17" fillId="0" borderId="0" xfId="18" applyFont="1" applyFill="1" applyBorder="1"/>
    <xf numFmtId="165" fontId="18" fillId="0" borderId="0" xfId="15" applyNumberFormat="1" applyFont="1" applyFill="1" applyBorder="1" applyAlignment="1">
      <alignment horizontal="center"/>
    </xf>
    <xf numFmtId="0" fontId="29" fillId="0" borderId="0" xfId="15" applyFont="1" applyFill="1" applyBorder="1" applyAlignment="1"/>
    <xf numFmtId="0" fontId="37" fillId="0" borderId="0" xfId="15" applyFont="1" applyFill="1" applyBorder="1" applyAlignment="1"/>
    <xf numFmtId="165" fontId="29" fillId="0" borderId="0" xfId="15" applyNumberFormat="1" applyFont="1" applyFill="1" applyBorder="1" applyAlignment="1"/>
    <xf numFmtId="1" fontId="30" fillId="0" borderId="0" xfId="18" quotePrefix="1" applyNumberFormat="1" applyFont="1" applyFill="1" applyBorder="1" applyAlignment="1">
      <alignment horizontal="center" vertical="center"/>
    </xf>
    <xf numFmtId="1" fontId="29" fillId="0" borderId="0" xfId="27" applyNumberFormat="1" applyFont="1" applyFill="1" applyBorder="1" applyAlignment="1">
      <alignment horizontal="center" vertical="center"/>
    </xf>
    <xf numFmtId="0" fontId="29" fillId="0" borderId="0" xfId="15" applyNumberFormat="1" applyFont="1" applyFill="1" applyBorder="1" applyAlignment="1">
      <alignment horizontal="center" vertical="center" wrapText="1"/>
    </xf>
    <xf numFmtId="1" fontId="29" fillId="0" borderId="0" xfId="18" quotePrefix="1" applyNumberFormat="1" applyFont="1" applyFill="1" applyBorder="1" applyAlignment="1">
      <alignment horizontal="center" vertical="center" wrapText="1"/>
    </xf>
    <xf numFmtId="165" fontId="35" fillId="0" borderId="0" xfId="27" applyNumberFormat="1" applyFont="1" applyFill="1" applyBorder="1" applyAlignment="1"/>
    <xf numFmtId="165" fontId="29" fillId="0" borderId="0" xfId="27" applyNumberFormat="1" applyFont="1" applyFill="1" applyBorder="1" applyAlignment="1">
      <alignment vertical="center"/>
    </xf>
    <xf numFmtId="0" fontId="62" fillId="0" borderId="0" xfId="18" applyFont="1" applyFill="1" applyBorder="1"/>
    <xf numFmtId="165" fontId="36" fillId="0" borderId="0" xfId="27" applyNumberFormat="1" applyFont="1" applyFill="1" applyBorder="1" applyAlignment="1">
      <alignment vertical="center"/>
    </xf>
    <xf numFmtId="0" fontId="62" fillId="0" borderId="0" xfId="18" applyFont="1" applyFill="1"/>
    <xf numFmtId="0" fontId="63" fillId="0" borderId="0" xfId="18" applyFont="1" applyFill="1" applyBorder="1"/>
    <xf numFmtId="165" fontId="64" fillId="0" borderId="0" xfId="27" applyNumberFormat="1" applyFont="1" applyFill="1" applyBorder="1" applyAlignment="1">
      <alignment vertical="center"/>
    </xf>
    <xf numFmtId="0" fontId="63" fillId="0" borderId="0" xfId="18" applyFont="1" applyFill="1"/>
    <xf numFmtId="166" fontId="10" fillId="0" borderId="0" xfId="6" applyNumberFormat="1" applyFont="1" applyFill="1" applyAlignment="1">
      <alignment vertical="center"/>
    </xf>
    <xf numFmtId="165" fontId="34" fillId="0" borderId="0" xfId="7" applyNumberFormat="1" applyFont="1" applyFill="1" applyBorder="1" applyAlignment="1">
      <alignment horizontal="right" vertical="center"/>
    </xf>
    <xf numFmtId="165" fontId="34" fillId="0" borderId="0" xfId="7" applyNumberFormat="1" applyFont="1" applyFill="1" applyBorder="1" applyAlignment="1">
      <alignment horizontal="right"/>
    </xf>
    <xf numFmtId="165" fontId="24" fillId="0" borderId="0" xfId="7" applyNumberFormat="1" applyFont="1" applyFill="1" applyBorder="1" applyAlignment="1">
      <alignment horizontal="right"/>
    </xf>
    <xf numFmtId="165" fontId="46" fillId="0" borderId="0" xfId="7" applyNumberFormat="1" applyFont="1" applyFill="1" applyBorder="1" applyAlignment="1">
      <alignment horizontal="right"/>
    </xf>
    <xf numFmtId="165" fontId="11" fillId="0" borderId="0" xfId="18" applyNumberFormat="1" applyFill="1" applyBorder="1"/>
    <xf numFmtId="165" fontId="10" fillId="0" borderId="0" xfId="5" applyNumberFormat="1" applyFont="1" applyFill="1" applyBorder="1" applyAlignment="1">
      <alignment vertical="center"/>
    </xf>
    <xf numFmtId="165" fontId="10" fillId="0" borderId="0" xfId="5" applyNumberFormat="1" applyFont="1" applyFill="1" applyBorder="1" applyAlignment="1"/>
    <xf numFmtId="0" fontId="11" fillId="0" borderId="0" xfId="18" applyFill="1" applyAlignment="1"/>
    <xf numFmtId="0" fontId="29" fillId="0" borderId="0" xfId="7" applyFont="1" applyFill="1" applyBorder="1" applyAlignment="1">
      <alignment vertical="top"/>
    </xf>
    <xf numFmtId="0" fontId="72" fillId="0" borderId="0" xfId="18" applyFont="1" applyFill="1" applyBorder="1" applyAlignment="1"/>
    <xf numFmtId="0" fontId="59" fillId="0" borderId="0" xfId="18" applyFont="1" applyFill="1"/>
    <xf numFmtId="165" fontId="29" fillId="3" borderId="0" xfId="10" applyNumberFormat="1" applyFont="1" applyFill="1" applyAlignment="1">
      <alignment vertical="center"/>
    </xf>
    <xf numFmtId="0" fontId="11" fillId="3" borderId="0" xfId="18" applyFill="1" applyBorder="1"/>
    <xf numFmtId="1" fontId="29" fillId="3" borderId="0" xfId="16" applyNumberFormat="1" applyFont="1" applyFill="1" applyBorder="1" applyAlignment="1">
      <alignment horizontal="right"/>
    </xf>
    <xf numFmtId="3" fontId="21" fillId="0" borderId="0" xfId="18" applyNumberFormat="1" applyFont="1" applyFill="1" applyAlignment="1">
      <alignment vertical="center"/>
    </xf>
    <xf numFmtId="165" fontId="21" fillId="0" borderId="0" xfId="18" applyNumberFormat="1" applyFont="1" applyFill="1" applyBorder="1" applyAlignment="1">
      <alignment vertical="center"/>
    </xf>
    <xf numFmtId="3" fontId="21" fillId="0" borderId="0" xfId="18" applyNumberFormat="1" applyFont="1" applyFill="1" applyBorder="1" applyAlignment="1">
      <alignment vertical="center"/>
    </xf>
    <xf numFmtId="165" fontId="44" fillId="0" borderId="0" xfId="18" applyNumberFormat="1" applyFont="1" applyFill="1" applyAlignment="1">
      <alignment vertical="center"/>
    </xf>
    <xf numFmtId="3" fontId="44" fillId="0" borderId="0" xfId="18" applyNumberFormat="1" applyFont="1" applyFill="1" applyAlignment="1">
      <alignment vertical="center"/>
    </xf>
    <xf numFmtId="165" fontId="21" fillId="0" borderId="0" xfId="15" applyNumberFormat="1" applyFont="1" applyFill="1" applyAlignment="1">
      <alignment vertical="center"/>
    </xf>
    <xf numFmtId="165" fontId="77" fillId="0" borderId="0" xfId="15" applyNumberFormat="1" applyFont="1" applyFill="1" applyAlignment="1">
      <alignment horizontal="left" vertical="center"/>
    </xf>
    <xf numFmtId="0" fontId="78" fillId="0" borderId="0" xfId="15" applyFont="1" applyFill="1" applyAlignment="1">
      <alignment vertical="center"/>
    </xf>
    <xf numFmtId="0" fontId="79" fillId="0" borderId="0" xfId="18" applyFont="1" applyFill="1"/>
    <xf numFmtId="165" fontId="21" fillId="0" borderId="0" xfId="15" applyNumberFormat="1" applyFont="1" applyFill="1" applyBorder="1" applyAlignment="1">
      <alignment vertical="center"/>
    </xf>
    <xf numFmtId="0" fontId="21" fillId="0" borderId="0" xfId="15" applyFont="1" applyFill="1" applyAlignment="1">
      <alignment vertical="center"/>
    </xf>
    <xf numFmtId="0" fontId="83" fillId="0" borderId="0" xfId="15" applyFont="1" applyFill="1" applyAlignment="1">
      <alignment vertical="center"/>
    </xf>
    <xf numFmtId="0" fontId="25" fillId="0" borderId="0" xfId="15" applyFont="1" applyFill="1" applyAlignment="1">
      <alignment vertical="center"/>
    </xf>
    <xf numFmtId="165" fontId="21" fillId="0" borderId="0" xfId="38" applyNumberFormat="1" applyFont="1" applyFill="1" applyAlignment="1">
      <alignment vertical="center"/>
    </xf>
    <xf numFmtId="165" fontId="73" fillId="0" borderId="0" xfId="32" applyNumberFormat="1" applyFont="1" applyFill="1" applyAlignment="1">
      <alignment vertical="center"/>
    </xf>
    <xf numFmtId="0" fontId="74" fillId="0" borderId="0" xfId="18" applyFont="1" applyFill="1"/>
    <xf numFmtId="165" fontId="21" fillId="0" borderId="0" xfId="32" applyNumberFormat="1" applyFont="1" applyFill="1" applyAlignment="1">
      <alignment vertical="center"/>
    </xf>
    <xf numFmtId="165" fontId="75" fillId="0" borderId="0" xfId="32" applyNumberFormat="1" applyFont="1" applyFill="1" applyAlignment="1">
      <alignment vertical="center"/>
    </xf>
    <xf numFmtId="165" fontId="31" fillId="4" borderId="0" xfId="5" applyNumberFormat="1" applyFont="1" applyFill="1" applyAlignment="1">
      <alignment vertical="center"/>
    </xf>
    <xf numFmtId="165" fontId="31" fillId="0" borderId="0" xfId="5" applyNumberFormat="1" applyFont="1" applyFill="1" applyAlignment="1">
      <alignment vertical="center"/>
    </xf>
    <xf numFmtId="0" fontId="32" fillId="0" borderId="0" xfId="18" applyFont="1"/>
    <xf numFmtId="166" fontId="31" fillId="4" borderId="0" xfId="6" applyNumberFormat="1" applyFont="1" applyFill="1" applyAlignment="1">
      <alignment vertical="center"/>
    </xf>
    <xf numFmtId="165" fontId="29" fillId="0" borderId="0" xfId="40" applyNumberFormat="1" applyFont="1" applyFill="1" applyAlignment="1">
      <alignment vertical="center"/>
    </xf>
    <xf numFmtId="184" fontId="31" fillId="4" borderId="0" xfId="5" applyNumberFormat="1" applyFont="1" applyFill="1" applyAlignment="1">
      <alignment vertical="center"/>
    </xf>
    <xf numFmtId="165" fontId="32" fillId="0" borderId="0" xfId="18" applyNumberFormat="1" applyFont="1"/>
    <xf numFmtId="184" fontId="29" fillId="0" borderId="0" xfId="18" applyNumberFormat="1" applyFont="1"/>
    <xf numFmtId="43" fontId="29" fillId="0" borderId="0" xfId="18" applyNumberFormat="1" applyFont="1"/>
    <xf numFmtId="4" fontId="31" fillId="4" borderId="0" xfId="5" applyNumberFormat="1" applyFont="1" applyFill="1" applyAlignment="1">
      <alignment vertical="center"/>
    </xf>
    <xf numFmtId="165" fontId="32" fillId="0" borderId="0" xfId="18" applyNumberFormat="1" applyFont="1" applyAlignment="1">
      <alignment horizontal="center"/>
    </xf>
    <xf numFmtId="0" fontId="87" fillId="0" borderId="0" xfId="18" applyFont="1" applyAlignment="1">
      <alignment horizontal="center" vertical="center"/>
    </xf>
    <xf numFmtId="165" fontId="88" fillId="4" borderId="0" xfId="10" applyNumberFormat="1" applyFont="1" applyFill="1" applyAlignment="1">
      <alignment vertical="center"/>
    </xf>
    <xf numFmtId="165" fontId="6" fillId="4" borderId="0" xfId="1" applyNumberFormat="1" applyFont="1" applyFill="1" applyBorder="1" applyAlignment="1">
      <alignment vertical="center"/>
    </xf>
    <xf numFmtId="3" fontId="31" fillId="4" borderId="0" xfId="5" applyNumberFormat="1" applyFont="1" applyFill="1" applyAlignment="1">
      <alignment vertical="center"/>
    </xf>
    <xf numFmtId="165" fontId="31" fillId="5" borderId="0" xfId="5" applyNumberFormat="1" applyFont="1" applyFill="1" applyAlignment="1">
      <alignment vertical="center"/>
    </xf>
    <xf numFmtId="166" fontId="31" fillId="4" borderId="0" xfId="6" applyNumberFormat="1" applyFont="1" applyFill="1" applyAlignment="1">
      <alignment horizontal="right" vertical="center" wrapText="1"/>
    </xf>
    <xf numFmtId="168" fontId="11" fillId="3" borderId="0" xfId="18" applyNumberFormat="1" applyFill="1"/>
    <xf numFmtId="168" fontId="23" fillId="3" borderId="0" xfId="18" applyNumberFormat="1" applyFont="1" applyFill="1"/>
    <xf numFmtId="169" fontId="27" fillId="3" borderId="0" xfId="18" applyNumberFormat="1" applyFont="1" applyFill="1"/>
    <xf numFmtId="170" fontId="23" fillId="3" borderId="0" xfId="18" applyNumberFormat="1" applyFont="1" applyFill="1"/>
    <xf numFmtId="0" fontId="33" fillId="0" borderId="0" xfId="9" applyFont="1" applyFill="1" applyProtection="1">
      <protection locked="0"/>
    </xf>
    <xf numFmtId="4" fontId="34" fillId="0" borderId="0" xfId="7" applyNumberFormat="1" applyFont="1" applyFill="1" applyBorder="1" applyAlignment="1">
      <alignment horizontal="right" vertical="center"/>
    </xf>
    <xf numFmtId="165" fontId="33" fillId="0" borderId="0" xfId="12" applyNumberFormat="1" applyFont="1" applyFill="1" applyAlignment="1" applyProtection="1">
      <alignment horizontal="center" vertical="center"/>
      <protection locked="0"/>
    </xf>
    <xf numFmtId="0" fontId="56" fillId="0" borderId="0" xfId="12" applyNumberFormat="1" applyFont="1" applyFill="1" applyBorder="1" applyAlignment="1">
      <alignment horizontal="left" vertical="center"/>
    </xf>
    <xf numFmtId="0" fontId="40" fillId="0" borderId="0" xfId="19" applyFont="1" applyFill="1" applyBorder="1" applyAlignment="1">
      <alignment horizontal="left" vertical="center"/>
    </xf>
    <xf numFmtId="0" fontId="48" fillId="0" borderId="0" xfId="19" applyFont="1" applyFill="1" applyAlignment="1">
      <alignment horizontal="left" indent="1"/>
    </xf>
    <xf numFmtId="169" fontId="0" fillId="0" borderId="0" xfId="0" applyNumberFormat="1"/>
    <xf numFmtId="165" fontId="21" fillId="0" borderId="0" xfId="19" applyNumberFormat="1" applyFont="1" applyFill="1"/>
    <xf numFmtId="180" fontId="22" fillId="0" borderId="0" xfId="11" applyNumberFormat="1" applyFont="1" applyFill="1" applyAlignment="1">
      <alignment horizontal="right"/>
    </xf>
    <xf numFmtId="2" fontId="40" fillId="0" borderId="0" xfId="19" applyNumberFormat="1" applyFont="1" applyFill="1" applyAlignment="1">
      <alignment vertical="justify" wrapText="1"/>
    </xf>
    <xf numFmtId="2" fontId="40" fillId="0" borderId="0" xfId="19" applyNumberFormat="1" applyFont="1" applyFill="1" applyAlignment="1">
      <alignment vertical="center" wrapText="1"/>
    </xf>
    <xf numFmtId="165" fontId="29" fillId="0" borderId="0" xfId="18" applyNumberFormat="1" applyFont="1" applyFill="1" applyBorder="1" applyProtection="1">
      <protection locked="0"/>
    </xf>
    <xf numFmtId="165" fontId="29" fillId="0" borderId="0" xfId="18" applyNumberFormat="1" applyFont="1" applyFill="1" applyBorder="1" applyAlignment="1" applyProtection="1">
      <alignment horizontal="right"/>
      <protection locked="0"/>
    </xf>
    <xf numFmtId="165" fontId="29" fillId="0" borderId="0" xfId="12" applyNumberFormat="1" applyFont="1" applyFill="1" applyBorder="1" applyAlignment="1" applyProtection="1">
      <alignment horizontal="right" vertical="center"/>
      <protection locked="0"/>
    </xf>
    <xf numFmtId="172" fontId="29" fillId="0" borderId="0" xfId="12" applyNumberFormat="1" applyFont="1" applyFill="1" applyBorder="1" applyAlignment="1">
      <alignment horizontal="right" vertical="center"/>
    </xf>
    <xf numFmtId="0" fontId="11" fillId="0" borderId="0" xfId="18" applyFill="1" applyBorder="1" applyProtection="1">
      <protection locked="0"/>
    </xf>
    <xf numFmtId="2" fontId="44" fillId="0" borderId="0" xfId="19" applyNumberFormat="1" applyFont="1" applyFill="1" applyAlignment="1">
      <alignment horizontal="justify" vertical="justify" wrapText="1"/>
    </xf>
    <xf numFmtId="2" fontId="40" fillId="0" borderId="0" xfId="19" applyNumberFormat="1" applyFont="1" applyFill="1" applyAlignment="1">
      <alignment vertical="justify"/>
    </xf>
    <xf numFmtId="172" fontId="21" fillId="0" borderId="0" xfId="18" applyNumberFormat="1" applyFont="1" applyFill="1" applyAlignment="1">
      <alignment vertical="center"/>
    </xf>
    <xf numFmtId="165" fontId="21" fillId="0" borderId="0" xfId="16" applyNumberFormat="1" applyFont="1" applyFill="1" applyBorder="1" applyAlignment="1">
      <alignment horizontal="center" vertical="center"/>
    </xf>
    <xf numFmtId="165" fontId="21" fillId="0" borderId="0" xfId="18" applyNumberFormat="1" applyFont="1" applyFill="1" applyAlignment="1">
      <alignment vertical="center"/>
    </xf>
    <xf numFmtId="183" fontId="21" fillId="0" borderId="0" xfId="18" applyNumberFormat="1" applyFont="1" applyFill="1" applyAlignment="1">
      <alignment vertical="center"/>
    </xf>
    <xf numFmtId="172" fontId="21" fillId="0" borderId="0" xfId="18" applyNumberFormat="1" applyFont="1" applyFill="1" applyBorder="1" applyAlignment="1">
      <alignment vertical="center"/>
    </xf>
    <xf numFmtId="184" fontId="21" fillId="0" borderId="0" xfId="18" applyNumberFormat="1" applyFont="1" applyFill="1" applyAlignment="1">
      <alignment vertical="center"/>
    </xf>
    <xf numFmtId="43" fontId="21" fillId="0" borderId="0" xfId="42" applyFont="1" applyFill="1" applyAlignment="1">
      <alignment vertical="center"/>
    </xf>
    <xf numFmtId="43" fontId="80" fillId="0" borderId="0" xfId="42" applyFont="1" applyFill="1" applyAlignment="1">
      <alignment vertical="center"/>
    </xf>
    <xf numFmtId="43" fontId="21" fillId="0" borderId="0" xfId="42" applyFont="1" applyFill="1" applyBorder="1" applyAlignment="1">
      <alignment vertical="center"/>
    </xf>
    <xf numFmtId="43" fontId="51" fillId="0" borderId="0" xfId="42" applyFont="1" applyFill="1" applyAlignment="1">
      <alignment vertical="center"/>
    </xf>
    <xf numFmtId="43" fontId="11" fillId="0" borderId="0" xfId="42" applyFont="1" applyFill="1"/>
    <xf numFmtId="43" fontId="84" fillId="0" borderId="0" xfId="42" applyFont="1" applyFill="1" applyAlignment="1">
      <alignment vertical="center"/>
    </xf>
    <xf numFmtId="43" fontId="25" fillId="0" borderId="0" xfId="42" applyFont="1" applyFill="1" applyAlignment="1">
      <alignment vertical="center"/>
    </xf>
    <xf numFmtId="165" fontId="165" fillId="0" borderId="0" xfId="5" applyNumberFormat="1" applyFont="1" applyFill="1" applyAlignment="1">
      <alignment vertical="center"/>
    </xf>
    <xf numFmtId="0" fontId="164" fillId="3" borderId="0" xfId="18" applyFont="1" applyFill="1"/>
    <xf numFmtId="165" fontId="166" fillId="0" borderId="0" xfId="18" applyNumberFormat="1" applyFont="1" applyFill="1" applyAlignment="1">
      <alignment vertical="center"/>
    </xf>
    <xf numFmtId="3" fontId="166" fillId="0" borderId="0" xfId="18" applyNumberFormat="1" applyFont="1" applyFill="1" applyAlignment="1">
      <alignment vertical="center"/>
    </xf>
    <xf numFmtId="0" fontId="17" fillId="0" borderId="0" xfId="27" applyFont="1" applyFill="1"/>
    <xf numFmtId="183" fontId="0" fillId="0" borderId="0" xfId="0" applyNumberFormat="1" applyFill="1"/>
    <xf numFmtId="0" fontId="0" fillId="0" borderId="0" xfId="0" applyFill="1"/>
    <xf numFmtId="0" fontId="59" fillId="0" borderId="0" xfId="7" applyFont="1" applyFill="1" applyBorder="1"/>
    <xf numFmtId="165" fontId="189" fillId="0" borderId="0" xfId="5" applyNumberFormat="1" applyFont="1" applyFill="1" applyAlignment="1">
      <alignment vertical="center"/>
    </xf>
    <xf numFmtId="165" fontId="189" fillId="3" borderId="0" xfId="5" applyNumberFormat="1" applyFont="1" applyFill="1" applyBorder="1" applyAlignment="1">
      <alignment vertical="center"/>
    </xf>
    <xf numFmtId="0" fontId="190" fillId="0" borderId="0" xfId="18" applyFont="1" applyFill="1"/>
    <xf numFmtId="0" fontId="190" fillId="3" borderId="0" xfId="18" applyFont="1" applyFill="1"/>
    <xf numFmtId="0" fontId="194" fillId="0" borderId="0" xfId="18" applyFont="1"/>
    <xf numFmtId="165" fontId="187" fillId="4" borderId="0" xfId="5" applyNumberFormat="1" applyFont="1" applyFill="1" applyAlignment="1">
      <alignment vertical="center"/>
    </xf>
    <xf numFmtId="165" fontId="187" fillId="0" borderId="0" xfId="5" applyNumberFormat="1" applyFont="1" applyFill="1" applyAlignment="1">
      <alignment vertical="center"/>
    </xf>
    <xf numFmtId="165" fontId="194" fillId="0" borderId="0" xfId="18" applyNumberFormat="1" applyFont="1" applyAlignment="1">
      <alignment horizontal="center"/>
    </xf>
    <xf numFmtId="4" fontId="187" fillId="4" borderId="0" xfId="5" applyNumberFormat="1" applyFont="1" applyFill="1" applyAlignment="1">
      <alignment vertical="center"/>
    </xf>
    <xf numFmtId="165" fontId="194" fillId="0" borderId="0" xfId="18" applyNumberFormat="1" applyFont="1"/>
    <xf numFmtId="165" fontId="194" fillId="0" borderId="0" xfId="18" applyNumberFormat="1" applyFont="1" applyAlignment="1">
      <alignment horizontal="right"/>
    </xf>
    <xf numFmtId="165" fontId="191" fillId="0" borderId="0" xfId="12" applyNumberFormat="1" applyFont="1" applyFill="1" applyAlignment="1" applyProtection="1">
      <alignment vertical="center"/>
      <protection locked="0"/>
    </xf>
    <xf numFmtId="173" fontId="191" fillId="0" borderId="0" xfId="11" applyNumberFormat="1" applyFont="1" applyFill="1" applyAlignment="1" applyProtection="1">
      <alignment vertical="center"/>
      <protection locked="0"/>
    </xf>
    <xf numFmtId="43" fontId="191" fillId="0" borderId="0" xfId="11" applyFont="1" applyFill="1" applyAlignment="1" applyProtection="1">
      <alignment vertical="center"/>
      <protection locked="0"/>
    </xf>
    <xf numFmtId="43" fontId="194" fillId="0" borderId="0" xfId="11" applyFont="1" applyFill="1" applyProtection="1">
      <protection locked="0"/>
    </xf>
    <xf numFmtId="174" fontId="194" fillId="0" borderId="0" xfId="11" applyNumberFormat="1" applyFont="1" applyFill="1" applyProtection="1">
      <protection locked="0"/>
    </xf>
    <xf numFmtId="165" fontId="35" fillId="0" borderId="0" xfId="12" applyNumberFormat="1" applyFont="1" applyFill="1" applyAlignment="1" applyProtection="1">
      <alignment vertical="center"/>
      <protection locked="0"/>
    </xf>
    <xf numFmtId="176" fontId="194" fillId="0" borderId="0" xfId="11" applyNumberFormat="1" applyFont="1" applyFill="1" applyProtection="1">
      <protection locked="0"/>
    </xf>
    <xf numFmtId="165" fontId="191" fillId="0" borderId="0" xfId="9" applyNumberFormat="1" applyFont="1" applyFill="1" applyAlignment="1" applyProtection="1">
      <alignment vertical="center"/>
      <protection locked="0"/>
    </xf>
    <xf numFmtId="165" fontId="191" fillId="0" borderId="0" xfId="9" applyNumberFormat="1" applyFont="1" applyFill="1" applyBorder="1" applyAlignment="1" applyProtection="1">
      <alignment vertical="center"/>
      <protection locked="0"/>
    </xf>
    <xf numFmtId="165" fontId="35" fillId="0" borderId="0" xfId="9" applyNumberFormat="1" applyFont="1" applyFill="1" applyBorder="1" applyAlignment="1" applyProtection="1">
      <alignment vertical="center"/>
      <protection locked="0"/>
    </xf>
    <xf numFmtId="43" fontId="194" fillId="0" borderId="0" xfId="18" applyNumberFormat="1" applyFont="1" applyFill="1" applyProtection="1">
      <protection locked="0"/>
    </xf>
    <xf numFmtId="43" fontId="191" fillId="0" borderId="0" xfId="11" applyFont="1" applyFill="1" applyBorder="1" applyAlignment="1" applyProtection="1">
      <alignment vertical="center"/>
      <protection locked="0"/>
    </xf>
    <xf numFmtId="0" fontId="192" fillId="0" borderId="0" xfId="19" applyFont="1" applyFill="1"/>
    <xf numFmtId="165" fontId="20" fillId="0" borderId="0" xfId="9" applyNumberFormat="1" applyFont="1" applyFill="1" applyAlignment="1">
      <alignment horizontal="right"/>
    </xf>
    <xf numFmtId="43" fontId="192" fillId="0" borderId="0" xfId="11" applyFont="1" applyFill="1"/>
    <xf numFmtId="165" fontId="192" fillId="0" borderId="0" xfId="19" applyNumberFormat="1" applyFont="1" applyFill="1"/>
    <xf numFmtId="181" fontId="192" fillId="0" borderId="0" xfId="19" applyNumberFormat="1" applyFont="1" applyFill="1"/>
    <xf numFmtId="165" fontId="35" fillId="0" borderId="0" xfId="14" applyNumberFormat="1" applyFont="1" applyFill="1" applyBorder="1" applyAlignment="1">
      <alignment horizontal="right" vertical="center"/>
    </xf>
    <xf numFmtId="0" fontId="192" fillId="0" borderId="0" xfId="16" applyFont="1" applyFill="1"/>
    <xf numFmtId="165" fontId="46" fillId="0" borderId="0" xfId="16" applyNumberFormat="1" applyFont="1" applyFill="1" applyBorder="1" applyAlignment="1">
      <alignment horizontal="right"/>
    </xf>
    <xf numFmtId="4" fontId="192" fillId="0" borderId="0" xfId="16" applyNumberFormat="1" applyFont="1" applyFill="1"/>
    <xf numFmtId="165" fontId="46" fillId="0" borderId="0" xfId="16" applyNumberFormat="1" applyFont="1" applyFill="1" applyBorder="1" applyAlignment="1">
      <alignment horizontal="right" vertical="center"/>
    </xf>
    <xf numFmtId="165" fontId="35" fillId="0" borderId="0" xfId="14" applyNumberFormat="1" applyFont="1" applyFill="1" applyBorder="1" applyAlignment="1">
      <alignment horizontal="right"/>
    </xf>
    <xf numFmtId="43" fontId="191" fillId="0" borderId="0" xfId="11" applyFont="1" applyFill="1"/>
    <xf numFmtId="171" fontId="192" fillId="0" borderId="0" xfId="19" applyNumberFormat="1" applyFont="1" applyFill="1"/>
    <xf numFmtId="165" fontId="35" fillId="0" borderId="0" xfId="14" applyNumberFormat="1" applyFont="1" applyFill="1" applyBorder="1" applyAlignment="1" applyProtection="1">
      <alignment horizontal="right"/>
      <protection locked="0"/>
    </xf>
    <xf numFmtId="176" fontId="191" fillId="0" borderId="0" xfId="11" applyNumberFormat="1" applyFont="1" applyFill="1"/>
    <xf numFmtId="173" fontId="191" fillId="0" borderId="0" xfId="11" applyNumberFormat="1" applyFont="1" applyFill="1"/>
    <xf numFmtId="191" fontId="192" fillId="0" borderId="0" xfId="19" applyNumberFormat="1" applyFont="1" applyFill="1"/>
    <xf numFmtId="0" fontId="192" fillId="0" borderId="0" xfId="20" applyFont="1" applyFill="1"/>
    <xf numFmtId="165" fontId="192" fillId="0" borderId="0" xfId="20" applyNumberFormat="1" applyFont="1" applyFill="1"/>
    <xf numFmtId="165" fontId="192" fillId="0" borderId="0" xfId="14" applyNumberFormat="1" applyFont="1" applyFill="1" applyAlignment="1">
      <alignment vertical="center"/>
    </xf>
    <xf numFmtId="165" fontId="20" fillId="0" borderId="0" xfId="5" applyNumberFormat="1" applyFont="1" applyFill="1" applyAlignment="1">
      <alignment horizontal="center" vertical="center" wrapText="1"/>
    </xf>
    <xf numFmtId="165" fontId="46" fillId="0" borderId="0" xfId="14" applyNumberFormat="1" applyFont="1" applyFill="1" applyAlignment="1">
      <alignment vertical="center"/>
    </xf>
    <xf numFmtId="43" fontId="192" fillId="0" borderId="0" xfId="11" applyFont="1" applyFill="1" applyAlignment="1">
      <alignment vertical="center"/>
    </xf>
    <xf numFmtId="0" fontId="192" fillId="0" borderId="0" xfId="18" applyFont="1" applyFill="1"/>
    <xf numFmtId="0" fontId="46" fillId="0" borderId="0" xfId="18" applyFont="1" applyFill="1"/>
    <xf numFmtId="180" fontId="46" fillId="0" borderId="0" xfId="11" applyNumberFormat="1" applyFont="1" applyFill="1" applyAlignment="1">
      <alignment horizontal="right"/>
    </xf>
    <xf numFmtId="0" fontId="46" fillId="0" borderId="0" xfId="18" applyFont="1" applyFill="1" applyAlignment="1">
      <alignment vertical="center"/>
    </xf>
    <xf numFmtId="0" fontId="199" fillId="0" borderId="0" xfId="18" applyFont="1" applyFill="1"/>
    <xf numFmtId="0" fontId="197" fillId="0" borderId="0" xfId="0" applyFont="1" applyFill="1"/>
    <xf numFmtId="0" fontId="199" fillId="0" borderId="0" xfId="18" applyFont="1" applyFill="1" applyBorder="1"/>
    <xf numFmtId="165" fontId="35" fillId="0" borderId="0" xfId="7" applyNumberFormat="1" applyFont="1" applyFill="1" applyBorder="1" applyAlignment="1">
      <alignment horizontal="right" vertical="center"/>
    </xf>
    <xf numFmtId="183" fontId="197" fillId="0" borderId="0" xfId="0" applyNumberFormat="1" applyFont="1" applyFill="1"/>
    <xf numFmtId="1" fontId="191" fillId="0" borderId="0" xfId="27" applyNumberFormat="1" applyFont="1" applyFill="1" applyBorder="1" applyAlignment="1">
      <alignment horizontal="center" vertical="center"/>
    </xf>
    <xf numFmtId="0" fontId="191" fillId="0" borderId="0" xfId="15" applyNumberFormat="1" applyFont="1" applyFill="1" applyBorder="1" applyAlignment="1">
      <alignment horizontal="center" vertical="center" wrapText="1"/>
    </xf>
    <xf numFmtId="1" fontId="191" fillId="0" borderId="0" xfId="18" quotePrefix="1" applyNumberFormat="1" applyFont="1" applyFill="1" applyBorder="1" applyAlignment="1">
      <alignment horizontal="center" vertical="center" wrapText="1"/>
    </xf>
    <xf numFmtId="165" fontId="35" fillId="0" borderId="0" xfId="27" applyNumberFormat="1" applyFont="1" applyFill="1" applyBorder="1" applyAlignment="1">
      <alignment vertical="center"/>
    </xf>
    <xf numFmtId="197" fontId="191" fillId="0" borderId="0" xfId="27" applyNumberFormat="1" applyFont="1" applyFill="1" applyBorder="1" applyAlignment="1">
      <alignment horizontal="center" vertical="center"/>
    </xf>
    <xf numFmtId="198" fontId="191" fillId="0" borderId="0" xfId="27" applyNumberFormat="1" applyFont="1" applyFill="1" applyBorder="1" applyAlignment="1">
      <alignment horizontal="center" vertical="center"/>
    </xf>
    <xf numFmtId="169" fontId="197" fillId="0" borderId="0" xfId="0" applyNumberFormat="1" applyFont="1"/>
    <xf numFmtId="165" fontId="35" fillId="0" borderId="0" xfId="7" applyNumberFormat="1" applyFont="1" applyFill="1" applyBorder="1" applyAlignment="1">
      <alignment horizontal="right"/>
    </xf>
    <xf numFmtId="165" fontId="190" fillId="0" borderId="0" xfId="18" applyNumberFormat="1" applyFont="1" applyFill="1" applyBorder="1"/>
    <xf numFmtId="165" fontId="189" fillId="0" borderId="0" xfId="5" applyNumberFormat="1" applyFont="1" applyFill="1" applyBorder="1" applyAlignment="1">
      <alignment vertical="center"/>
    </xf>
    <xf numFmtId="0" fontId="190" fillId="0" borderId="0" xfId="18" applyFont="1" applyFill="1" applyBorder="1"/>
    <xf numFmtId="181" fontId="35" fillId="0" borderId="0" xfId="7" applyNumberFormat="1" applyFont="1" applyFill="1" applyBorder="1" applyAlignment="1">
      <alignment horizontal="right" vertical="center"/>
    </xf>
    <xf numFmtId="0" fontId="190" fillId="3" borderId="0" xfId="18" applyFont="1" applyFill="1" applyBorder="1"/>
    <xf numFmtId="1" fontId="191" fillId="3" borderId="0" xfId="16" applyNumberFormat="1" applyFont="1" applyFill="1" applyBorder="1" applyAlignment="1">
      <alignment horizontal="right"/>
    </xf>
    <xf numFmtId="165" fontId="192" fillId="0" borderId="0" xfId="15" applyNumberFormat="1" applyFont="1" applyFill="1" applyBorder="1" applyAlignment="1">
      <alignment vertical="center"/>
    </xf>
    <xf numFmtId="165" fontId="46" fillId="0" borderId="0" xfId="15" applyNumberFormat="1" applyFont="1" applyFill="1" applyBorder="1" applyAlignment="1">
      <alignment vertical="center"/>
    </xf>
    <xf numFmtId="43" fontId="192" fillId="0" borderId="0" xfId="42" applyFont="1" applyFill="1" applyBorder="1" applyAlignment="1">
      <alignment vertical="center"/>
    </xf>
    <xf numFmtId="165" fontId="192" fillId="0" borderId="0" xfId="15" applyNumberFormat="1" applyFont="1" applyFill="1" applyAlignment="1">
      <alignment vertical="center"/>
    </xf>
    <xf numFmtId="0" fontId="202" fillId="0" borderId="0" xfId="15" applyFont="1" applyFill="1" applyAlignment="1">
      <alignment vertical="center"/>
    </xf>
    <xf numFmtId="43" fontId="190" fillId="0" borderId="0" xfId="42" applyFont="1" applyFill="1"/>
    <xf numFmtId="43" fontId="46" fillId="0" borderId="0" xfId="42" applyFont="1" applyFill="1" applyAlignment="1">
      <alignment vertical="center"/>
    </xf>
    <xf numFmtId="0" fontId="46" fillId="0" borderId="0" xfId="15" applyFont="1" applyFill="1" applyAlignment="1">
      <alignment vertical="center"/>
    </xf>
    <xf numFmtId="173" fontId="192" fillId="0" borderId="0" xfId="11" applyNumberFormat="1" applyFont="1" applyFill="1" applyAlignment="1">
      <alignment vertical="center"/>
    </xf>
    <xf numFmtId="0" fontId="203" fillId="4" borderId="0" xfId="7" quotePrefix="1" applyFont="1" applyFill="1" applyAlignment="1">
      <alignment vertical="center"/>
    </xf>
    <xf numFmtId="176" fontId="32" fillId="0" borderId="0" xfId="11" applyNumberFormat="1" applyFont="1" applyFill="1" applyProtection="1">
      <protection locked="0"/>
    </xf>
    <xf numFmtId="0" fontId="32" fillId="0" borderId="0" xfId="18" applyFont="1" applyFill="1"/>
    <xf numFmtId="43" fontId="32" fillId="0" borderId="0" xfId="11" applyFont="1" applyFill="1"/>
    <xf numFmtId="165" fontId="11" fillId="3" borderId="0" xfId="18" applyNumberFormat="1" applyFill="1"/>
    <xf numFmtId="165" fontId="39" fillId="3" borderId="2" xfId="1" applyNumberFormat="1" applyFont="1" applyFill="1" applyBorder="1" applyAlignment="1">
      <alignment vertical="center"/>
    </xf>
    <xf numFmtId="165" fontId="29" fillId="3" borderId="17" xfId="10" applyNumberFormat="1" applyFont="1" applyFill="1" applyBorder="1" applyAlignment="1">
      <alignment vertical="center"/>
    </xf>
    <xf numFmtId="3" fontId="10" fillId="3" borderId="0" xfId="5" applyNumberFormat="1" applyFont="1" applyFill="1" applyAlignment="1">
      <alignment vertical="center"/>
    </xf>
    <xf numFmtId="0" fontId="76" fillId="3" borderId="0" xfId="18" applyFont="1" applyFill="1" applyAlignment="1"/>
    <xf numFmtId="0" fontId="76" fillId="3" borderId="0" xfId="18" applyFont="1" applyFill="1" applyAlignment="1">
      <alignment horizontal="center"/>
    </xf>
    <xf numFmtId="2" fontId="11" fillId="3" borderId="0" xfId="18" applyNumberFormat="1" applyFill="1" applyBorder="1"/>
    <xf numFmtId="3" fontId="31" fillId="3" borderId="0" xfId="18" applyNumberFormat="1" applyFont="1" applyFill="1" applyBorder="1"/>
    <xf numFmtId="0" fontId="164" fillId="3" borderId="0" xfId="18" applyFont="1" applyFill="1" applyBorder="1"/>
    <xf numFmtId="165" fontId="51" fillId="0" borderId="0" xfId="12" applyNumberFormat="1" applyFont="1" applyFill="1" applyAlignment="1">
      <alignment horizontal="left" vertical="center" wrapText="1"/>
    </xf>
    <xf numFmtId="0" fontId="206" fillId="0" borderId="0" xfId="18" applyFont="1" applyFill="1"/>
    <xf numFmtId="0" fontId="205" fillId="0" borderId="0" xfId="19" applyFont="1" applyFill="1"/>
    <xf numFmtId="165" fontId="207" fillId="0" borderId="0" xfId="5" applyNumberFormat="1" applyFont="1" applyFill="1" applyAlignment="1">
      <alignment vertical="center"/>
    </xf>
    <xf numFmtId="0" fontId="208" fillId="0" borderId="0" xfId="19" applyFont="1" applyFill="1" applyAlignment="1">
      <alignment vertical="top" wrapText="1"/>
    </xf>
    <xf numFmtId="172" fontId="205" fillId="0" borderId="0" xfId="19" applyNumberFormat="1" applyFont="1" applyFill="1"/>
    <xf numFmtId="172" fontId="205" fillId="0" borderId="0" xfId="20" applyNumberFormat="1" applyFont="1" applyFill="1"/>
    <xf numFmtId="0" fontId="205" fillId="0" borderId="0" xfId="20" applyFont="1" applyFill="1"/>
    <xf numFmtId="165" fontId="205" fillId="0" borderId="0" xfId="12" applyNumberFormat="1" applyFont="1" applyFill="1" applyAlignment="1">
      <alignment vertical="center"/>
    </xf>
    <xf numFmtId="0" fontId="51" fillId="0" borderId="0" xfId="20" applyFont="1" applyFill="1" applyAlignment="1">
      <alignment horizontal="left" wrapText="1"/>
    </xf>
    <xf numFmtId="180" fontId="191" fillId="0" borderId="0" xfId="11" applyNumberFormat="1" applyFont="1" applyFill="1"/>
    <xf numFmtId="180" fontId="47" fillId="0" borderId="0" xfId="11" applyNumberFormat="1" applyFont="1" applyFill="1"/>
    <xf numFmtId="180" fontId="40" fillId="0" borderId="0" xfId="19" applyNumberFormat="1" applyFont="1" applyFill="1"/>
    <xf numFmtId="43" fontId="192" fillId="0" borderId="0" xfId="42" applyFont="1" applyFill="1"/>
    <xf numFmtId="43" fontId="40" fillId="0" borderId="0" xfId="42" applyFont="1" applyFill="1"/>
    <xf numFmtId="165" fontId="88" fillId="0" borderId="0" xfId="10" applyNumberFormat="1" applyFont="1" applyFill="1" applyAlignment="1">
      <alignment vertical="center"/>
    </xf>
    <xf numFmtId="166" fontId="31" fillId="0" borderId="0" xfId="6" applyNumberFormat="1" applyFont="1" applyFill="1" applyAlignment="1">
      <alignment vertical="center"/>
    </xf>
    <xf numFmtId="165" fontId="44" fillId="0" borderId="0" xfId="12" applyNumberFormat="1" applyFont="1" applyFill="1" applyAlignment="1">
      <alignment vertical="center"/>
    </xf>
    <xf numFmtId="172" fontId="44" fillId="0" borderId="0" xfId="12" applyNumberFormat="1" applyFont="1" applyFill="1" applyAlignment="1">
      <alignment vertical="center"/>
    </xf>
    <xf numFmtId="0" fontId="51" fillId="0" borderId="0" xfId="18" quotePrefix="1" applyFont="1" applyFill="1"/>
    <xf numFmtId="165" fontId="51" fillId="0" borderId="0" xfId="18" applyNumberFormat="1" applyFont="1" applyFill="1"/>
    <xf numFmtId="0" fontId="51" fillId="0" borderId="0" xfId="18" applyFont="1" applyFill="1"/>
    <xf numFmtId="0" fontId="44" fillId="0" borderId="0" xfId="18" quotePrefix="1" applyFont="1" applyFill="1" applyAlignment="1"/>
    <xf numFmtId="0" fontId="210" fillId="0" borderId="0" xfId="15" applyFont="1" applyFill="1" applyAlignment="1">
      <alignment vertical="center"/>
    </xf>
    <xf numFmtId="0" fontId="192" fillId="0" borderId="0" xfId="15" applyFont="1" applyFill="1" applyAlignment="1">
      <alignment vertical="center"/>
    </xf>
    <xf numFmtId="43" fontId="192" fillId="0" borderId="0" xfId="42" applyFont="1" applyFill="1" applyAlignment="1">
      <alignment vertical="center"/>
    </xf>
    <xf numFmtId="0" fontId="15" fillId="0" borderId="0" xfId="2308" applyFont="1"/>
    <xf numFmtId="0" fontId="17" fillId="3" borderId="0" xfId="18" applyFont="1" applyFill="1"/>
    <xf numFmtId="0" fontId="59" fillId="3" borderId="0" xfId="18" applyFont="1" applyFill="1"/>
    <xf numFmtId="165" fontId="21" fillId="3" borderId="0" xfId="5" applyNumberFormat="1" applyFont="1" applyFill="1" applyAlignment="1">
      <alignment vertical="center"/>
    </xf>
    <xf numFmtId="0" fontId="17" fillId="3" borderId="0" xfId="27" applyFont="1" applyFill="1"/>
    <xf numFmtId="165" fontId="51" fillId="0" borderId="0" xfId="19" applyNumberFormat="1" applyFont="1" applyFill="1" applyAlignment="1">
      <alignment vertical="center" wrapText="1"/>
    </xf>
    <xf numFmtId="0" fontId="51" fillId="0" borderId="0" xfId="19" applyFont="1" applyFill="1" applyAlignment="1">
      <alignment vertical="top"/>
    </xf>
    <xf numFmtId="43" fontId="51" fillId="0" borderId="0" xfId="11" applyFont="1" applyFill="1"/>
    <xf numFmtId="165" fontId="44" fillId="0" borderId="0" xfId="12" applyNumberFormat="1" applyFont="1" applyFill="1" applyAlignment="1">
      <alignment horizontal="left" vertical="center" wrapText="1"/>
    </xf>
    <xf numFmtId="165" fontId="51" fillId="0" borderId="0" xfId="19" applyNumberFormat="1" applyFont="1" applyFill="1"/>
    <xf numFmtId="0" fontId="203" fillId="4" borderId="0" xfId="7" applyFont="1" applyFill="1" applyAlignment="1">
      <alignment vertical="center"/>
    </xf>
    <xf numFmtId="0" fontId="163" fillId="0" borderId="0" xfId="19" applyFont="1" applyFill="1" applyAlignment="1">
      <alignment vertical="top" wrapText="1"/>
    </xf>
    <xf numFmtId="0" fontId="211" fillId="0" borderId="0" xfId="18" applyFont="1" applyFill="1" applyAlignment="1">
      <alignment vertical="center"/>
    </xf>
    <xf numFmtId="172" fontId="51" fillId="0" borderId="0" xfId="19" applyNumberFormat="1" applyFont="1" applyFill="1"/>
    <xf numFmtId="0" fontId="209" fillId="0" borderId="0" xfId="18" applyFont="1" applyFill="1" applyAlignment="1">
      <alignment vertical="center"/>
    </xf>
    <xf numFmtId="165" fontId="46" fillId="0" borderId="0" xfId="14" applyNumberFormat="1" applyFont="1" applyFill="1" applyAlignment="1">
      <alignment horizontal="center" vertical="center"/>
    </xf>
    <xf numFmtId="43" fontId="22" fillId="0" borderId="0" xfId="11" applyFont="1" applyFill="1" applyAlignment="1">
      <alignment horizontal="right"/>
    </xf>
    <xf numFmtId="195" fontId="190" fillId="0" borderId="0" xfId="18" applyNumberFormat="1" applyFont="1" applyFill="1" applyBorder="1"/>
    <xf numFmtId="195" fontId="11" fillId="0" borderId="0" xfId="18" applyNumberFormat="1" applyFill="1" applyBorder="1"/>
    <xf numFmtId="196" fontId="190" fillId="0" borderId="0" xfId="18" applyNumberFormat="1" applyFont="1" applyFill="1" applyBorder="1"/>
    <xf numFmtId="196" fontId="11" fillId="0" borderId="0" xfId="18" applyNumberFormat="1" applyFill="1" applyBorder="1"/>
    <xf numFmtId="199" fontId="190" fillId="0" borderId="0" xfId="18" applyNumberFormat="1" applyFont="1" applyFill="1" applyBorder="1"/>
    <xf numFmtId="165" fontId="50" fillId="3" borderId="0" xfId="30" applyNumberFormat="1" applyFont="1" applyFill="1"/>
    <xf numFmtId="0" fontId="60" fillId="3" borderId="0" xfId="30" applyFill="1"/>
    <xf numFmtId="0" fontId="194" fillId="3" borderId="0" xfId="30" applyFont="1" applyFill="1"/>
    <xf numFmtId="165" fontId="50" fillId="3" borderId="0" xfId="30" applyNumberFormat="1" applyFont="1" applyFill="1" applyAlignment="1">
      <alignment vertical="center"/>
    </xf>
    <xf numFmtId="0" fontId="50" fillId="3" borderId="0" xfId="30" applyFont="1" applyFill="1"/>
    <xf numFmtId="49" fontId="50" fillId="3" borderId="0" xfId="30" applyNumberFormat="1" applyFont="1" applyFill="1" applyBorder="1"/>
    <xf numFmtId="165" fontId="50" fillId="3" borderId="0" xfId="30" applyNumberFormat="1" applyFont="1" applyFill="1" applyBorder="1"/>
    <xf numFmtId="49" fontId="50" fillId="3" borderId="0" xfId="30" applyNumberFormat="1" applyFont="1" applyFill="1"/>
    <xf numFmtId="165" fontId="50" fillId="3" borderId="0" xfId="30" applyNumberFormat="1" applyFont="1" applyFill="1" applyAlignment="1">
      <alignment wrapText="1"/>
    </xf>
    <xf numFmtId="0" fontId="21" fillId="3" borderId="0" xfId="16" applyFont="1" applyFill="1"/>
    <xf numFmtId="165" fontId="21" fillId="3" borderId="0" xfId="16" applyNumberFormat="1" applyFont="1" applyFill="1" applyBorder="1"/>
    <xf numFmtId="165" fontId="22" fillId="3" borderId="0" xfId="14" applyNumberFormat="1" applyFont="1" applyFill="1" applyBorder="1" applyAlignment="1">
      <alignment vertical="center"/>
    </xf>
    <xf numFmtId="171" fontId="191" fillId="3" borderId="0" xfId="30" applyNumberFormat="1" applyFont="1" applyFill="1"/>
    <xf numFmtId="168" fontId="191" fillId="3" borderId="0" xfId="30" applyNumberFormat="1" applyFont="1" applyFill="1"/>
    <xf numFmtId="165" fontId="191" fillId="3" borderId="0" xfId="30" applyNumberFormat="1" applyFont="1" applyFill="1"/>
    <xf numFmtId="171" fontId="50" fillId="3" borderId="0" xfId="30" applyNumberFormat="1" applyFont="1" applyFill="1"/>
    <xf numFmtId="0" fontId="191" fillId="3" borderId="0" xfId="30" applyFont="1" applyFill="1"/>
    <xf numFmtId="165" fontId="21" fillId="3" borderId="0" xfId="14" applyNumberFormat="1" applyFont="1" applyFill="1" applyBorder="1" applyAlignment="1">
      <alignment vertical="center"/>
    </xf>
    <xf numFmtId="165" fontId="50" fillId="3" borderId="0" xfId="18" applyNumberFormat="1" applyFont="1" applyFill="1"/>
    <xf numFmtId="188" fontId="163" fillId="3" borderId="0" xfId="30" applyNumberFormat="1" applyFont="1" applyFill="1"/>
    <xf numFmtId="165" fontId="50" fillId="3" borderId="0" xfId="18" applyNumberFormat="1" applyFont="1" applyFill="1" applyBorder="1"/>
    <xf numFmtId="165" fontId="50" fillId="3" borderId="0" xfId="18" applyNumberFormat="1" applyFont="1" applyFill="1" applyBorder="1" applyAlignment="1">
      <alignment vertical="center"/>
    </xf>
    <xf numFmtId="172" fontId="60" fillId="3" borderId="0" xfId="30" applyNumberFormat="1" applyFill="1"/>
    <xf numFmtId="0" fontId="50" fillId="0" borderId="0" xfId="0" quotePrefix="1" applyFont="1" applyFill="1"/>
    <xf numFmtId="0" fontId="215" fillId="0" borderId="0" xfId="7" applyFont="1" applyFill="1" applyAlignment="1">
      <alignment vertical="center"/>
    </xf>
    <xf numFmtId="0" fontId="216" fillId="0" borderId="0" xfId="7" applyFont="1" applyFill="1" applyAlignment="1">
      <alignment vertical="center"/>
    </xf>
    <xf numFmtId="43" fontId="0" fillId="0" borderId="0" xfId="42" applyFont="1" applyFill="1"/>
    <xf numFmtId="43" fontId="197" fillId="0" borderId="0" xfId="42" applyFont="1" applyFill="1"/>
    <xf numFmtId="165" fontId="73" fillId="0" borderId="0" xfId="32" applyNumberFormat="1" applyFont="1" applyFill="1" applyAlignment="1">
      <alignment vertical="center" wrapText="1"/>
    </xf>
    <xf numFmtId="165" fontId="21" fillId="0" borderId="0" xfId="5" applyNumberFormat="1" applyFont="1" applyFill="1" applyAlignment="1">
      <alignment vertical="center"/>
    </xf>
    <xf numFmtId="170" fontId="21" fillId="0" borderId="0" xfId="18" applyNumberFormat="1" applyFont="1" applyFill="1" applyBorder="1" applyAlignment="1">
      <alignment vertical="center"/>
    </xf>
    <xf numFmtId="183" fontId="21" fillId="0" borderId="0" xfId="18" applyNumberFormat="1" applyFont="1" applyFill="1" applyBorder="1" applyAlignment="1">
      <alignment vertical="center"/>
    </xf>
    <xf numFmtId="180" fontId="192" fillId="0" borderId="0" xfId="11" applyNumberFormat="1" applyFont="1" applyFill="1" applyAlignment="1">
      <alignment vertical="center"/>
    </xf>
    <xf numFmtId="0" fontId="218" fillId="0" borderId="0" xfId="2320"/>
    <xf numFmtId="0" fontId="218" fillId="0" borderId="0" xfId="2320" applyFill="1"/>
    <xf numFmtId="0" fontId="44" fillId="0" borderId="0" xfId="20" applyFont="1" applyFill="1"/>
    <xf numFmtId="165" fontId="44" fillId="0" borderId="0" xfId="32" applyNumberFormat="1" applyFont="1" applyFill="1" applyAlignment="1">
      <alignment vertical="center"/>
    </xf>
    <xf numFmtId="165" fontId="21" fillId="3" borderId="0" xfId="32" applyNumberFormat="1" applyFont="1" applyFill="1" applyAlignment="1">
      <alignment vertical="center"/>
    </xf>
    <xf numFmtId="165" fontId="22" fillId="3" borderId="0" xfId="32" applyNumberFormat="1" applyFont="1" applyFill="1" applyAlignment="1">
      <alignment horizontal="right"/>
    </xf>
    <xf numFmtId="165" fontId="73" fillId="3" borderId="0" xfId="32" applyNumberFormat="1" applyFont="1" applyFill="1" applyAlignment="1">
      <alignment vertical="center"/>
    </xf>
    <xf numFmtId="166" fontId="10" fillId="3" borderId="0" xfId="6" applyNumberFormat="1" applyFont="1" applyFill="1" applyAlignment="1">
      <alignment horizontal="right" vertical="center" wrapText="1"/>
    </xf>
    <xf numFmtId="165" fontId="21" fillId="3" borderId="0" xfId="31" applyNumberFormat="1" applyFont="1" applyFill="1" applyAlignment="1">
      <alignment vertical="center"/>
    </xf>
    <xf numFmtId="0" fontId="74" fillId="3" borderId="0" xfId="18" applyFont="1" applyFill="1"/>
    <xf numFmtId="165" fontId="75" fillId="3" borderId="0" xfId="32" applyNumberFormat="1" applyFont="1" applyFill="1" applyAlignment="1">
      <alignment vertical="center"/>
    </xf>
    <xf numFmtId="165" fontId="192" fillId="3" borderId="0" xfId="31" applyNumberFormat="1" applyFont="1" applyFill="1" applyAlignment="1">
      <alignment vertical="center"/>
    </xf>
    <xf numFmtId="165" fontId="192" fillId="3" borderId="0" xfId="32" applyNumberFormat="1" applyFont="1" applyFill="1" applyAlignment="1">
      <alignment vertical="center"/>
    </xf>
    <xf numFmtId="183" fontId="192" fillId="3" borderId="0" xfId="32" applyNumberFormat="1" applyFont="1" applyFill="1" applyAlignment="1">
      <alignment vertical="center"/>
    </xf>
    <xf numFmtId="183" fontId="21" fillId="3" borderId="0" xfId="32" applyNumberFormat="1" applyFont="1" applyFill="1" applyAlignment="1">
      <alignment vertical="center"/>
    </xf>
    <xf numFmtId="165" fontId="25" fillId="3" borderId="0" xfId="31" applyNumberFormat="1" applyFont="1" applyFill="1" applyAlignment="1">
      <alignment vertical="center"/>
    </xf>
    <xf numFmtId="170" fontId="21" fillId="3" borderId="0" xfId="32" applyNumberFormat="1" applyFont="1" applyFill="1" applyAlignment="1">
      <alignment vertical="center"/>
    </xf>
    <xf numFmtId="3" fontId="218" fillId="0" borderId="0" xfId="2320" applyNumberFormat="1" applyFill="1"/>
    <xf numFmtId="243" fontId="0" fillId="0" borderId="0" xfId="0" applyNumberFormat="1"/>
    <xf numFmtId="165" fontId="218" fillId="0" borderId="0" xfId="2320" applyNumberFormat="1" applyFill="1"/>
    <xf numFmtId="181" fontId="46" fillId="0" borderId="0" xfId="7" applyNumberFormat="1" applyFont="1" applyFill="1" applyBorder="1" applyAlignment="1">
      <alignment horizontal="left"/>
    </xf>
    <xf numFmtId="184" fontId="46" fillId="0" borderId="0" xfId="7" applyNumberFormat="1" applyFont="1" applyFill="1" applyBorder="1" applyAlignment="1">
      <alignment horizontal="left"/>
    </xf>
    <xf numFmtId="185" fontId="46" fillId="0" borderId="0" xfId="7" applyNumberFormat="1" applyFont="1" applyFill="1" applyBorder="1" applyAlignment="1">
      <alignment horizontal="left"/>
    </xf>
    <xf numFmtId="165" fontId="24" fillId="0" borderId="0" xfId="18" applyNumberFormat="1" applyFont="1" applyFill="1" applyBorder="1" applyAlignment="1">
      <alignment vertical="center"/>
    </xf>
    <xf numFmtId="165" fontId="44" fillId="0" borderId="0" xfId="12" applyNumberFormat="1" applyFont="1" applyFill="1" applyAlignment="1">
      <alignment horizontal="left" vertical="center" wrapText="1"/>
    </xf>
    <xf numFmtId="0" fontId="54" fillId="0" borderId="0" xfId="19" applyFont="1" applyFill="1" applyAlignment="1"/>
    <xf numFmtId="170" fontId="31" fillId="4" borderId="0" xfId="5" applyNumberFormat="1" applyFont="1" applyFill="1" applyAlignment="1">
      <alignment vertical="center"/>
    </xf>
    <xf numFmtId="170" fontId="32" fillId="0" borderId="0" xfId="18" applyNumberFormat="1" applyFont="1"/>
    <xf numFmtId="170" fontId="218" fillId="0" borderId="0" xfId="2320" applyNumberFormat="1"/>
    <xf numFmtId="170" fontId="218" fillId="0" borderId="0" xfId="2320" applyNumberFormat="1" applyFill="1"/>
    <xf numFmtId="165" fontId="46" fillId="0" borderId="0" xfId="37" applyNumberFormat="1" applyFont="1" applyFill="1" applyAlignment="1">
      <alignment horizontal="right"/>
    </xf>
    <xf numFmtId="165" fontId="22" fillId="0" borderId="0" xfId="37" applyNumberFormat="1" applyFont="1" applyFill="1" applyAlignment="1">
      <alignment horizontal="right"/>
    </xf>
    <xf numFmtId="1" fontId="191" fillId="0" borderId="0" xfId="16" applyNumberFormat="1" applyFont="1" applyFill="1" applyBorder="1" applyAlignment="1">
      <alignment horizontal="right"/>
    </xf>
    <xf numFmtId="165" fontId="188" fillId="0" borderId="0" xfId="10" applyNumberFormat="1" applyFont="1" applyFill="1" applyBorder="1" applyAlignment="1">
      <alignment horizontal="right" vertical="center"/>
    </xf>
    <xf numFmtId="165" fontId="19" fillId="0" borderId="0" xfId="10" applyNumberFormat="1" applyFont="1" applyFill="1" applyBorder="1" applyAlignment="1">
      <alignment horizontal="right" vertical="center"/>
    </xf>
    <xf numFmtId="183" fontId="46" fillId="0" borderId="0" xfId="18" applyNumberFormat="1" applyFont="1" applyFill="1"/>
    <xf numFmtId="165" fontId="22" fillId="3" borderId="0" xfId="14" applyNumberFormat="1" applyFont="1" applyFill="1" applyAlignment="1"/>
    <xf numFmtId="0" fontId="218" fillId="0" borderId="0" xfId="2320" applyFill="1" applyAlignment="1">
      <alignment vertical="center" wrapText="1"/>
    </xf>
    <xf numFmtId="170" fontId="218" fillId="0" borderId="0" xfId="2320" applyNumberFormat="1" applyFill="1" applyAlignment="1">
      <alignment vertical="center" wrapText="1"/>
    </xf>
    <xf numFmtId="43" fontId="21" fillId="3" borderId="0" xfId="11" applyFont="1" applyFill="1"/>
    <xf numFmtId="0" fontId="218" fillId="0" borderId="0" xfId="2320" quotePrefix="1"/>
    <xf numFmtId="0" fontId="163" fillId="6" borderId="0" xfId="9" applyFont="1" applyFill="1" applyProtection="1">
      <protection locked="0"/>
    </xf>
    <xf numFmtId="165" fontId="44" fillId="0" borderId="0" xfId="32" quotePrefix="1" applyNumberFormat="1" applyFont="1" applyFill="1" applyAlignment="1">
      <alignment vertical="center"/>
    </xf>
    <xf numFmtId="0" fontId="40" fillId="0" borderId="0" xfId="19" applyFont="1" applyFill="1" applyAlignment="1">
      <alignment horizontal="left" vertical="top" wrapText="1"/>
    </xf>
    <xf numFmtId="0" fontId="40" fillId="0" borderId="0" xfId="19" applyFont="1" applyFill="1" applyBorder="1"/>
    <xf numFmtId="0" fontId="1" fillId="0" borderId="0" xfId="2320" applyFont="1" applyFill="1"/>
    <xf numFmtId="0" fontId="21" fillId="0" borderId="0" xfId="18" applyFont="1" applyFill="1" applyBorder="1"/>
    <xf numFmtId="171" fontId="5" fillId="0" borderId="0" xfId="24" applyNumberFormat="1" applyFill="1"/>
    <xf numFmtId="175" fontId="0" fillId="0" borderId="0" xfId="21" applyNumberFormat="1" applyFont="1" applyFill="1"/>
    <xf numFmtId="4" fontId="0" fillId="0" borderId="0" xfId="21" applyNumberFormat="1" applyFont="1" applyFill="1"/>
    <xf numFmtId="175" fontId="29" fillId="0" borderId="0" xfId="21" applyNumberFormat="1" applyFont="1" applyFill="1"/>
    <xf numFmtId="175" fontId="50" fillId="0" borderId="0" xfId="21" applyNumberFormat="1" applyFont="1" applyFill="1"/>
    <xf numFmtId="171" fontId="11" fillId="0" borderId="0" xfId="22" applyNumberFormat="1" applyFill="1"/>
    <xf numFmtId="171" fontId="30" fillId="0" borderId="0" xfId="14" applyNumberFormat="1" applyFont="1" applyFill="1" applyAlignment="1">
      <alignment vertical="center"/>
    </xf>
    <xf numFmtId="175" fontId="30" fillId="0" borderId="0" xfId="21" applyNumberFormat="1" applyFont="1" applyFill="1" applyAlignment="1">
      <alignment vertical="center"/>
    </xf>
    <xf numFmtId="171" fontId="50" fillId="0" borderId="0" xfId="25" applyNumberFormat="1" applyFont="1" applyFill="1"/>
    <xf numFmtId="171" fontId="49" fillId="0" borderId="0" xfId="25" applyNumberFormat="1" applyFont="1" applyFill="1"/>
    <xf numFmtId="4" fontId="5" fillId="0" borderId="0" xfId="24" applyNumberFormat="1" applyFill="1"/>
    <xf numFmtId="175" fontId="11" fillId="0" borderId="0" xfId="21" applyNumberFormat="1" applyFont="1" applyFill="1"/>
    <xf numFmtId="171" fontId="190" fillId="0" borderId="0" xfId="22" applyNumberFormat="1" applyFont="1" applyFill="1"/>
    <xf numFmtId="171" fontId="197" fillId="0" borderId="0" xfId="24" applyNumberFormat="1" applyFont="1" applyFill="1"/>
    <xf numFmtId="171" fontId="11" fillId="0" borderId="0" xfId="22" applyNumberFormat="1" applyFill="1" applyBorder="1"/>
    <xf numFmtId="1" fontId="25" fillId="0" borderId="0" xfId="18" quotePrefix="1" applyNumberFormat="1" applyFont="1" applyFill="1" applyBorder="1" applyAlignment="1">
      <alignment horizontal="center" vertical="center" wrapText="1"/>
    </xf>
    <xf numFmtId="171" fontId="50" fillId="0" borderId="0" xfId="25" applyNumberFormat="1" applyFont="1" applyFill="1" applyBorder="1"/>
    <xf numFmtId="43" fontId="190" fillId="0" borderId="0" xfId="11" applyFont="1" applyFill="1" applyBorder="1"/>
    <xf numFmtId="171" fontId="194" fillId="0" borderId="0" xfId="25" applyNumberFormat="1" applyFont="1" applyFill="1"/>
    <xf numFmtId="197" fontId="194" fillId="0" borderId="0" xfId="25" applyNumberFormat="1" applyFont="1" applyFill="1"/>
    <xf numFmtId="43" fontId="11" fillId="0" borderId="0" xfId="11" applyFill="1" applyBorder="1"/>
    <xf numFmtId="171" fontId="60" fillId="0" borderId="0" xfId="25" applyNumberFormat="1" applyFont="1" applyFill="1"/>
    <xf numFmtId="171" fontId="61" fillId="0" borderId="0" xfId="25" quotePrefix="1" applyNumberFormat="1" applyFont="1" applyFill="1"/>
    <xf numFmtId="171" fontId="198" fillId="0" borderId="0" xfId="25" quotePrefix="1" applyNumberFormat="1" applyFont="1" applyFill="1"/>
    <xf numFmtId="171" fontId="61" fillId="0" borderId="0" xfId="25" applyNumberFormat="1" applyFont="1" applyFill="1"/>
    <xf numFmtId="171" fontId="50" fillId="0" borderId="0" xfId="23" applyNumberFormat="1" applyFont="1" applyFill="1"/>
    <xf numFmtId="171" fontId="60" fillId="0" borderId="0" xfId="23" applyNumberFormat="1" applyFont="1" applyFill="1"/>
    <xf numFmtId="242" fontId="190" fillId="0" borderId="0" xfId="11" applyNumberFormat="1" applyFont="1" applyFill="1" applyBorder="1"/>
    <xf numFmtId="180" fontId="190" fillId="0" borderId="0" xfId="11" applyNumberFormat="1" applyFont="1" applyFill="1" applyBorder="1"/>
    <xf numFmtId="175" fontId="29" fillId="0" borderId="0" xfId="21" applyNumberFormat="1" applyFont="1" applyFill="1" applyAlignment="1">
      <alignment vertical="center"/>
    </xf>
    <xf numFmtId="175" fontId="21" fillId="0" borderId="0" xfId="21" applyNumberFormat="1" applyFont="1" applyFill="1" applyAlignment="1">
      <alignment vertical="center"/>
    </xf>
    <xf numFmtId="165" fontId="51" fillId="0" borderId="0" xfId="32" applyNumberFormat="1" applyFont="1" applyFill="1" applyAlignment="1">
      <alignment vertical="center"/>
    </xf>
    <xf numFmtId="0" fontId="5" fillId="3" borderId="0" xfId="8" applyFill="1"/>
    <xf numFmtId="0" fontId="5" fillId="3" borderId="0" xfId="8" applyFill="1" applyBorder="1"/>
    <xf numFmtId="0" fontId="221" fillId="3" borderId="0" xfId="8" applyFont="1" applyFill="1"/>
    <xf numFmtId="0" fontId="221" fillId="3" borderId="0" xfId="8" applyFont="1" applyFill="1" applyBorder="1"/>
    <xf numFmtId="10" fontId="221" fillId="3" borderId="0" xfId="13" applyNumberFormat="1" applyFont="1" applyFill="1"/>
    <xf numFmtId="0" fontId="5" fillId="3" borderId="0" xfId="8" applyFont="1" applyFill="1"/>
    <xf numFmtId="0" fontId="224" fillId="3" borderId="0" xfId="8" applyFont="1" applyFill="1"/>
    <xf numFmtId="0" fontId="224" fillId="3" borderId="0" xfId="8" applyFont="1" applyFill="1" applyBorder="1"/>
    <xf numFmtId="0" fontId="17" fillId="3" borderId="0" xfId="7" applyFont="1" applyFill="1"/>
    <xf numFmtId="0" fontId="227" fillId="3" borderId="0" xfId="8" applyFont="1" applyFill="1" applyBorder="1"/>
    <xf numFmtId="0" fontId="227" fillId="3" borderId="2" xfId="8" applyFont="1" applyFill="1" applyBorder="1"/>
    <xf numFmtId="165" fontId="228" fillId="3" borderId="2" xfId="1" applyNumberFormat="1" applyFont="1" applyFill="1" applyBorder="1" applyAlignment="1">
      <alignment vertical="center"/>
    </xf>
    <xf numFmtId="165" fontId="229" fillId="3" borderId="2" xfId="1" applyNumberFormat="1" applyFont="1" applyFill="1" applyBorder="1" applyAlignment="1">
      <alignment vertical="center"/>
    </xf>
    <xf numFmtId="0" fontId="0" fillId="0" borderId="0" xfId="0" quotePrefix="1"/>
    <xf numFmtId="165" fontId="163" fillId="0" borderId="0" xfId="12" applyNumberFormat="1" applyFont="1" applyFill="1" applyAlignment="1">
      <alignment vertical="center"/>
    </xf>
    <xf numFmtId="165" fontId="21" fillId="0" borderId="0" xfId="18" applyNumberFormat="1" applyFont="1" applyFill="1" applyBorder="1" applyAlignment="1"/>
    <xf numFmtId="165" fontId="44" fillId="0" borderId="0" xfId="12" applyNumberFormat="1" applyFont="1" applyFill="1" applyAlignment="1">
      <alignment horizontal="left" vertical="center" wrapText="1"/>
    </xf>
    <xf numFmtId="165" fontId="6" fillId="0" borderId="0" xfId="1" applyNumberFormat="1" applyFont="1" applyFill="1" applyBorder="1" applyAlignment="1">
      <alignment vertical="center"/>
    </xf>
    <xf numFmtId="0" fontId="1" fillId="0" borderId="0" xfId="2320" applyFont="1"/>
    <xf numFmtId="43" fontId="194" fillId="0" borderId="0" xfId="11" applyFont="1" applyFill="1"/>
    <xf numFmtId="178" fontId="32" fillId="0" borderId="0" xfId="11" applyNumberFormat="1" applyFont="1" applyFill="1"/>
    <xf numFmtId="165" fontId="29" fillId="0" borderId="0" xfId="10" quotePrefix="1" applyNumberFormat="1" applyFont="1" applyFill="1" applyBorder="1" applyAlignment="1">
      <alignment horizontal="left" vertical="top" wrapText="1"/>
    </xf>
    <xf numFmtId="0" fontId="44" fillId="0" borderId="0" xfId="19" applyFont="1" applyFill="1" applyAlignment="1">
      <alignment horizontal="left" vertical="justify" wrapText="1"/>
    </xf>
    <xf numFmtId="4" fontId="187" fillId="3" borderId="0" xfId="8" applyNumberFormat="1" applyFont="1" applyFill="1"/>
    <xf numFmtId="0" fontId="187" fillId="3" borderId="0" xfId="8" applyFont="1" applyFill="1"/>
    <xf numFmtId="4" fontId="187" fillId="3" borderId="0" xfId="8" applyNumberFormat="1" applyFont="1" applyFill="1" applyBorder="1"/>
    <xf numFmtId="4" fontId="224" fillId="3" borderId="0" xfId="8" applyNumberFormat="1" applyFont="1" applyFill="1" applyBorder="1"/>
    <xf numFmtId="165" fontId="222" fillId="3" borderId="0" xfId="5" quotePrefix="1" applyNumberFormat="1" applyFont="1" applyFill="1" applyBorder="1" applyAlignment="1">
      <alignment horizontal="center" vertical="center"/>
    </xf>
    <xf numFmtId="4" fontId="224" fillId="3" borderId="0" xfId="8" applyNumberFormat="1" applyFont="1" applyFill="1"/>
    <xf numFmtId="165" fontId="222" fillId="3" borderId="0" xfId="5" quotePrefix="1" applyNumberFormat="1" applyFont="1" applyFill="1" applyBorder="1" applyAlignment="1">
      <alignment horizontal="right" vertical="center"/>
    </xf>
    <xf numFmtId="165" fontId="224" fillId="3" borderId="0" xfId="8" applyNumberFormat="1" applyFont="1" applyFill="1"/>
    <xf numFmtId="165" fontId="222" fillId="3" borderId="0" xfId="5" applyNumberFormat="1" applyFont="1" applyFill="1" applyBorder="1" applyAlignment="1">
      <alignment horizontal="right" vertical="center"/>
    </xf>
    <xf numFmtId="165" fontId="225" fillId="3" borderId="0" xfId="5" applyNumberFormat="1" applyFont="1" applyFill="1" applyBorder="1" applyAlignment="1">
      <alignment horizontal="right" vertical="center"/>
    </xf>
    <xf numFmtId="165" fontId="187" fillId="3" borderId="0" xfId="8" applyNumberFormat="1" applyFont="1" applyFill="1"/>
    <xf numFmtId="165" fontId="20" fillId="3" borderId="0" xfId="5" applyNumberFormat="1" applyFont="1" applyFill="1" applyBorder="1" applyAlignment="1">
      <alignment horizontal="right" vertical="center"/>
    </xf>
    <xf numFmtId="165" fontId="222" fillId="3" borderId="0" xfId="6" applyNumberFormat="1" applyFont="1" applyFill="1" applyBorder="1" applyAlignment="1">
      <alignment horizontal="right" vertical="center"/>
    </xf>
    <xf numFmtId="165" fontId="5" fillId="3" borderId="0" xfId="8" applyNumberFormat="1" applyFill="1"/>
    <xf numFmtId="0" fontId="190" fillId="3" borderId="0" xfId="7" applyFont="1" applyFill="1" applyAlignment="1"/>
    <xf numFmtId="168" fontId="190" fillId="3" borderId="0" xfId="7" applyNumberFormat="1" applyFont="1" applyFill="1" applyAlignment="1"/>
    <xf numFmtId="0" fontId="190" fillId="3" borderId="0" xfId="7" applyFont="1" applyFill="1"/>
    <xf numFmtId="168" fontId="190" fillId="3" borderId="0" xfId="7" applyNumberFormat="1" applyFont="1" applyFill="1"/>
    <xf numFmtId="0" fontId="23" fillId="3" borderId="0" xfId="7" applyFont="1" applyFill="1"/>
    <xf numFmtId="168" fontId="23" fillId="3" borderId="0" xfId="7" applyNumberFormat="1" applyFont="1" applyFill="1"/>
    <xf numFmtId="165" fontId="46" fillId="3" borderId="0" xfId="15" applyNumberFormat="1" applyFont="1" applyFill="1" applyBorder="1" applyAlignment="1">
      <alignment vertical="center"/>
    </xf>
    <xf numFmtId="169" fontId="193" fillId="3" borderId="0" xfId="7" applyNumberFormat="1" applyFont="1" applyFill="1"/>
    <xf numFmtId="170" fontId="189" fillId="3" borderId="0" xfId="7" applyNumberFormat="1" applyFont="1" applyFill="1"/>
    <xf numFmtId="168" fontId="189" fillId="3" borderId="0" xfId="7" applyNumberFormat="1" applyFont="1" applyFill="1"/>
    <xf numFmtId="169" fontId="27" fillId="3" borderId="0" xfId="7" applyNumberFormat="1" applyFont="1" applyFill="1"/>
    <xf numFmtId="165" fontId="21" fillId="3" borderId="0" xfId="15" applyNumberFormat="1" applyFont="1" applyFill="1" applyBorder="1" applyAlignment="1">
      <alignment vertical="center"/>
    </xf>
    <xf numFmtId="170" fontId="23" fillId="3" borderId="0" xfId="7" applyNumberFormat="1" applyFont="1" applyFill="1"/>
    <xf numFmtId="165" fontId="29" fillId="3" borderId="0" xfId="12" applyNumberFormat="1" applyFont="1" applyFill="1" applyAlignment="1">
      <alignment vertical="center"/>
    </xf>
    <xf numFmtId="165" fontId="30" fillId="3" borderId="0" xfId="7" applyNumberFormat="1" applyFont="1" applyFill="1" applyBorder="1" applyAlignment="1">
      <alignment vertical="center"/>
    </xf>
    <xf numFmtId="168" fontId="31" fillId="3" borderId="0" xfId="12" applyNumberFormat="1" applyFont="1" applyFill="1" applyAlignment="1">
      <alignment vertical="center"/>
    </xf>
    <xf numFmtId="165" fontId="192" fillId="3" borderId="0" xfId="15" applyNumberFormat="1" applyFont="1" applyFill="1" applyBorder="1" applyAlignment="1">
      <alignment vertical="center"/>
    </xf>
    <xf numFmtId="0" fontId="204" fillId="3" borderId="0" xfId="0" applyFont="1" applyFill="1" applyAlignment="1">
      <alignment vertical="center"/>
    </xf>
    <xf numFmtId="0" fontId="204" fillId="3" borderId="0" xfId="0" applyFont="1" applyFill="1" applyAlignment="1">
      <alignment horizontal="justify" vertical="center"/>
    </xf>
    <xf numFmtId="0" fontId="23" fillId="3" borderId="0" xfId="7" applyFont="1" applyFill="1" applyBorder="1"/>
    <xf numFmtId="168" fontId="23" fillId="3" borderId="0" xfId="7" applyNumberFormat="1" applyFont="1" applyFill="1" applyBorder="1"/>
    <xf numFmtId="0" fontId="11" fillId="3" borderId="0" xfId="7" applyFill="1" applyBorder="1" applyAlignment="1"/>
    <xf numFmtId="0" fontId="23" fillId="3" borderId="0" xfId="7" applyFont="1" applyFill="1" applyBorder="1" applyAlignment="1"/>
    <xf numFmtId="168" fontId="23" fillId="3" borderId="0" xfId="7" applyNumberFormat="1" applyFont="1" applyFill="1" applyBorder="1" applyAlignment="1"/>
    <xf numFmtId="170" fontId="190" fillId="3" borderId="0" xfId="7" applyNumberFormat="1" applyFont="1" applyFill="1"/>
    <xf numFmtId="170" fontId="11" fillId="3" borderId="0" xfId="7" applyNumberFormat="1" applyFill="1"/>
    <xf numFmtId="165" fontId="11" fillId="3" borderId="0" xfId="7" applyNumberFormat="1" applyFill="1"/>
    <xf numFmtId="165" fontId="33" fillId="3" borderId="0" xfId="12" applyNumberFormat="1" applyFont="1" applyFill="1" applyAlignment="1" applyProtection="1">
      <alignment vertical="center"/>
      <protection locked="0"/>
    </xf>
    <xf numFmtId="168" fontId="190" fillId="3" borderId="0" xfId="18" applyNumberFormat="1" applyFont="1" applyFill="1"/>
    <xf numFmtId="0" fontId="23" fillId="3" borderId="0" xfId="18" applyFont="1" applyFill="1"/>
    <xf numFmtId="170" fontId="189" fillId="3" borderId="0" xfId="18" applyNumberFormat="1" applyFont="1" applyFill="1"/>
    <xf numFmtId="168" fontId="189" fillId="3" borderId="0" xfId="18" applyNumberFormat="1" applyFont="1" applyFill="1"/>
    <xf numFmtId="0" fontId="230" fillId="0" borderId="0" xfId="2320" applyFont="1" applyFill="1" applyAlignment="1">
      <alignment wrapText="1"/>
    </xf>
    <xf numFmtId="0" fontId="220" fillId="0" borderId="0" xfId="2320" applyFont="1" applyFill="1"/>
    <xf numFmtId="165" fontId="190" fillId="0" borderId="0" xfId="18" applyNumberFormat="1" applyFont="1" applyFill="1"/>
    <xf numFmtId="4" fontId="25" fillId="0" borderId="0" xfId="18" applyNumberFormat="1" applyFont="1" applyFill="1"/>
    <xf numFmtId="165" fontId="51" fillId="0" borderId="0" xfId="15" applyNumberFormat="1" applyFont="1" applyFill="1" applyAlignment="1">
      <alignment vertical="center"/>
    </xf>
    <xf numFmtId="43" fontId="231" fillId="0" borderId="0" xfId="42" applyFont="1" applyFill="1"/>
    <xf numFmtId="43" fontId="95" fillId="0" borderId="0" xfId="42" applyFont="1" applyFill="1"/>
    <xf numFmtId="0" fontId="231" fillId="0" borderId="0" xfId="18" applyFont="1" applyFill="1"/>
    <xf numFmtId="0" fontId="51" fillId="0" borderId="0" xfId="15" applyFont="1" applyFill="1" applyAlignment="1">
      <alignment horizontal="right" vertical="center"/>
    </xf>
    <xf numFmtId="43" fontId="51" fillId="0" borderId="0" xfId="11" applyFont="1" applyFill="1" applyAlignment="1">
      <alignment vertical="center"/>
    </xf>
    <xf numFmtId="179" fontId="51" fillId="0" borderId="0" xfId="11" applyNumberFormat="1" applyFont="1" applyFill="1" applyAlignment="1">
      <alignment vertical="center"/>
    </xf>
    <xf numFmtId="0" fontId="51" fillId="0" borderId="0" xfId="42" applyNumberFormat="1" applyFont="1" applyFill="1" applyAlignment="1">
      <alignment vertical="center"/>
    </xf>
    <xf numFmtId="165" fontId="51" fillId="0" borderId="0" xfId="15" applyNumberFormat="1" applyFont="1" applyFill="1" applyAlignment="1">
      <alignment horizontal="left" vertical="center"/>
    </xf>
    <xf numFmtId="0" fontId="232" fillId="0" borderId="0" xfId="15" applyFont="1" applyFill="1" applyAlignment="1">
      <alignment horizontal="left" vertical="center"/>
    </xf>
    <xf numFmtId="43" fontId="44" fillId="0" borderId="0" xfId="42" applyFont="1" applyFill="1" applyAlignment="1">
      <alignment vertical="center"/>
    </xf>
    <xf numFmtId="43" fontId="203" fillId="0" borderId="0" xfId="42" applyFont="1" applyFill="1"/>
    <xf numFmtId="43" fontId="233" fillId="0" borderId="0" xfId="42" applyFont="1" applyFill="1"/>
    <xf numFmtId="43" fontId="44" fillId="0" borderId="0" xfId="42" applyFont="1" applyFill="1" applyAlignment="1">
      <alignment horizontal="left" vertical="center"/>
    </xf>
    <xf numFmtId="0" fontId="44" fillId="0" borderId="0" xfId="15" applyFont="1" applyFill="1" applyAlignment="1">
      <alignment vertical="center"/>
    </xf>
    <xf numFmtId="0" fontId="44" fillId="0" borderId="0" xfId="15" applyFont="1" applyFill="1" applyAlignment="1">
      <alignment horizontal="left" vertical="center"/>
    </xf>
    <xf numFmtId="0" fontId="203" fillId="0" borderId="0" xfId="18" applyFont="1" applyFill="1"/>
    <xf numFmtId="165" fontId="44" fillId="0" borderId="0" xfId="15" applyNumberFormat="1" applyFont="1" applyFill="1" applyAlignment="1">
      <alignment vertical="center"/>
    </xf>
    <xf numFmtId="0" fontId="44" fillId="0" borderId="0" xfId="15" applyFont="1" applyFill="1" applyAlignment="1">
      <alignment horizontal="right" vertical="center"/>
    </xf>
    <xf numFmtId="43" fontId="44" fillId="0" borderId="0" xfId="11" applyFont="1" applyFill="1" applyAlignment="1">
      <alignment vertical="center"/>
    </xf>
    <xf numFmtId="179" fontId="44" fillId="0" borderId="0" xfId="11" applyNumberFormat="1" applyFont="1" applyFill="1" applyAlignment="1">
      <alignment vertical="center"/>
    </xf>
    <xf numFmtId="165" fontId="32" fillId="0" borderId="0" xfId="5" applyNumberFormat="1" applyFont="1" applyAlignment="1">
      <alignment horizontal="left" vertical="center"/>
    </xf>
    <xf numFmtId="165" fontId="31" fillId="0" borderId="0" xfId="5" applyNumberFormat="1" applyFont="1" applyAlignment="1">
      <alignment vertical="center"/>
    </xf>
    <xf numFmtId="0" fontId="218" fillId="0" borderId="0" xfId="2320" applyAlignment="1">
      <alignment horizontal="left"/>
    </xf>
    <xf numFmtId="0" fontId="60" fillId="0" borderId="0" xfId="2320" applyFont="1" applyAlignment="1">
      <alignment horizontal="left" vertical="center" wrapText="1"/>
    </xf>
    <xf numFmtId="0" fontId="60" fillId="0" borderId="0" xfId="2320" applyFont="1" applyAlignment="1">
      <alignment horizontal="left" vertical="center"/>
    </xf>
    <xf numFmtId="0" fontId="61" fillId="0" borderId="0" xfId="2320" applyFont="1" applyAlignment="1">
      <alignment horizontal="left" vertical="center"/>
    </xf>
    <xf numFmtId="0" fontId="61" fillId="0" borderId="0" xfId="2320" applyFont="1" applyFill="1" applyAlignment="1">
      <alignment horizontal="left" vertical="center"/>
    </xf>
    <xf numFmtId="0" fontId="15" fillId="0" borderId="0" xfId="2308" applyFont="1" applyAlignment="1">
      <alignment vertical="top" wrapText="1"/>
    </xf>
    <xf numFmtId="0" fontId="44" fillId="0" borderId="0" xfId="42" applyNumberFormat="1" applyFont="1" applyFill="1" applyAlignment="1">
      <alignment vertical="center"/>
    </xf>
    <xf numFmtId="165" fontId="44" fillId="0" borderId="0" xfId="15" applyNumberFormat="1" applyFont="1" applyFill="1" applyAlignment="1">
      <alignment horizontal="left" vertical="center"/>
    </xf>
    <xf numFmtId="165" fontId="235" fillId="0" borderId="0" xfId="15" applyNumberFormat="1" applyFont="1" applyFill="1" applyAlignment="1">
      <alignment vertical="center"/>
    </xf>
    <xf numFmtId="165" fontId="21" fillId="0" borderId="0" xfId="12" applyNumberFormat="1" applyFont="1" applyFill="1" applyAlignment="1">
      <alignment horizontal="left" vertical="center" wrapText="1"/>
    </xf>
    <xf numFmtId="0" fontId="60" fillId="0" borderId="0" xfId="2320" applyFont="1" applyAlignment="1">
      <alignment horizontal="left" vertical="center" wrapText="1"/>
    </xf>
    <xf numFmtId="165" fontId="24" fillId="0" borderId="0" xfId="2320" applyNumberFormat="1" applyFont="1" applyFill="1" applyBorder="1"/>
    <xf numFmtId="0" fontId="0" fillId="0" borderId="0" xfId="0" applyBorder="1"/>
    <xf numFmtId="165" fontId="1" fillId="0" borderId="0" xfId="2320" applyNumberFormat="1" applyFont="1" applyFill="1" applyBorder="1"/>
    <xf numFmtId="165" fontId="50" fillId="3" borderId="0" xfId="2320" applyNumberFormat="1" applyFont="1" applyFill="1" applyAlignment="1">
      <alignment horizontal="left" wrapText="1"/>
    </xf>
    <xf numFmtId="0" fontId="218" fillId="3" borderId="0" xfId="2320" applyFill="1"/>
    <xf numFmtId="165" fontId="218" fillId="3" borderId="0" xfId="2320" applyNumberFormat="1" applyFill="1"/>
    <xf numFmtId="165" fontId="24" fillId="3" borderId="0" xfId="2320" applyNumberFormat="1" applyFont="1" applyFill="1" applyBorder="1"/>
    <xf numFmtId="165" fontId="24" fillId="3" borderId="0" xfId="2320" applyNumberFormat="1" applyFont="1" applyFill="1"/>
    <xf numFmtId="0" fontId="218" fillId="3" borderId="0" xfId="2320" applyFill="1" applyBorder="1"/>
    <xf numFmtId="165" fontId="1" fillId="3" borderId="0" xfId="2320" applyNumberFormat="1" applyFont="1" applyFill="1" applyBorder="1"/>
    <xf numFmtId="165" fontId="0" fillId="0" borderId="0" xfId="0" applyNumberFormat="1"/>
    <xf numFmtId="187" fontId="24" fillId="0" borderId="0" xfId="2320" applyNumberFormat="1" applyFont="1" applyFill="1" applyBorder="1"/>
    <xf numFmtId="0" fontId="50" fillId="3" borderId="0" xfId="2320" applyFont="1" applyFill="1" applyAlignment="1">
      <alignment vertical="top" wrapText="1"/>
    </xf>
    <xf numFmtId="0" fontId="50" fillId="3" borderId="0" xfId="2320" applyFont="1" applyFill="1" applyAlignment="1">
      <alignment vertical="center" wrapText="1"/>
    </xf>
    <xf numFmtId="165" fontId="21" fillId="3" borderId="0" xfId="18" applyNumberFormat="1" applyFont="1" applyFill="1" applyBorder="1" applyAlignment="1"/>
    <xf numFmtId="0" fontId="21" fillId="3" borderId="0" xfId="18" applyFont="1" applyFill="1"/>
    <xf numFmtId="171" fontId="5" fillId="3" borderId="0" xfId="24" applyNumberFormat="1" applyFill="1"/>
    <xf numFmtId="175" fontId="11" fillId="3" borderId="0" xfId="21" applyNumberFormat="1" applyFont="1" applyFill="1"/>
    <xf numFmtId="175" fontId="0" fillId="3" borderId="0" xfId="21" applyNumberFormat="1" applyFont="1" applyFill="1"/>
    <xf numFmtId="165" fontId="21" fillId="0" borderId="0" xfId="7" applyNumberFormat="1" applyFont="1" applyFill="1" applyBorder="1" applyAlignment="1">
      <alignment horizontal="left" vertical="center"/>
    </xf>
    <xf numFmtId="183" fontId="0" fillId="0" borderId="0" xfId="0" applyNumberFormat="1" applyBorder="1"/>
    <xf numFmtId="170" fontId="24" fillId="3" borderId="0" xfId="2320" applyNumberFormat="1" applyFont="1" applyFill="1" applyBorder="1"/>
    <xf numFmtId="4" fontId="11" fillId="0" borderId="0" xfId="11" applyNumberFormat="1" applyFill="1" applyBorder="1"/>
    <xf numFmtId="4" fontId="22" fillId="0" borderId="0" xfId="11" applyNumberFormat="1" applyFont="1" applyFill="1" applyAlignment="1">
      <alignment horizontal="right"/>
    </xf>
    <xf numFmtId="181" fontId="218" fillId="0" borderId="0" xfId="2320" applyNumberFormat="1"/>
    <xf numFmtId="181" fontId="88" fillId="0" borderId="0" xfId="10" applyNumberFormat="1" applyFont="1" applyFill="1" applyAlignment="1">
      <alignment vertical="center"/>
    </xf>
    <xf numFmtId="181" fontId="218" fillId="0" borderId="0" xfId="2320" applyNumberFormat="1" applyFill="1"/>
    <xf numFmtId="181" fontId="218" fillId="0" borderId="0" xfId="2320" applyNumberFormat="1" applyFill="1" applyAlignment="1">
      <alignment vertical="center" wrapText="1"/>
    </xf>
    <xf numFmtId="4" fontId="46" fillId="0" borderId="0" xfId="11" applyNumberFormat="1" applyFont="1" applyFill="1" applyAlignment="1">
      <alignment horizontal="right"/>
    </xf>
    <xf numFmtId="185" fontId="218" fillId="3" borderId="0" xfId="2320" applyNumberFormat="1" applyFill="1"/>
    <xf numFmtId="184" fontId="218" fillId="0" borderId="0" xfId="2320" applyNumberFormat="1" applyFill="1"/>
    <xf numFmtId="172" fontId="24" fillId="3" borderId="0" xfId="2320" applyNumberFormat="1" applyFont="1" applyFill="1" applyBorder="1"/>
    <xf numFmtId="176" fontId="192" fillId="0" borderId="0" xfId="11" applyNumberFormat="1" applyFont="1" applyFill="1"/>
    <xf numFmtId="0" fontId="29" fillId="0" borderId="0" xfId="9" applyFont="1" applyFill="1" applyProtection="1">
      <protection locked="0"/>
    </xf>
    <xf numFmtId="0" fontId="205" fillId="0" borderId="0" xfId="19" applyFont="1" applyFill="1" applyAlignment="1">
      <alignment horizontal="left" vertical="center" wrapText="1"/>
    </xf>
    <xf numFmtId="165" fontId="29" fillId="0" borderId="0" xfId="10" applyNumberFormat="1" applyFont="1" applyFill="1" applyBorder="1" applyAlignment="1">
      <alignment horizontal="left" vertical="top" wrapText="1" indent="1"/>
    </xf>
    <xf numFmtId="165" fontId="51" fillId="0" borderId="0" xfId="16" applyNumberFormat="1" applyFont="1" applyFill="1" applyBorder="1" applyAlignment="1">
      <alignment vertical="center"/>
    </xf>
    <xf numFmtId="181" fontId="51" fillId="0" borderId="0" xfId="19" applyNumberFormat="1" applyFont="1" applyFill="1"/>
    <xf numFmtId="165" fontId="21" fillId="0" borderId="0" xfId="10" applyNumberFormat="1" applyFont="1" applyFill="1" applyBorder="1" applyAlignment="1">
      <alignment vertical="center"/>
    </xf>
    <xf numFmtId="0" fontId="164" fillId="0" borderId="0" xfId="18" applyFont="1" applyFill="1"/>
    <xf numFmtId="165" fontId="24" fillId="3" borderId="0" xfId="15" applyNumberFormat="1" applyFont="1" applyFill="1" applyBorder="1" applyAlignment="1">
      <alignment vertical="center"/>
    </xf>
    <xf numFmtId="172" fontId="11" fillId="3" borderId="0" xfId="7" applyNumberFormat="1" applyFill="1"/>
    <xf numFmtId="165" fontId="27" fillId="3" borderId="0" xfId="7" applyNumberFormat="1" applyFont="1" applyFill="1" applyBorder="1"/>
    <xf numFmtId="165" fontId="21" fillId="0" borderId="0" xfId="12" applyNumberFormat="1" applyFont="1" applyFill="1" applyAlignment="1">
      <alignment horizontal="left" vertical="center" wrapText="1"/>
    </xf>
    <xf numFmtId="165" fontId="44" fillId="0" borderId="0" xfId="12" applyNumberFormat="1" applyFont="1" applyFill="1" applyAlignment="1">
      <alignment horizontal="left" vertical="center" wrapText="1"/>
    </xf>
    <xf numFmtId="165" fontId="21" fillId="0" borderId="0" xfId="12" applyNumberFormat="1" applyFont="1" applyFill="1" applyAlignment="1">
      <alignment horizontal="left" vertical="center" wrapText="1"/>
    </xf>
    <xf numFmtId="165" fontId="44" fillId="0" borderId="0" xfId="12" applyNumberFormat="1" applyFont="1" applyFill="1" applyAlignment="1">
      <alignment horizontal="left" vertical="center" wrapText="1"/>
    </xf>
    <xf numFmtId="165" fontId="11" fillId="0" borderId="0" xfId="18" applyNumberFormat="1" applyFill="1"/>
    <xf numFmtId="165" fontId="21" fillId="3" borderId="0" xfId="18" applyNumberFormat="1" applyFont="1" applyFill="1"/>
    <xf numFmtId="185" fontId="218" fillId="0" borderId="0" xfId="2320" applyNumberFormat="1" applyFill="1"/>
    <xf numFmtId="0" fontId="50" fillId="3" borderId="0" xfId="2320" applyFont="1" applyFill="1" applyAlignment="1">
      <alignment vertical="center"/>
    </xf>
    <xf numFmtId="0" fontId="0" fillId="3" borderId="0" xfId="0" applyFill="1"/>
    <xf numFmtId="165" fontId="239" fillId="3" borderId="102" xfId="1" applyNumberFormat="1" applyFont="1" applyFill="1" applyBorder="1" applyAlignment="1">
      <alignment vertical="center"/>
    </xf>
    <xf numFmtId="0" fontId="237" fillId="0" borderId="98" xfId="0" applyFont="1" applyFill="1" applyBorder="1" applyAlignment="1">
      <alignment vertical="center" wrapText="1"/>
    </xf>
    <xf numFmtId="0" fontId="236" fillId="0" borderId="0" xfId="0" applyFont="1" applyFill="1" applyAlignment="1">
      <alignment vertical="center" wrapText="1"/>
    </xf>
    <xf numFmtId="0" fontId="48" fillId="0" borderId="0" xfId="0" quotePrefix="1" applyFont="1" applyFill="1" applyAlignment="1">
      <alignment horizontal="left" wrapText="1"/>
    </xf>
    <xf numFmtId="0" fontId="21" fillId="0" borderId="0" xfId="0" quotePrefix="1" applyFont="1" applyFill="1" applyAlignment="1">
      <alignment horizontal="justify" vertical="center" wrapText="1"/>
    </xf>
    <xf numFmtId="0" fontId="48" fillId="0" borderId="0" xfId="0" quotePrefix="1" applyFont="1" applyFill="1" applyAlignment="1">
      <alignment horizontal="justify" wrapText="1"/>
    </xf>
    <xf numFmtId="0" fontId="238" fillId="0" borderId="0" xfId="0" applyFont="1" applyFill="1" applyAlignment="1">
      <alignment horizontal="left" vertical="top"/>
    </xf>
    <xf numFmtId="0" fontId="40" fillId="0" borderId="0" xfId="0" quotePrefix="1" applyFont="1" applyFill="1" applyAlignment="1">
      <alignment horizontal="justify" vertical="center" wrapText="1"/>
    </xf>
    <xf numFmtId="3" fontId="29" fillId="0" borderId="0" xfId="11" applyNumberFormat="1" applyFont="1" applyFill="1" applyAlignment="1" applyProtection="1">
      <alignment vertical="center"/>
      <protection locked="0"/>
    </xf>
    <xf numFmtId="176" fontId="29" fillId="0" borderId="0" xfId="11" applyNumberFormat="1" applyFont="1" applyFill="1" applyAlignment="1" applyProtection="1">
      <alignment vertical="center"/>
      <protection locked="0"/>
    </xf>
    <xf numFmtId="0" fontId="195" fillId="0" borderId="0" xfId="41" applyFont="1" applyFill="1" applyBorder="1"/>
    <xf numFmtId="0" fontId="194" fillId="0" borderId="0" xfId="18" applyFont="1" applyFill="1" applyBorder="1"/>
    <xf numFmtId="4" fontId="21" fillId="0" borderId="0" xfId="18" applyNumberFormat="1" applyFont="1" applyFill="1"/>
    <xf numFmtId="0" fontId="40" fillId="0" borderId="0" xfId="19" quotePrefix="1" applyFont="1" applyFill="1" applyAlignment="1">
      <alignment horizontal="left" vertical="top" wrapText="1"/>
    </xf>
    <xf numFmtId="0" fontId="5" fillId="0" borderId="0" xfId="8" applyFill="1"/>
    <xf numFmtId="165" fontId="5" fillId="0" borderId="0" xfId="8" applyNumberFormat="1" applyFill="1"/>
    <xf numFmtId="165" fontId="51" fillId="0" borderId="0" xfId="12" applyNumberFormat="1" applyFont="1" applyFill="1" applyAlignment="1">
      <alignment horizontal="left" vertical="center" wrapText="1"/>
    </xf>
    <xf numFmtId="183" fontId="40" fillId="0" borderId="0" xfId="19" applyNumberFormat="1" applyFont="1" applyFill="1"/>
    <xf numFmtId="4" fontId="11" fillId="0" borderId="0" xfId="22" applyNumberFormat="1" applyFill="1" applyBorder="1"/>
    <xf numFmtId="175" fontId="29" fillId="3" borderId="0" xfId="21" applyNumberFormat="1" applyFont="1" applyFill="1" applyAlignment="1">
      <alignment vertical="center"/>
    </xf>
    <xf numFmtId="172" fontId="40" fillId="0" borderId="0" xfId="19" applyNumberFormat="1" applyFont="1" applyFill="1"/>
    <xf numFmtId="0" fontId="4" fillId="0" borderId="0" xfId="19" applyFont="1" applyFill="1" applyAlignment="1">
      <alignment horizontal="left" vertical="top" wrapText="1"/>
    </xf>
    <xf numFmtId="172" fontId="50" fillId="3" borderId="0" xfId="30" applyNumberFormat="1" applyFont="1" applyFill="1"/>
    <xf numFmtId="165" fontId="24" fillId="0" borderId="0" xfId="15" applyNumberFormat="1" applyFont="1" applyFill="1" applyBorder="1" applyAlignment="1">
      <alignment vertical="center"/>
    </xf>
    <xf numFmtId="165" fontId="21" fillId="0" borderId="0" xfId="16" applyNumberFormat="1" applyFont="1" applyFill="1" applyBorder="1" applyAlignment="1">
      <alignment vertical="top"/>
    </xf>
    <xf numFmtId="0" fontId="85" fillId="0" borderId="0" xfId="18" applyFont="1" applyFill="1" applyAlignment="1">
      <alignment vertical="center"/>
    </xf>
    <xf numFmtId="0" fontId="86" fillId="0" borderId="0" xfId="18" applyFont="1" applyFill="1" applyAlignment="1">
      <alignment horizontal="left" vertical="center"/>
    </xf>
    <xf numFmtId="43" fontId="234" fillId="0" borderId="0" xfId="42" applyFont="1" applyFill="1" applyAlignment="1">
      <alignment vertical="center"/>
    </xf>
    <xf numFmtId="43" fontId="234" fillId="0" borderId="0" xfId="42" applyFont="1" applyFill="1" applyAlignment="1">
      <alignment horizontal="left" vertical="center"/>
    </xf>
    <xf numFmtId="43" fontId="44" fillId="0" borderId="0" xfId="42" applyFont="1" applyFill="1" applyBorder="1" applyAlignment="1">
      <alignment vertical="center"/>
    </xf>
    <xf numFmtId="0" fontId="11" fillId="0" borderId="0" xfId="18" applyFill="1" applyAlignment="1">
      <alignment wrapText="1"/>
    </xf>
    <xf numFmtId="0" fontId="11" fillId="0" borderId="0" xfId="7" applyFill="1"/>
    <xf numFmtId="0" fontId="4" fillId="0" borderId="0" xfId="7" applyFont="1" applyFill="1"/>
    <xf numFmtId="0" fontId="11" fillId="0" borderId="0" xfId="7" applyFill="1" applyBorder="1"/>
    <xf numFmtId="165" fontId="11" fillId="0" borderId="0" xfId="7" applyNumberFormat="1" applyFill="1"/>
    <xf numFmtId="172" fontId="11" fillId="0" borderId="0" xfId="7" applyNumberFormat="1" applyFill="1"/>
    <xf numFmtId="43" fontId="191" fillId="3" borderId="0" xfId="42" applyFont="1" applyFill="1"/>
    <xf numFmtId="0" fontId="50" fillId="0" borderId="0" xfId="0" applyFont="1" applyFill="1"/>
    <xf numFmtId="165" fontId="46" fillId="0" borderId="0" xfId="14" applyNumberFormat="1" applyFont="1" applyFill="1"/>
    <xf numFmtId="165" fontId="21" fillId="0" borderId="0" xfId="16" applyNumberFormat="1" applyFont="1" applyFill="1" applyBorder="1" applyAlignment="1">
      <alignment horizontal="left" vertical="center" indent="1"/>
    </xf>
    <xf numFmtId="165" fontId="21" fillId="0" borderId="0" xfId="16" applyNumberFormat="1" applyFont="1" applyFill="1" applyBorder="1" applyAlignment="1">
      <alignment horizontal="left" vertical="center" indent="2"/>
    </xf>
    <xf numFmtId="165" fontId="21" fillId="0" borderId="0" xfId="16" applyNumberFormat="1" applyFont="1" applyFill="1" applyBorder="1" applyAlignment="1">
      <alignment vertical="center"/>
    </xf>
    <xf numFmtId="165" fontId="29" fillId="0" borderId="0" xfId="12" applyNumberFormat="1" applyFont="1" applyFill="1" applyAlignment="1">
      <alignment vertical="center"/>
    </xf>
    <xf numFmtId="165" fontId="29" fillId="0" borderId="0" xfId="12" applyNumberFormat="1" applyFont="1" applyFill="1" applyBorder="1" applyAlignment="1">
      <alignment vertical="center"/>
    </xf>
    <xf numFmtId="165" fontId="29" fillId="0" borderId="0" xfId="12" applyNumberFormat="1" applyFont="1" applyFill="1" applyBorder="1" applyAlignment="1">
      <alignment horizontal="right" vertical="center"/>
    </xf>
    <xf numFmtId="165" fontId="21" fillId="0" borderId="0" xfId="15" applyNumberFormat="1" applyFont="1" applyFill="1" applyBorder="1" applyAlignment="1">
      <alignment horizontal="left" vertical="center" indent="1"/>
    </xf>
    <xf numFmtId="43" fontId="0" fillId="0" borderId="0" xfId="42" applyFont="1"/>
    <xf numFmtId="43" fontId="73" fillId="0" borderId="0" xfId="42" applyFont="1" applyFill="1" applyAlignment="1">
      <alignment vertical="center"/>
    </xf>
    <xf numFmtId="165" fontId="29" fillId="0" borderId="0" xfId="7" applyNumberFormat="1" applyFont="1" applyFill="1" applyBorder="1" applyAlignment="1" applyProtection="1">
      <alignment horizontal="left" vertical="center" indent="2"/>
      <protection locked="0"/>
    </xf>
    <xf numFmtId="165" fontId="29" fillId="0" borderId="0" xfId="7" applyNumberFormat="1" applyFont="1" applyFill="1" applyBorder="1" applyAlignment="1" applyProtection="1">
      <alignment horizontal="left" vertical="center" indent="1"/>
      <protection locked="0"/>
    </xf>
    <xf numFmtId="165" fontId="35" fillId="0" borderId="0" xfId="40" applyNumberFormat="1" applyFont="1" applyFill="1" applyBorder="1" applyAlignment="1"/>
    <xf numFmtId="0" fontId="196" fillId="0" borderId="0" xfId="40" applyFont="1" applyFill="1" applyBorder="1" applyAlignment="1"/>
    <xf numFmtId="165" fontId="191" fillId="0" borderId="0" xfId="40" applyNumberFormat="1" applyFont="1" applyFill="1" applyBorder="1" applyAlignment="1"/>
    <xf numFmtId="165" fontId="188" fillId="0" borderId="0" xfId="5" applyNumberFormat="1" applyFont="1" applyFill="1" applyBorder="1" applyAlignment="1">
      <alignment horizontal="right"/>
    </xf>
    <xf numFmtId="165" fontId="35" fillId="0" borderId="0" xfId="5" applyNumberFormat="1" applyFont="1" applyFill="1" applyBorder="1" applyAlignment="1">
      <alignment horizontal="right"/>
    </xf>
    <xf numFmtId="0" fontId="37" fillId="0" borderId="8" xfId="40" applyFont="1" applyFill="1" applyBorder="1"/>
    <xf numFmtId="165" fontId="30" fillId="0" borderId="32" xfId="40" applyNumberFormat="1" applyFont="1" applyFill="1" applyBorder="1" applyAlignment="1">
      <alignment vertical="center"/>
    </xf>
    <xf numFmtId="0" fontId="37" fillId="0" borderId="0" xfId="40" applyFont="1" applyFill="1" applyBorder="1"/>
    <xf numFmtId="165" fontId="30" fillId="0" borderId="0" xfId="40" applyNumberFormat="1" applyFont="1" applyFill="1" applyBorder="1" applyAlignment="1">
      <alignment vertical="center"/>
    </xf>
    <xf numFmtId="165" fontId="29" fillId="0" borderId="7" xfId="12" quotePrefix="1" applyNumberFormat="1" applyFont="1" applyFill="1" applyBorder="1" applyAlignment="1">
      <alignment horizontal="center" vertical="center" wrapText="1"/>
    </xf>
    <xf numFmtId="165" fontId="29" fillId="0" borderId="0" xfId="40" applyNumberFormat="1" applyFont="1" applyFill="1" applyBorder="1" applyAlignment="1">
      <alignment vertical="center"/>
    </xf>
    <xf numFmtId="165" fontId="29" fillId="0" borderId="6" xfId="12" quotePrefix="1" applyNumberFormat="1" applyFont="1" applyFill="1" applyBorder="1" applyAlignment="1">
      <alignment horizontal="center" vertical="center" wrapText="1"/>
    </xf>
    <xf numFmtId="165" fontId="29" fillId="0" borderId="0" xfId="40" applyNumberFormat="1" applyFont="1" applyFill="1" applyBorder="1" applyAlignment="1">
      <alignment horizontal="left" vertical="center" indent="1"/>
    </xf>
    <xf numFmtId="165" fontId="35" fillId="0" borderId="32" xfId="40" applyNumberFormat="1" applyFont="1" applyFill="1" applyBorder="1" applyAlignment="1">
      <alignment vertical="center"/>
    </xf>
    <xf numFmtId="0" fontId="196" fillId="0" borderId="32" xfId="40" applyFont="1" applyFill="1" applyBorder="1"/>
    <xf numFmtId="165" fontId="35" fillId="0" borderId="32" xfId="12" applyNumberFormat="1" applyFont="1" applyFill="1" applyBorder="1" applyAlignment="1">
      <alignment vertical="center"/>
    </xf>
    <xf numFmtId="165" fontId="35" fillId="0" borderId="32" xfId="12" applyNumberFormat="1" applyFont="1" applyFill="1" applyBorder="1" applyAlignment="1">
      <alignment horizontal="right" vertical="center"/>
    </xf>
    <xf numFmtId="165" fontId="35" fillId="0" borderId="31" xfId="40" applyNumberFormat="1" applyFont="1" applyFill="1" applyBorder="1" applyAlignment="1">
      <alignment vertical="center"/>
    </xf>
    <xf numFmtId="0" fontId="196" fillId="0" borderId="31" xfId="40" applyFont="1" applyFill="1" applyBorder="1"/>
    <xf numFmtId="165" fontId="35" fillId="0" borderId="31" xfId="12" applyNumberFormat="1" applyFont="1" applyFill="1" applyBorder="1" applyAlignment="1">
      <alignment vertical="center"/>
    </xf>
    <xf numFmtId="165" fontId="35" fillId="0" borderId="31" xfId="12" applyNumberFormat="1" applyFont="1" applyFill="1" applyBorder="1" applyAlignment="1">
      <alignment horizontal="right" vertical="center"/>
    </xf>
    <xf numFmtId="0" fontId="37" fillId="0" borderId="0" xfId="40" applyFont="1" applyFill="1"/>
    <xf numFmtId="165" fontId="46" fillId="0" borderId="0" xfId="15" applyNumberFormat="1" applyFont="1" applyFill="1" applyBorder="1" applyAlignment="1">
      <alignment horizontal="right" vertical="center"/>
    </xf>
    <xf numFmtId="185" fontId="0" fillId="0" borderId="0" xfId="0" applyNumberFormat="1"/>
    <xf numFmtId="0" fontId="11" fillId="0" borderId="0" xfId="18" applyFill="1" applyAlignment="1">
      <alignment wrapText="1"/>
    </xf>
    <xf numFmtId="165" fontId="46" fillId="0" borderId="0" xfId="15" applyNumberFormat="1" applyFont="1" applyFill="1" applyAlignment="1">
      <alignment horizontal="right"/>
    </xf>
    <xf numFmtId="165" fontId="46" fillId="0" borderId="7" xfId="15" applyNumberFormat="1" applyFont="1" applyFill="1" applyBorder="1" applyAlignment="1">
      <alignment vertical="center"/>
    </xf>
    <xf numFmtId="165" fontId="21" fillId="0" borderId="6" xfId="16" applyNumberFormat="1" applyFont="1" applyFill="1" applyBorder="1" applyAlignment="1">
      <alignment horizontal="right" vertical="center"/>
    </xf>
    <xf numFmtId="165" fontId="21" fillId="0" borderId="0" xfId="16" applyNumberFormat="1" applyFont="1" applyFill="1" applyBorder="1" applyAlignment="1">
      <alignment horizontal="right" vertical="center"/>
    </xf>
    <xf numFmtId="165" fontId="21" fillId="0" borderId="6" xfId="16" applyNumberFormat="1" applyFont="1" applyFill="1" applyBorder="1" applyAlignment="1">
      <alignment horizontal="left" vertical="center" indent="2"/>
    </xf>
    <xf numFmtId="0" fontId="21" fillId="0" borderId="9" xfId="16" quotePrefix="1" applyNumberFormat="1" applyFont="1" applyFill="1" applyBorder="1" applyAlignment="1">
      <alignment horizontal="center" vertical="center"/>
    </xf>
    <xf numFmtId="0" fontId="1" fillId="0" borderId="96" xfId="18" applyFont="1" applyFill="1" applyBorder="1" applyAlignment="1">
      <alignment horizontal="center" vertical="center" wrapText="1"/>
    </xf>
    <xf numFmtId="169" fontId="193" fillId="0" borderId="0" xfId="18" applyNumberFormat="1" applyFont="1" applyFill="1"/>
    <xf numFmtId="165" fontId="21" fillId="0" borderId="0" xfId="15" applyNumberFormat="1" applyFont="1" applyFill="1" applyBorder="1" applyAlignment="1">
      <alignment horizontal="right" vertical="center"/>
    </xf>
    <xf numFmtId="169" fontId="27" fillId="0" borderId="0" xfId="18" applyNumberFormat="1" applyFont="1" applyFill="1"/>
    <xf numFmtId="165" fontId="29" fillId="0" borderId="0" xfId="12" applyNumberFormat="1" applyFont="1" applyFill="1" applyBorder="1" applyAlignment="1">
      <alignment horizontal="left" vertical="center" indent="1"/>
    </xf>
    <xf numFmtId="165" fontId="21" fillId="0" borderId="0" xfId="15" quotePrefix="1" applyNumberFormat="1" applyFont="1" applyFill="1" applyBorder="1" applyAlignment="1">
      <alignment horizontal="right" vertical="center"/>
    </xf>
    <xf numFmtId="165" fontId="30" fillId="0" borderId="0" xfId="18" applyNumberFormat="1" applyFont="1" applyFill="1" applyBorder="1" applyAlignment="1">
      <alignment vertical="center"/>
    </xf>
    <xf numFmtId="165" fontId="30" fillId="0" borderId="0" xfId="18" applyNumberFormat="1" applyFont="1" applyFill="1" applyBorder="1" applyAlignment="1">
      <alignment horizontal="right" vertical="center"/>
    </xf>
    <xf numFmtId="165" fontId="46" fillId="0" borderId="7" xfId="15" applyNumberFormat="1" applyFont="1" applyFill="1" applyBorder="1" applyAlignment="1">
      <alignment horizontal="right" vertical="center"/>
    </xf>
    <xf numFmtId="165" fontId="29" fillId="0" borderId="0" xfId="18" applyNumberFormat="1" applyFont="1" applyFill="1" applyBorder="1" applyAlignment="1">
      <alignment vertical="center"/>
    </xf>
    <xf numFmtId="165" fontId="29" fillId="0" borderId="0" xfId="18" applyNumberFormat="1" applyFont="1" applyFill="1" applyBorder="1" applyAlignment="1">
      <alignment horizontal="right" vertical="center"/>
    </xf>
    <xf numFmtId="0" fontId="32" fillId="0" borderId="0" xfId="18" applyFont="1" applyFill="1" applyAlignment="1">
      <alignment horizontal="right"/>
    </xf>
    <xf numFmtId="165" fontId="30" fillId="0" borderId="0" xfId="9" applyNumberFormat="1" applyFont="1" applyFill="1" applyAlignment="1" applyProtection="1">
      <alignment vertical="center" wrapText="1"/>
      <protection locked="0"/>
    </xf>
    <xf numFmtId="165" fontId="21" fillId="0" borderId="0" xfId="12" applyNumberFormat="1" applyFont="1" applyFill="1" applyBorder="1" applyAlignment="1" applyProtection="1">
      <alignment vertical="center" wrapText="1"/>
      <protection locked="0"/>
    </xf>
    <xf numFmtId="165" fontId="29" fillId="0" borderId="0" xfId="9" applyNumberFormat="1" applyFont="1" applyFill="1" applyAlignment="1" applyProtection="1">
      <alignment vertical="center" wrapText="1"/>
      <protection locked="0"/>
    </xf>
    <xf numFmtId="165" fontId="212" fillId="0" borderId="0" xfId="12" applyNumberFormat="1" applyFont="1" applyFill="1" applyBorder="1" applyAlignment="1"/>
    <xf numFmtId="0" fontId="214" fillId="0" borderId="0" xfId="0" applyFont="1" applyFill="1" applyBorder="1"/>
    <xf numFmtId="0" fontId="214" fillId="0" borderId="0" xfId="0" applyFont="1" applyFill="1" applyBorder="1" applyAlignment="1">
      <alignment horizontal="left"/>
    </xf>
    <xf numFmtId="165" fontId="212" fillId="0" borderId="0" xfId="12" applyNumberFormat="1" applyFont="1" applyFill="1" applyBorder="1" applyAlignment="1">
      <alignment horizontal="right"/>
    </xf>
    <xf numFmtId="0" fontId="40" fillId="0" borderId="32" xfId="0" applyFont="1" applyFill="1" applyBorder="1" applyAlignment="1">
      <alignment horizontal="center" vertical="center" wrapText="1"/>
    </xf>
    <xf numFmtId="171" fontId="21" fillId="0" borderId="32" xfId="0" applyNumberFormat="1" applyFont="1" applyFill="1" applyBorder="1" applyAlignment="1">
      <alignment horizontal="center" vertical="center" wrapText="1"/>
    </xf>
    <xf numFmtId="0" fontId="21" fillId="0" borderId="31" xfId="0" quotePrefix="1" applyFont="1" applyFill="1" applyBorder="1" applyAlignment="1">
      <alignment horizontal="center" vertical="center"/>
    </xf>
    <xf numFmtId="171" fontId="21" fillId="0" borderId="31" xfId="0" quotePrefix="1" applyNumberFormat="1" applyFont="1" applyFill="1" applyBorder="1" applyAlignment="1">
      <alignment horizontal="center" vertical="center"/>
    </xf>
    <xf numFmtId="0" fontId="213" fillId="0" borderId="0" xfId="0" applyFont="1" applyFill="1"/>
    <xf numFmtId="0" fontId="50" fillId="0" borderId="82" xfId="0" applyFont="1" applyFill="1" applyBorder="1" applyAlignment="1">
      <alignment horizontal="left" indent="2"/>
    </xf>
    <xf numFmtId="243" fontId="40" fillId="0" borderId="82" xfId="0" quotePrefix="1" applyNumberFormat="1" applyFont="1" applyFill="1" applyBorder="1" applyAlignment="1">
      <alignment horizontal="center"/>
    </xf>
    <xf numFmtId="243" fontId="40" fillId="0" borderId="81" xfId="0" quotePrefix="1" applyNumberFormat="1" applyFont="1" applyFill="1" applyBorder="1" applyAlignment="1">
      <alignment horizontal="center"/>
    </xf>
    <xf numFmtId="0" fontId="213" fillId="0" borderId="0" xfId="0" applyFont="1" applyFill="1" applyBorder="1"/>
    <xf numFmtId="0" fontId="50" fillId="0" borderId="82" xfId="0" applyFont="1" applyFill="1" applyBorder="1"/>
    <xf numFmtId="0" fontId="213" fillId="0" borderId="82" xfId="0" applyFont="1" applyFill="1" applyBorder="1" applyAlignment="1">
      <alignment horizontal="left"/>
    </xf>
    <xf numFmtId="243" fontId="48" fillId="0" borderId="82" xfId="0" quotePrefix="1" applyNumberFormat="1" applyFont="1" applyFill="1" applyBorder="1" applyAlignment="1">
      <alignment horizontal="center"/>
    </xf>
    <xf numFmtId="0" fontId="213" fillId="0" borderId="82" xfId="0" applyFont="1" applyFill="1" applyBorder="1" applyAlignment="1">
      <alignment horizontal="left" indent="1"/>
    </xf>
    <xf numFmtId="0" fontId="50" fillId="0" borderId="81" xfId="0" applyFont="1" applyFill="1" applyBorder="1" applyAlignment="1">
      <alignment horizontal="left" indent="2"/>
    </xf>
    <xf numFmtId="0" fontId="50" fillId="0" borderId="0" xfId="0" applyFont="1" applyFill="1" applyBorder="1"/>
    <xf numFmtId="0" fontId="213" fillId="0" borderId="82" xfId="0" applyFont="1" applyFill="1" applyBorder="1"/>
    <xf numFmtId="243" fontId="48" fillId="0" borderId="81" xfId="0" quotePrefix="1" applyNumberFormat="1" applyFont="1" applyFill="1" applyBorder="1" applyAlignment="1">
      <alignment horizontal="center"/>
    </xf>
    <xf numFmtId="0" fontId="29" fillId="0" borderId="81" xfId="0" applyFont="1" applyFill="1" applyBorder="1" applyAlignment="1">
      <alignment horizontal="left" indent="2"/>
    </xf>
    <xf numFmtId="243" fontId="21" fillId="0" borderId="81" xfId="0" quotePrefix="1" applyNumberFormat="1" applyFont="1" applyFill="1" applyBorder="1" applyAlignment="1">
      <alignment horizontal="center"/>
    </xf>
    <xf numFmtId="0" fontId="50" fillId="0" borderId="81" xfId="0" applyFont="1" applyFill="1" applyBorder="1" applyAlignment="1">
      <alignment horizontal="left" vertical="center" wrapText="1" indent="2"/>
    </xf>
    <xf numFmtId="0" fontId="50" fillId="0" borderId="81" xfId="0" applyFont="1" applyFill="1" applyBorder="1" applyAlignment="1">
      <alignment horizontal="left" vertical="top" wrapText="1" indent="2"/>
    </xf>
    <xf numFmtId="0" fontId="213" fillId="0" borderId="81" xfId="0" applyFont="1" applyFill="1" applyBorder="1"/>
    <xf numFmtId="0" fontId="50" fillId="0" borderId="81" xfId="0" applyFont="1" applyFill="1" applyBorder="1"/>
    <xf numFmtId="243" fontId="48" fillId="0" borderId="0" xfId="0" quotePrefix="1" applyNumberFormat="1" applyFont="1" applyFill="1" applyBorder="1" applyAlignment="1">
      <alignment horizontal="center"/>
    </xf>
    <xf numFmtId="0" fontId="213" fillId="0" borderId="83" xfId="0" applyFont="1" applyFill="1" applyBorder="1" applyAlignment="1">
      <alignment vertical="top" wrapText="1"/>
    </xf>
    <xf numFmtId="0" fontId="213" fillId="0" borderId="0" xfId="0" applyFont="1" applyFill="1" applyAlignment="1">
      <alignment vertical="top" wrapText="1"/>
    </xf>
    <xf numFmtId="243" fontId="48" fillId="0" borderId="83" xfId="0" quotePrefix="1" applyNumberFormat="1" applyFont="1" applyFill="1" applyBorder="1" applyAlignment="1">
      <alignment horizontal="center"/>
    </xf>
    <xf numFmtId="179" fontId="212" fillId="0" borderId="73" xfId="42" applyNumberFormat="1" applyFont="1" applyFill="1" applyBorder="1"/>
    <xf numFmtId="0" fontId="89" fillId="0" borderId="0" xfId="0" applyFont="1" applyFill="1" applyBorder="1"/>
    <xf numFmtId="0" fontId="40" fillId="0" borderId="31" xfId="0" quotePrefix="1" applyFont="1" applyFill="1" applyBorder="1" applyAlignment="1">
      <alignment horizontal="center" vertical="center"/>
    </xf>
    <xf numFmtId="171" fontId="40" fillId="0" borderId="31" xfId="0" quotePrefix="1" applyNumberFormat="1" applyFont="1" applyFill="1" applyBorder="1" applyAlignment="1">
      <alignment horizontal="center" vertical="center"/>
    </xf>
    <xf numFmtId="0" fontId="213" fillId="0" borderId="80" xfId="0" applyFont="1" applyFill="1" applyBorder="1"/>
    <xf numFmtId="0" fontId="50" fillId="0" borderId="80" xfId="0" applyFont="1" applyFill="1" applyBorder="1"/>
    <xf numFmtId="243" fontId="40" fillId="0" borderId="80" xfId="0" quotePrefix="1" applyNumberFormat="1" applyFont="1" applyFill="1" applyBorder="1" applyAlignment="1">
      <alignment horizontal="center"/>
    </xf>
    <xf numFmtId="0" fontId="213" fillId="0" borderId="79" xfId="0" applyFont="1" applyFill="1" applyBorder="1"/>
    <xf numFmtId="0" fontId="50" fillId="0" borderId="79" xfId="0" applyFont="1" applyFill="1" applyBorder="1"/>
    <xf numFmtId="243" fontId="40" fillId="0" borderId="79" xfId="0" quotePrefix="1" applyNumberFormat="1" applyFont="1" applyFill="1" applyBorder="1" applyAlignment="1">
      <alignment horizontal="center"/>
    </xf>
    <xf numFmtId="0" fontId="213" fillId="0" borderId="79" xfId="0" applyFont="1" applyFill="1" applyBorder="1" applyAlignment="1">
      <alignment wrapText="1"/>
    </xf>
    <xf numFmtId="0" fontId="50" fillId="0" borderId="79" xfId="0" applyFont="1" applyFill="1" applyBorder="1" applyAlignment="1">
      <alignment wrapText="1"/>
    </xf>
    <xf numFmtId="0" fontId="213" fillId="0" borderId="78" xfId="0" applyFont="1" applyFill="1" applyBorder="1"/>
    <xf numFmtId="0" fontId="50" fillId="0" borderId="78" xfId="0" applyFont="1" applyFill="1" applyBorder="1"/>
    <xf numFmtId="243" fontId="40" fillId="0" borderId="78" xfId="0" quotePrefix="1" applyNumberFormat="1" applyFont="1" applyFill="1" applyBorder="1" applyAlignment="1">
      <alignment horizontal="center"/>
    </xf>
    <xf numFmtId="179" fontId="212" fillId="0" borderId="73" xfId="42" applyNumberFormat="1" applyFont="1" applyFill="1" applyBorder="1" applyAlignment="1">
      <alignment horizontal="center"/>
    </xf>
    <xf numFmtId="179" fontId="212" fillId="0" borderId="76" xfId="42" applyNumberFormat="1" applyFont="1" applyFill="1" applyBorder="1" applyAlignment="1">
      <alignment horizontal="center"/>
    </xf>
    <xf numFmtId="0" fontId="212" fillId="0" borderId="0" xfId="0" applyFont="1" applyFill="1" applyBorder="1" applyAlignment="1">
      <alignment horizontal="left"/>
    </xf>
    <xf numFmtId="179" fontId="212" fillId="0" borderId="0" xfId="42" applyNumberFormat="1" applyFont="1" applyFill="1" applyBorder="1"/>
    <xf numFmtId="179" fontId="212" fillId="0" borderId="0" xfId="42" applyNumberFormat="1" applyFont="1" applyFill="1" applyBorder="1" applyAlignment="1">
      <alignment horizontal="center"/>
    </xf>
    <xf numFmtId="171" fontId="212" fillId="0" borderId="0" xfId="42" applyNumberFormat="1" applyFont="1" applyFill="1" applyBorder="1" applyAlignment="1">
      <alignment horizontal="left" vertical="center" wrapText="1" indent="5"/>
    </xf>
    <xf numFmtId="0" fontId="212" fillId="0" borderId="0" xfId="0" applyFont="1" applyFill="1" applyBorder="1" applyAlignment="1">
      <alignment horizontal="center"/>
    </xf>
    <xf numFmtId="171" fontId="212" fillId="0" borderId="0" xfId="42" applyNumberFormat="1" applyFont="1" applyFill="1" applyBorder="1"/>
    <xf numFmtId="179" fontId="212" fillId="0" borderId="76" xfId="42" applyNumberFormat="1" applyFont="1" applyFill="1" applyBorder="1"/>
    <xf numFmtId="0" fontId="40" fillId="0" borderId="0" xfId="0" applyFont="1" applyFill="1" applyAlignment="1">
      <alignment horizontal="left" wrapText="1"/>
    </xf>
    <xf numFmtId="180" fontId="192" fillId="0" borderId="0" xfId="11" applyNumberFormat="1" applyFont="1" applyFill="1"/>
    <xf numFmtId="165" fontId="46" fillId="0" borderId="0" xfId="9" applyNumberFormat="1" applyFont="1" applyFill="1" applyAlignment="1">
      <alignment horizontal="right"/>
    </xf>
    <xf numFmtId="165" fontId="21" fillId="0" borderId="8" xfId="12" applyNumberFormat="1" applyFont="1" applyFill="1" applyBorder="1" applyAlignment="1">
      <alignment vertical="center"/>
    </xf>
    <xf numFmtId="165" fontId="30" fillId="0" borderId="9" xfId="12" quotePrefix="1" applyNumberFormat="1" applyFont="1" applyFill="1" applyBorder="1" applyAlignment="1" applyProtection="1">
      <alignment horizontal="center" vertical="center" wrapText="1"/>
      <protection locked="0"/>
    </xf>
    <xf numFmtId="0" fontId="40" fillId="0" borderId="12" xfId="19" applyFont="1" applyFill="1" applyBorder="1"/>
    <xf numFmtId="0" fontId="29" fillId="0" borderId="9" xfId="9" quotePrefix="1" applyFont="1" applyFill="1" applyBorder="1" applyAlignment="1" applyProtection="1">
      <alignment horizontal="center" vertical="center"/>
      <protection locked="0"/>
    </xf>
    <xf numFmtId="1" fontId="29" fillId="0" borderId="9" xfId="7" quotePrefix="1" applyNumberFormat="1" applyFont="1" applyFill="1" applyBorder="1" applyAlignment="1" applyProtection="1">
      <alignment horizontal="center" vertical="center" wrapText="1"/>
      <protection locked="0"/>
    </xf>
    <xf numFmtId="0" fontId="21" fillId="0" borderId="25" xfId="16" quotePrefix="1" applyNumberFormat="1" applyFont="1" applyFill="1" applyBorder="1" applyAlignment="1">
      <alignment horizontal="center" vertical="center"/>
    </xf>
    <xf numFmtId="1" fontId="29" fillId="0" borderId="9" xfId="18" quotePrefix="1" applyNumberFormat="1" applyFont="1" applyFill="1" applyBorder="1" applyAlignment="1" applyProtection="1">
      <alignment horizontal="center" vertical="center" wrapText="1"/>
      <protection locked="0"/>
    </xf>
    <xf numFmtId="165" fontId="29" fillId="0" borderId="10" xfId="12" quotePrefix="1" applyNumberFormat="1" applyFont="1" applyFill="1" applyBorder="1" applyAlignment="1" applyProtection="1">
      <alignment horizontal="center" vertical="center" wrapText="1"/>
      <protection locked="0"/>
    </xf>
    <xf numFmtId="165" fontId="21" fillId="0" borderId="0" xfId="16" applyNumberFormat="1" applyFont="1" applyFill="1" applyBorder="1"/>
    <xf numFmtId="165" fontId="46" fillId="0" borderId="0" xfId="16" applyNumberFormat="1" applyFont="1" applyFill="1" applyBorder="1" applyAlignment="1">
      <alignment vertical="center"/>
    </xf>
    <xf numFmtId="165" fontId="21" fillId="0" borderId="0" xfId="16" applyNumberFormat="1" applyFont="1" applyFill="1" applyBorder="1" applyAlignment="1">
      <alignment horizontal="right"/>
    </xf>
    <xf numFmtId="165" fontId="21" fillId="0" borderId="0" xfId="0" applyNumberFormat="1" applyFont="1" applyFill="1" applyBorder="1" applyAlignment="1">
      <alignment vertical="center"/>
    </xf>
    <xf numFmtId="165" fontId="21" fillId="0" borderId="0" xfId="16" quotePrefix="1" applyNumberFormat="1" applyFont="1" applyFill="1" applyBorder="1" applyAlignment="1">
      <alignment horizontal="right"/>
    </xf>
    <xf numFmtId="165" fontId="29" fillId="0" borderId="0" xfId="16" applyNumberFormat="1" applyFont="1" applyFill="1" applyBorder="1" applyAlignment="1">
      <alignment horizontal="right"/>
    </xf>
    <xf numFmtId="0" fontId="29" fillId="0" borderId="0" xfId="16" applyFont="1" applyFill="1" applyBorder="1"/>
    <xf numFmtId="165" fontId="21" fillId="0" borderId="0" xfId="16" applyNumberFormat="1" applyFont="1" applyFill="1" applyBorder="1" applyAlignment="1">
      <alignment horizontal="left" vertical="center" indent="3"/>
    </xf>
    <xf numFmtId="165" fontId="46" fillId="0" borderId="11" xfId="16" applyNumberFormat="1" applyFont="1" applyFill="1" applyBorder="1" applyAlignment="1">
      <alignment vertical="center"/>
    </xf>
    <xf numFmtId="165" fontId="35" fillId="0" borderId="11" xfId="16" applyNumberFormat="1" applyFont="1" applyFill="1" applyBorder="1" applyAlignment="1">
      <alignment vertical="center"/>
    </xf>
    <xf numFmtId="165" fontId="46" fillId="0" borderId="11" xfId="16" applyNumberFormat="1" applyFont="1" applyFill="1" applyBorder="1" applyAlignment="1">
      <alignment horizontal="right" vertical="center"/>
    </xf>
    <xf numFmtId="0" fontId="42" fillId="0" borderId="0" xfId="16" applyFont="1" applyFill="1" applyBorder="1" applyAlignment="1">
      <alignment vertical="center"/>
    </xf>
    <xf numFmtId="165" fontId="36" fillId="0" borderId="0" xfId="16" applyNumberFormat="1" applyFont="1" applyFill="1" applyBorder="1" applyAlignment="1">
      <alignment vertical="center"/>
    </xf>
    <xf numFmtId="165" fontId="29" fillId="0" borderId="0" xfId="16" applyNumberFormat="1" applyFont="1" applyFill="1" applyBorder="1" applyAlignment="1">
      <alignment horizontal="right" vertical="center"/>
    </xf>
    <xf numFmtId="165" fontId="29" fillId="0" borderId="0" xfId="16" applyNumberFormat="1" applyFont="1" applyFill="1" applyBorder="1" applyAlignment="1">
      <alignment vertical="center"/>
    </xf>
    <xf numFmtId="165" fontId="21" fillId="0" borderId="12" xfId="16" applyNumberFormat="1" applyFont="1" applyFill="1" applyBorder="1" applyAlignment="1">
      <alignment horizontal="left" vertical="center" indent="2"/>
    </xf>
    <xf numFmtId="165" fontId="29" fillId="0" borderId="12" xfId="16" applyNumberFormat="1" applyFont="1" applyFill="1" applyBorder="1" applyAlignment="1">
      <alignment vertical="center"/>
    </xf>
    <xf numFmtId="165" fontId="21" fillId="0" borderId="12" xfId="16" applyNumberFormat="1" applyFont="1" applyFill="1" applyBorder="1" applyAlignment="1">
      <alignment horizontal="right"/>
    </xf>
    <xf numFmtId="0" fontId="21" fillId="0" borderId="12" xfId="16" applyFont="1" applyFill="1" applyBorder="1"/>
    <xf numFmtId="0" fontId="43" fillId="0" borderId="0" xfId="16" applyFont="1" applyFill="1" applyBorder="1" applyAlignment="1">
      <alignment horizontal="left" vertical="top" wrapText="1"/>
    </xf>
    <xf numFmtId="172" fontId="21" fillId="0" borderId="0" xfId="16" applyNumberFormat="1" applyFont="1" applyFill="1" applyBorder="1" applyAlignment="1">
      <alignment horizontal="left" vertical="top" wrapText="1"/>
    </xf>
    <xf numFmtId="171" fontId="21" fillId="0" borderId="0" xfId="16" applyNumberFormat="1" applyFont="1" applyFill="1"/>
    <xf numFmtId="0" fontId="21" fillId="0" borderId="0" xfId="16" quotePrefix="1" applyNumberFormat="1" applyFont="1" applyFill="1" applyBorder="1" applyAlignment="1">
      <alignment horizontal="center" vertical="center"/>
    </xf>
    <xf numFmtId="165" fontId="35" fillId="0" borderId="0" xfId="14" applyNumberFormat="1" applyFont="1" applyFill="1"/>
    <xf numFmtId="165" fontId="35" fillId="0" borderId="0" xfId="14" applyNumberFormat="1" applyFont="1" applyFill="1" applyAlignment="1">
      <alignment horizontal="right"/>
    </xf>
    <xf numFmtId="165" fontId="21" fillId="0" borderId="0" xfId="12" applyNumberFormat="1" applyFont="1" applyFill="1" applyAlignment="1">
      <alignment horizontal="left" vertical="center" indent="1"/>
    </xf>
    <xf numFmtId="165" fontId="29" fillId="0" borderId="0" xfId="18" applyNumberFormat="1" applyFont="1" applyFill="1"/>
    <xf numFmtId="165" fontId="29" fillId="0" borderId="0" xfId="18" applyNumberFormat="1" applyFont="1" applyFill="1" applyAlignment="1">
      <alignment horizontal="right"/>
    </xf>
    <xf numFmtId="165" fontId="21" fillId="0" borderId="0" xfId="12" applyNumberFormat="1" applyFont="1" applyFill="1" applyAlignment="1">
      <alignment horizontal="left" vertical="center" indent="2"/>
    </xf>
    <xf numFmtId="165" fontId="29" fillId="0" borderId="0" xfId="12" applyNumberFormat="1" applyFont="1" applyFill="1" applyAlignment="1">
      <alignment horizontal="right" vertical="center"/>
    </xf>
    <xf numFmtId="171" fontId="29" fillId="0" borderId="0" xfId="12" applyNumberFormat="1" applyFont="1" applyFill="1" applyAlignment="1">
      <alignment horizontal="left" vertical="center" indent="2"/>
    </xf>
    <xf numFmtId="165" fontId="29" fillId="0" borderId="0" xfId="18" applyNumberFormat="1" applyFont="1" applyFill="1" applyBorder="1" applyAlignment="1">
      <alignment horizontal="left" vertical="center" indent="1"/>
    </xf>
    <xf numFmtId="171" fontId="40" fillId="0" borderId="0" xfId="19" quotePrefix="1" applyNumberFormat="1" applyFont="1" applyFill="1" applyAlignment="1">
      <alignment horizontal="right"/>
    </xf>
    <xf numFmtId="171" fontId="40" fillId="0" borderId="0" xfId="19" applyNumberFormat="1" applyFont="1" applyFill="1" applyAlignment="1">
      <alignment horizontal="right"/>
    </xf>
    <xf numFmtId="165" fontId="46" fillId="0" borderId="11" xfId="14" applyNumberFormat="1" applyFont="1" applyFill="1" applyBorder="1" applyAlignment="1">
      <alignment vertical="center"/>
    </xf>
    <xf numFmtId="165" fontId="35" fillId="0" borderId="11" xfId="14" applyNumberFormat="1" applyFont="1" applyFill="1" applyBorder="1" applyAlignment="1">
      <alignment horizontal="right" vertical="center"/>
    </xf>
    <xf numFmtId="165" fontId="36" fillId="0" borderId="0" xfId="12" applyNumberFormat="1" applyFont="1" applyFill="1" applyAlignment="1">
      <alignment vertical="center"/>
    </xf>
    <xf numFmtId="3" fontId="21" fillId="0" borderId="0" xfId="12" applyNumberFormat="1" applyFont="1" applyFill="1" applyBorder="1" applyAlignment="1">
      <alignment horizontal="left" vertical="center" indent="2"/>
    </xf>
    <xf numFmtId="165" fontId="21" fillId="0" borderId="0" xfId="12" applyNumberFormat="1" applyFont="1" applyFill="1" applyBorder="1" applyAlignment="1">
      <alignment horizontal="left" vertical="center" indent="2"/>
    </xf>
    <xf numFmtId="165" fontId="21" fillId="0" borderId="0" xfId="15" applyNumberFormat="1" applyFont="1" applyFill="1" applyBorder="1" applyAlignment="1">
      <alignment horizontal="left" vertical="center" wrapText="1" indent="1"/>
    </xf>
    <xf numFmtId="165" fontId="192" fillId="0" borderId="0" xfId="10" applyNumberFormat="1" applyFont="1" applyFill="1" applyBorder="1" applyAlignment="1">
      <alignment vertical="center"/>
    </xf>
    <xf numFmtId="165" fontId="21" fillId="0" borderId="6" xfId="15" applyNumberFormat="1" applyFont="1" applyFill="1" applyBorder="1" applyAlignment="1">
      <alignment horizontal="left" vertical="center" wrapText="1" indent="1"/>
    </xf>
    <xf numFmtId="165" fontId="192" fillId="0" borderId="6" xfId="10" applyNumberFormat="1" applyFont="1" applyFill="1" applyBorder="1" applyAlignment="1">
      <alignment vertical="center"/>
    </xf>
    <xf numFmtId="165" fontId="21" fillId="0" borderId="6" xfId="15" applyNumberFormat="1" applyFont="1" applyFill="1" applyBorder="1" applyAlignment="1">
      <alignment vertical="center"/>
    </xf>
    <xf numFmtId="0" fontId="11" fillId="0" borderId="6" xfId="18" applyFill="1" applyBorder="1"/>
    <xf numFmtId="165" fontId="21" fillId="0" borderId="6" xfId="12" applyNumberFormat="1" applyFont="1" applyFill="1" applyBorder="1" applyAlignment="1">
      <alignment vertical="center"/>
    </xf>
    <xf numFmtId="165" fontId="46" fillId="3" borderId="0" xfId="14" applyNumberFormat="1" applyFont="1" applyFill="1" applyAlignment="1"/>
    <xf numFmtId="165" fontId="20" fillId="3" borderId="0" xfId="14" applyNumberFormat="1" applyFont="1" applyFill="1" applyAlignment="1"/>
    <xf numFmtId="183" fontId="199" fillId="3" borderId="0" xfId="18" applyNumberFormat="1" applyFont="1" applyFill="1" applyBorder="1"/>
    <xf numFmtId="165" fontId="188" fillId="3" borderId="0" xfId="10" applyNumberFormat="1" applyFont="1" applyFill="1" applyBorder="1" applyAlignment="1">
      <alignment horizontal="left" vertical="center"/>
    </xf>
    <xf numFmtId="165" fontId="35" fillId="3" borderId="0" xfId="10" applyNumberFormat="1" applyFont="1" applyFill="1" applyBorder="1" applyAlignment="1">
      <alignment horizontal="right" vertical="center"/>
    </xf>
    <xf numFmtId="165" fontId="29" fillId="3" borderId="25" xfId="10" quotePrefix="1" applyNumberFormat="1" applyFont="1" applyFill="1" applyBorder="1" applyAlignment="1">
      <alignment horizontal="center" vertical="center"/>
    </xf>
    <xf numFmtId="165" fontId="29" fillId="3" borderId="23" xfId="10" quotePrefix="1" applyNumberFormat="1" applyFont="1" applyFill="1" applyBorder="1" applyAlignment="1">
      <alignment horizontal="center" vertical="center"/>
    </xf>
    <xf numFmtId="165" fontId="21" fillId="3" borderId="93" xfId="10" quotePrefix="1" applyNumberFormat="1" applyFont="1" applyFill="1" applyBorder="1" applyAlignment="1">
      <alignment horizontal="center" vertical="center"/>
    </xf>
    <xf numFmtId="165" fontId="21" fillId="3" borderId="92" xfId="10" quotePrefix="1" applyNumberFormat="1" applyFont="1" applyFill="1" applyBorder="1" applyAlignment="1">
      <alignment horizontal="center" vertical="center"/>
    </xf>
    <xf numFmtId="165" fontId="29" fillId="3" borderId="0" xfId="29" applyNumberFormat="1" applyFont="1" applyFill="1" applyBorder="1" applyAlignment="1">
      <alignment horizontal="left" vertical="top" indent="1"/>
    </xf>
    <xf numFmtId="165" fontId="21" fillId="3" borderId="18" xfId="0" applyNumberFormat="1" applyFont="1" applyFill="1" applyBorder="1" applyAlignment="1">
      <alignment horizontal="right" vertical="center"/>
    </xf>
    <xf numFmtId="165" fontId="21" fillId="3" borderId="94" xfId="0" applyNumberFormat="1" applyFont="1" applyFill="1" applyBorder="1" applyAlignment="1">
      <alignment horizontal="right" vertical="center"/>
    </xf>
    <xf numFmtId="165" fontId="29" fillId="3" borderId="13" xfId="0" applyNumberFormat="1" applyFont="1" applyFill="1" applyBorder="1" applyAlignment="1">
      <alignment horizontal="right" vertical="center"/>
    </xf>
    <xf numFmtId="165" fontId="21" fillId="3" borderId="0" xfId="0" applyNumberFormat="1" applyFont="1" applyFill="1" applyBorder="1" applyAlignment="1">
      <alignment horizontal="right" vertical="center"/>
    </xf>
    <xf numFmtId="165" fontId="21" fillId="3" borderId="95" xfId="0" applyNumberFormat="1" applyFont="1" applyFill="1" applyBorder="1" applyAlignment="1">
      <alignment horizontal="right" vertical="center"/>
    </xf>
    <xf numFmtId="165" fontId="29" fillId="3" borderId="28" xfId="0" applyNumberFormat="1" applyFont="1" applyFill="1" applyBorder="1" applyAlignment="1">
      <alignment horizontal="right" vertical="center"/>
    </xf>
    <xf numFmtId="165" fontId="21" fillId="3" borderId="20" xfId="0" applyNumberFormat="1" applyFont="1" applyFill="1" applyBorder="1" applyAlignment="1">
      <alignment horizontal="right" vertical="center"/>
    </xf>
    <xf numFmtId="165" fontId="22" fillId="3" borderId="22" xfId="29" applyNumberFormat="1" applyFont="1" applyFill="1" applyBorder="1" applyAlignment="1">
      <alignment vertical="center"/>
    </xf>
    <xf numFmtId="165" fontId="22" fillId="3" borderId="92" xfId="29" applyNumberFormat="1" applyFont="1" applyFill="1" applyBorder="1" applyAlignment="1">
      <alignment vertical="center"/>
    </xf>
    <xf numFmtId="165" fontId="35" fillId="3" borderId="10" xfId="29" applyNumberFormat="1" applyFont="1" applyFill="1" applyBorder="1" applyAlignment="1">
      <alignment vertical="center"/>
    </xf>
    <xf numFmtId="165" fontId="21" fillId="3" borderId="0" xfId="1438" applyNumberFormat="1" applyFont="1" applyFill="1" applyBorder="1" applyAlignment="1">
      <alignment horizontal="right" vertical="center"/>
    </xf>
    <xf numFmtId="165" fontId="21" fillId="3" borderId="95" xfId="1438" applyNumberFormat="1" applyFont="1" applyFill="1" applyBorder="1" applyAlignment="1">
      <alignment horizontal="right" vertical="center"/>
    </xf>
    <xf numFmtId="165" fontId="21" fillId="3" borderId="18" xfId="1438" applyNumberFormat="1" applyFont="1" applyFill="1" applyBorder="1" applyAlignment="1">
      <alignment horizontal="right" vertical="center"/>
    </xf>
    <xf numFmtId="165" fontId="21" fillId="3" borderId="20" xfId="1438" applyNumberFormat="1" applyFont="1" applyFill="1" applyBorder="1" applyAlignment="1">
      <alignment horizontal="right" vertical="center"/>
    </xf>
    <xf numFmtId="165" fontId="21" fillId="3" borderId="101" xfId="1438" applyNumberFormat="1" applyFont="1" applyFill="1" applyBorder="1" applyAlignment="1">
      <alignment horizontal="right" vertical="center"/>
    </xf>
    <xf numFmtId="3" fontId="35" fillId="3" borderId="0" xfId="29" applyNumberFormat="1" applyFont="1" applyFill="1" applyBorder="1" applyAlignment="1">
      <alignment horizontal="left" vertical="center"/>
    </xf>
    <xf numFmtId="165" fontId="35" fillId="3" borderId="0" xfId="29" applyNumberFormat="1" applyFont="1" applyFill="1" applyBorder="1" applyAlignment="1">
      <alignment vertical="center"/>
    </xf>
    <xf numFmtId="3" fontId="19" fillId="3" borderId="0" xfId="29" applyNumberFormat="1" applyFont="1" applyFill="1" applyBorder="1" applyAlignment="1">
      <alignment vertical="center"/>
    </xf>
    <xf numFmtId="165" fontId="38" fillId="3" borderId="0" xfId="29" applyNumberFormat="1" applyFont="1" applyFill="1" applyBorder="1" applyAlignment="1">
      <alignment horizontal="left" vertical="top"/>
    </xf>
    <xf numFmtId="3" fontId="11" fillId="3" borderId="0" xfId="18" applyNumberFormat="1" applyFill="1" applyBorder="1"/>
    <xf numFmtId="165" fontId="29" fillId="3" borderId="0" xfId="29" applyNumberFormat="1" applyFont="1" applyFill="1" applyBorder="1" applyAlignment="1">
      <alignment horizontal="left" vertical="top"/>
    </xf>
    <xf numFmtId="165" fontId="29" fillId="3" borderId="0" xfId="29" quotePrefix="1" applyNumberFormat="1" applyFont="1" applyFill="1" applyBorder="1" applyAlignment="1">
      <alignment horizontal="left" vertical="top"/>
    </xf>
    <xf numFmtId="165" fontId="21" fillId="3" borderId="0" xfId="12" applyNumberFormat="1" applyFont="1" applyFill="1" applyBorder="1" applyAlignment="1">
      <alignment vertical="center"/>
    </xf>
    <xf numFmtId="165" fontId="31" fillId="3" borderId="0" xfId="29" applyNumberFormat="1" applyFont="1" applyFill="1" applyBorder="1" applyAlignment="1">
      <alignment horizontal="left" vertical="top"/>
    </xf>
    <xf numFmtId="165" fontId="19" fillId="3" borderId="0" xfId="10" applyNumberFormat="1" applyFont="1" applyFill="1" applyBorder="1" applyAlignment="1">
      <alignment horizontal="left" vertical="center"/>
    </xf>
    <xf numFmtId="3" fontId="35" fillId="3" borderId="0" xfId="16" applyNumberFormat="1" applyFont="1" applyFill="1" applyBorder="1" applyAlignment="1">
      <alignment horizontal="left" vertical="center"/>
    </xf>
    <xf numFmtId="165" fontId="35" fillId="3" borderId="8" xfId="0" applyNumberFormat="1" applyFont="1" applyFill="1" applyBorder="1" applyAlignment="1">
      <alignment horizontal="right" vertical="center"/>
    </xf>
    <xf numFmtId="165" fontId="29" fillId="3" borderId="0" xfId="16" applyNumberFormat="1" applyFont="1" applyFill="1" applyBorder="1" applyAlignment="1">
      <alignment horizontal="left" vertical="center" indent="1"/>
    </xf>
    <xf numFmtId="165" fontId="29" fillId="3" borderId="0" xfId="18" applyNumberFormat="1" applyFont="1" applyFill="1" applyBorder="1" applyAlignment="1">
      <alignment horizontal="right" vertical="center"/>
    </xf>
    <xf numFmtId="165" fontId="29" fillId="3" borderId="0" xfId="0" applyNumberFormat="1" applyFont="1" applyFill="1" applyBorder="1" applyAlignment="1">
      <alignment horizontal="right" vertical="center"/>
    </xf>
    <xf numFmtId="165" fontId="35" fillId="3" borderId="0" xfId="16" applyNumberFormat="1" applyFont="1" applyFill="1" applyBorder="1" applyAlignment="1">
      <alignment horizontal="left" vertical="center"/>
    </xf>
    <xf numFmtId="165" fontId="22" fillId="3" borderId="0" xfId="0" applyNumberFormat="1" applyFont="1" applyFill="1" applyBorder="1" applyAlignment="1">
      <alignment horizontal="right" vertical="center"/>
    </xf>
    <xf numFmtId="165" fontId="22" fillId="3" borderId="95" xfId="16" applyNumberFormat="1" applyFont="1" applyFill="1" applyBorder="1" applyAlignment="1">
      <alignment horizontal="right" vertical="center"/>
    </xf>
    <xf numFmtId="165" fontId="35" fillId="3" borderId="0" xfId="0" applyNumberFormat="1" applyFont="1" applyFill="1" applyBorder="1" applyAlignment="1">
      <alignment horizontal="right" vertical="center"/>
    </xf>
    <xf numFmtId="165" fontId="21" fillId="3" borderId="20" xfId="16" applyNumberFormat="1" applyFont="1" applyFill="1" applyBorder="1" applyAlignment="1">
      <alignment horizontal="right" vertical="center"/>
    </xf>
    <xf numFmtId="165" fontId="21" fillId="3" borderId="0" xfId="16" applyNumberFormat="1" applyFont="1" applyFill="1" applyBorder="1" applyAlignment="1">
      <alignment horizontal="right" vertical="center"/>
    </xf>
    <xf numFmtId="165" fontId="21" fillId="3" borderId="95" xfId="16" applyNumberFormat="1" applyFont="1" applyFill="1" applyBorder="1" applyAlignment="1">
      <alignment horizontal="right" vertical="center"/>
    </xf>
    <xf numFmtId="165" fontId="29" fillId="3" borderId="0" xfId="16" applyNumberFormat="1" applyFont="1" applyFill="1" applyBorder="1" applyAlignment="1">
      <alignment horizontal="right" vertical="center"/>
    </xf>
    <xf numFmtId="165" fontId="35" fillId="3" borderId="11" xfId="16" applyNumberFormat="1" applyFont="1" applyFill="1" applyBorder="1" applyAlignment="1">
      <alignment vertical="center"/>
    </xf>
    <xf numFmtId="165" fontId="35" fillId="3" borderId="11" xfId="16" applyNumberFormat="1" applyFont="1" applyFill="1" applyBorder="1" applyAlignment="1">
      <alignment horizontal="right" vertical="center"/>
    </xf>
    <xf numFmtId="165" fontId="35" fillId="3" borderId="0" xfId="16" applyNumberFormat="1" applyFont="1" applyFill="1" applyBorder="1" applyAlignment="1">
      <alignment vertical="center"/>
    </xf>
    <xf numFmtId="165" fontId="35" fillId="3" borderId="0" xfId="16" applyNumberFormat="1" applyFont="1" applyFill="1" applyBorder="1" applyAlignment="1">
      <alignment horizontal="right" vertical="center"/>
    </xf>
    <xf numFmtId="165" fontId="30" fillId="3" borderId="0" xfId="16" applyNumberFormat="1" applyFont="1" applyFill="1" applyBorder="1" applyAlignment="1">
      <alignment vertical="top"/>
    </xf>
    <xf numFmtId="165" fontId="29" fillId="3" borderId="0" xfId="16" applyNumberFormat="1" applyFont="1" applyFill="1" applyBorder="1" applyAlignment="1">
      <alignment vertical="top"/>
    </xf>
    <xf numFmtId="165" fontId="29" fillId="3" borderId="105" xfId="10" quotePrefix="1" applyNumberFormat="1" applyFont="1" applyFill="1" applyBorder="1" applyAlignment="1">
      <alignment horizontal="center" vertical="center"/>
    </xf>
    <xf numFmtId="165" fontId="22" fillId="3" borderId="95" xfId="0" applyNumberFormat="1" applyFont="1" applyFill="1" applyBorder="1" applyAlignment="1">
      <alignment horizontal="right" vertical="center"/>
    </xf>
    <xf numFmtId="165" fontId="21" fillId="3" borderId="101" xfId="16" applyNumberFormat="1" applyFont="1" applyFill="1" applyBorder="1" applyAlignment="1">
      <alignment horizontal="right" vertical="center"/>
    </xf>
    <xf numFmtId="165" fontId="22" fillId="3" borderId="107" xfId="0" applyNumberFormat="1" applyFont="1" applyFill="1" applyBorder="1" applyAlignment="1">
      <alignment horizontal="right" vertical="center"/>
    </xf>
    <xf numFmtId="165" fontId="21" fillId="3" borderId="107" xfId="16" applyNumberFormat="1" applyFont="1" applyFill="1" applyBorder="1" applyAlignment="1">
      <alignment horizontal="right" vertical="center"/>
    </xf>
    <xf numFmtId="4" fontId="192" fillId="0" borderId="0" xfId="18" applyNumberFormat="1" applyFont="1" applyFill="1"/>
    <xf numFmtId="165" fontId="192" fillId="0" borderId="0" xfId="18" applyNumberFormat="1" applyFont="1" applyFill="1"/>
    <xf numFmtId="165" fontId="46" fillId="0" borderId="0" xfId="14" applyNumberFormat="1" applyFont="1" applyFill="1" applyBorder="1" applyAlignment="1">
      <alignment horizontal="right"/>
    </xf>
    <xf numFmtId="0" fontId="25" fillId="0" borderId="8" xfId="18" applyFont="1" applyFill="1" applyBorder="1"/>
    <xf numFmtId="0" fontId="21" fillId="0" borderId="12" xfId="18" applyFont="1" applyFill="1" applyBorder="1"/>
    <xf numFmtId="165" fontId="46" fillId="0" borderId="0" xfId="14" applyNumberFormat="1" applyFont="1" applyFill="1" applyBorder="1"/>
    <xf numFmtId="165" fontId="46" fillId="0" borderId="0" xfId="18" applyNumberFormat="1" applyFont="1" applyFill="1" applyBorder="1"/>
    <xf numFmtId="165" fontId="46" fillId="0" borderId="0" xfId="18" applyNumberFormat="1" applyFont="1" applyFill="1" applyBorder="1" applyAlignment="1">
      <alignment horizontal="right"/>
    </xf>
    <xf numFmtId="165" fontId="21" fillId="0" borderId="0" xfId="18" applyNumberFormat="1" applyFont="1" applyFill="1" applyBorder="1"/>
    <xf numFmtId="165" fontId="21" fillId="0" borderId="0" xfId="18" applyNumberFormat="1" applyFont="1" applyFill="1" applyBorder="1" applyAlignment="1">
      <alignment horizontal="right"/>
    </xf>
    <xf numFmtId="165" fontId="21" fillId="0" borderId="0" xfId="18" applyNumberFormat="1" applyFont="1" applyFill="1" applyBorder="1" applyAlignment="1">
      <alignment horizontal="left" indent="1"/>
    </xf>
    <xf numFmtId="165" fontId="42" fillId="0" borderId="0" xfId="18" applyNumberFormat="1" applyFont="1" applyFill="1" applyBorder="1" applyAlignment="1">
      <alignment horizontal="left" indent="2"/>
    </xf>
    <xf numFmtId="165" fontId="21" fillId="0" borderId="0" xfId="18" applyNumberFormat="1" applyFont="1" applyFill="1" applyBorder="1" applyAlignment="1">
      <alignment horizontal="left" indent="3"/>
    </xf>
    <xf numFmtId="165" fontId="21" fillId="0" borderId="0" xfId="18" applyNumberFormat="1" applyFont="1" applyFill="1" applyBorder="1" applyAlignment="1">
      <alignment horizontal="left" indent="4"/>
    </xf>
    <xf numFmtId="165" fontId="21" fillId="0" borderId="0" xfId="2322" applyNumberFormat="1" applyFont="1" applyFill="1" applyBorder="1" applyAlignment="1">
      <alignment horizontal="left" indent="4"/>
    </xf>
    <xf numFmtId="0" fontId="21" fillId="0" borderId="0" xfId="18" applyFont="1" applyFill="1" applyBorder="1" applyAlignment="1">
      <alignment horizontal="left" indent="1"/>
    </xf>
    <xf numFmtId="165" fontId="46" fillId="0" borderId="11" xfId="14" applyNumberFormat="1" applyFont="1" applyFill="1" applyBorder="1" applyAlignment="1"/>
    <xf numFmtId="165" fontId="46" fillId="0" borderId="11" xfId="18" applyNumberFormat="1" applyFont="1" applyFill="1" applyBorder="1" applyAlignment="1"/>
    <xf numFmtId="165" fontId="46" fillId="0" borderId="11" xfId="18" applyNumberFormat="1" applyFont="1" applyFill="1" applyBorder="1" applyAlignment="1">
      <alignment horizontal="right"/>
    </xf>
    <xf numFmtId="165" fontId="21" fillId="0" borderId="0" xfId="18" applyNumberFormat="1" applyFont="1" applyFill="1" applyBorder="1" applyAlignment="1">
      <alignment horizontal="left"/>
    </xf>
    <xf numFmtId="165" fontId="2" fillId="0" borderId="0" xfId="18" applyNumberFormat="1" applyFont="1" applyFill="1" applyBorder="1"/>
    <xf numFmtId="165" fontId="26" fillId="0" borderId="0" xfId="18" applyNumberFormat="1" applyFont="1" applyFill="1" applyBorder="1"/>
    <xf numFmtId="165" fontId="26" fillId="0" borderId="0" xfId="18" applyNumberFormat="1" applyFont="1" applyFill="1" applyBorder="1" applyAlignment="1">
      <alignment horizontal="right"/>
    </xf>
    <xf numFmtId="165" fontId="21" fillId="0" borderId="0" xfId="18" quotePrefix="1" applyNumberFormat="1" applyFont="1" applyFill="1" applyBorder="1" applyAlignment="1">
      <alignment horizontal="right"/>
    </xf>
    <xf numFmtId="0" fontId="21" fillId="0" borderId="0" xfId="18" applyFont="1" applyFill="1" applyBorder="1" applyAlignment="1">
      <alignment horizontal="left"/>
    </xf>
    <xf numFmtId="0" fontId="21" fillId="0" borderId="0" xfId="18" applyFont="1" applyFill="1" applyBorder="1" applyAlignment="1">
      <alignment horizontal="left" indent="2"/>
    </xf>
    <xf numFmtId="165" fontId="22" fillId="0" borderId="0" xfId="14" applyNumberFormat="1" applyFont="1" applyFill="1" applyBorder="1" applyAlignment="1"/>
    <xf numFmtId="0" fontId="21" fillId="0" borderId="0" xfId="18" applyFont="1" applyFill="1" applyBorder="1" applyAlignment="1"/>
    <xf numFmtId="165" fontId="42" fillId="0" borderId="0" xfId="18" applyNumberFormat="1" applyFont="1" applyFill="1" applyBorder="1"/>
    <xf numFmtId="165" fontId="21" fillId="0" borderId="0" xfId="18" applyNumberFormat="1" applyFont="1" applyFill="1" applyBorder="1" applyAlignment="1">
      <alignment horizontal="left" vertical="center" indent="1"/>
    </xf>
    <xf numFmtId="0" fontId="21" fillId="0" borderId="0" xfId="18" applyFont="1" applyFill="1" applyBorder="1" applyAlignment="1">
      <alignment vertical="center"/>
    </xf>
    <xf numFmtId="165" fontId="21" fillId="0" borderId="0" xfId="18" applyNumberFormat="1" applyFont="1" applyFill="1" applyBorder="1" applyAlignment="1">
      <alignment horizontal="right" vertical="center"/>
    </xf>
    <xf numFmtId="165" fontId="21" fillId="0" borderId="0" xfId="18" applyNumberFormat="1" applyFont="1" applyFill="1" applyBorder="1" applyAlignment="1">
      <alignment horizontal="left" vertical="center" indent="2"/>
    </xf>
    <xf numFmtId="165" fontId="21" fillId="0" borderId="12" xfId="18" applyNumberFormat="1" applyFont="1" applyFill="1" applyBorder="1" applyAlignment="1">
      <alignment horizontal="left" vertical="center" indent="1"/>
    </xf>
    <xf numFmtId="165" fontId="21" fillId="0" borderId="12" xfId="18" applyNumberFormat="1" applyFont="1" applyFill="1" applyBorder="1" applyAlignment="1">
      <alignment horizontal="right" vertical="center"/>
    </xf>
    <xf numFmtId="165" fontId="21" fillId="0" borderId="12" xfId="18" applyNumberFormat="1" applyFont="1" applyFill="1" applyBorder="1" applyAlignment="1">
      <alignment horizontal="center" vertical="center"/>
    </xf>
    <xf numFmtId="0" fontId="43" fillId="0" borderId="0" xfId="18" applyFont="1" applyFill="1"/>
    <xf numFmtId="194" fontId="21" fillId="0" borderId="0" xfId="13" applyNumberFormat="1" applyFont="1" applyFill="1"/>
    <xf numFmtId="175" fontId="191" fillId="0" borderId="0" xfId="21" applyNumberFormat="1" applyFont="1" applyFill="1" applyAlignment="1">
      <alignment vertical="center"/>
    </xf>
    <xf numFmtId="175" fontId="190" fillId="0" borderId="0" xfId="21" applyNumberFormat="1" applyFont="1" applyFill="1"/>
    <xf numFmtId="165" fontId="46" fillId="0" borderId="0" xfId="14" applyNumberFormat="1" applyFont="1" applyFill="1" applyAlignment="1">
      <alignment horizontal="right"/>
    </xf>
    <xf numFmtId="171" fontId="29" fillId="0" borderId="8" xfId="12" applyNumberFormat="1" applyFont="1" applyFill="1" applyBorder="1" applyAlignment="1">
      <alignment vertical="center"/>
    </xf>
    <xf numFmtId="171" fontId="29" fillId="0" borderId="12" xfId="12" applyNumberFormat="1" applyFont="1" applyFill="1" applyBorder="1" applyAlignment="1">
      <alignment vertical="center"/>
    </xf>
    <xf numFmtId="171" fontId="35" fillId="0" borderId="0" xfId="14" applyNumberFormat="1" applyFont="1" applyFill="1" applyBorder="1"/>
    <xf numFmtId="193" fontId="35" fillId="0" borderId="0" xfId="21" applyNumberFormat="1" applyFont="1" applyFill="1" applyBorder="1" applyAlignment="1">
      <alignment horizontal="right"/>
    </xf>
    <xf numFmtId="171" fontId="29" fillId="0" borderId="0" xfId="12" applyNumberFormat="1" applyFont="1" applyFill="1" applyBorder="1" applyAlignment="1">
      <alignment horizontal="left" vertical="center" indent="1"/>
    </xf>
    <xf numFmtId="193" fontId="29" fillId="0" borderId="0" xfId="21" applyNumberFormat="1" applyFont="1" applyFill="1" applyBorder="1"/>
    <xf numFmtId="193" fontId="29" fillId="0" borderId="0" xfId="21" applyNumberFormat="1" applyFont="1" applyFill="1" applyBorder="1" applyAlignment="1">
      <alignment horizontal="right"/>
    </xf>
    <xf numFmtId="171" fontId="29" fillId="0" borderId="0" xfId="12" applyNumberFormat="1" applyFont="1" applyFill="1" applyBorder="1" applyAlignment="1">
      <alignment horizontal="left" vertical="center" indent="2"/>
    </xf>
    <xf numFmtId="193" fontId="29" fillId="0" borderId="0" xfId="21" applyNumberFormat="1" applyFont="1" applyFill="1" applyBorder="1" applyAlignment="1">
      <alignment horizontal="right" vertical="center"/>
    </xf>
    <xf numFmtId="193" fontId="29" fillId="0" borderId="0" xfId="21" applyNumberFormat="1" applyFont="1" applyFill="1" applyBorder="1" applyAlignment="1">
      <alignment vertical="center"/>
    </xf>
    <xf numFmtId="171" fontId="35" fillId="0" borderId="11" xfId="14" applyNumberFormat="1" applyFont="1" applyFill="1" applyBorder="1"/>
    <xf numFmtId="193" fontId="35" fillId="0" borderId="11" xfId="21" applyNumberFormat="1" applyFont="1" applyFill="1" applyBorder="1" applyAlignment="1">
      <alignment horizontal="right"/>
    </xf>
    <xf numFmtId="171" fontId="34" fillId="0" borderId="0" xfId="14" applyNumberFormat="1" applyFont="1" applyFill="1" applyBorder="1"/>
    <xf numFmtId="193" fontId="11" fillId="0" borderId="0" xfId="21" applyNumberFormat="1" applyFont="1" applyFill="1" applyBorder="1" applyAlignment="1">
      <alignment horizontal="right"/>
    </xf>
    <xf numFmtId="171" fontId="35" fillId="0" borderId="11" xfId="14" applyNumberFormat="1" applyFont="1" applyFill="1" applyBorder="1" applyAlignment="1">
      <alignment vertical="center"/>
    </xf>
    <xf numFmtId="193" fontId="35" fillId="0" borderId="11" xfId="21" applyNumberFormat="1" applyFont="1" applyFill="1" applyBorder="1" applyAlignment="1">
      <alignment horizontal="right" vertical="center"/>
    </xf>
    <xf numFmtId="171" fontId="36" fillId="0" borderId="0" xfId="12" applyNumberFormat="1" applyFont="1" applyFill="1" applyBorder="1" applyAlignment="1">
      <alignment vertical="center"/>
    </xf>
    <xf numFmtId="193" fontId="50" fillId="0" borderId="0" xfId="21" applyNumberFormat="1" applyFont="1" applyFill="1" applyBorder="1" applyAlignment="1">
      <alignment horizontal="right"/>
    </xf>
    <xf numFmtId="171" fontId="29" fillId="0" borderId="0" xfId="12" applyNumberFormat="1" applyFont="1" applyFill="1" applyBorder="1" applyAlignment="1">
      <alignment vertical="center"/>
    </xf>
    <xf numFmtId="171" fontId="21" fillId="0" borderId="0" xfId="12" applyNumberFormat="1" applyFont="1" applyFill="1" applyBorder="1" applyAlignment="1">
      <alignment horizontal="left" vertical="center" indent="2"/>
    </xf>
    <xf numFmtId="193" fontId="50" fillId="0" borderId="0" xfId="21" applyNumberFormat="1" applyFont="1" applyFill="1" applyBorder="1"/>
    <xf numFmtId="165" fontId="21" fillId="0" borderId="12" xfId="18" applyNumberFormat="1" applyFont="1" applyFill="1" applyBorder="1" applyAlignment="1">
      <alignment horizontal="right"/>
    </xf>
    <xf numFmtId="165" fontId="29" fillId="0" borderId="12" xfId="21" applyNumberFormat="1" applyFont="1" applyFill="1" applyBorder="1"/>
    <xf numFmtId="165" fontId="50" fillId="0" borderId="12" xfId="21" applyNumberFormat="1" applyFont="1" applyFill="1" applyBorder="1"/>
    <xf numFmtId="0" fontId="43" fillId="0" borderId="0" xfId="18" applyFont="1" applyFill="1" applyBorder="1"/>
    <xf numFmtId="194" fontId="21" fillId="0" borderId="0" xfId="13" applyNumberFormat="1" applyFont="1" applyFill="1" applyBorder="1"/>
    <xf numFmtId="193" fontId="11" fillId="0" borderId="0" xfId="18" applyNumberFormat="1" applyFill="1" applyBorder="1"/>
    <xf numFmtId="0" fontId="3" fillId="0" borderId="0" xfId="2320" applyFont="1" applyFill="1"/>
    <xf numFmtId="165" fontId="1" fillId="0" borderId="0" xfId="2320" applyNumberFormat="1" applyFont="1" applyFill="1"/>
    <xf numFmtId="165" fontId="3" fillId="0" borderId="0" xfId="2320" applyNumberFormat="1" applyFont="1" applyFill="1"/>
    <xf numFmtId="165" fontId="3" fillId="0" borderId="0" xfId="2320" applyNumberFormat="1" applyFont="1" applyFill="1" applyAlignment="1">
      <alignment horizontal="right"/>
    </xf>
    <xf numFmtId="165" fontId="24" fillId="0" borderId="11" xfId="2320" applyNumberFormat="1" applyFont="1" applyFill="1" applyBorder="1"/>
    <xf numFmtId="1" fontId="30" fillId="0" borderId="10" xfId="18" quotePrefix="1" applyNumberFormat="1" applyFont="1" applyFill="1" applyBorder="1" applyAlignment="1" applyProtection="1">
      <alignment horizontal="center" vertical="center" wrapText="1"/>
      <protection locked="0"/>
    </xf>
    <xf numFmtId="2" fontId="40" fillId="0" borderId="0" xfId="19" applyNumberFormat="1" applyFont="1" applyFill="1" applyAlignment="1">
      <alignment horizontal="justify" vertical="justify" wrapText="1"/>
    </xf>
    <xf numFmtId="165" fontId="35" fillId="0" borderId="0" xfId="9" applyNumberFormat="1" applyFont="1" applyFill="1" applyAlignment="1" applyProtection="1">
      <protection locked="0"/>
    </xf>
    <xf numFmtId="165" fontId="35" fillId="0" borderId="0" xfId="16" applyNumberFormat="1" applyFont="1" applyFill="1" applyAlignment="1" applyProtection="1">
      <alignment vertical="center"/>
      <protection locked="0"/>
    </xf>
    <xf numFmtId="165" fontId="35" fillId="0" borderId="0" xfId="7" applyNumberFormat="1" applyFont="1" applyFill="1" applyAlignment="1" applyProtection="1">
      <alignment horizontal="right" vertical="center"/>
      <protection locked="0"/>
    </xf>
    <xf numFmtId="165" fontId="29" fillId="0" borderId="8" xfId="7" applyNumberFormat="1" applyFont="1" applyFill="1" applyBorder="1" applyAlignment="1" applyProtection="1">
      <alignment vertical="center"/>
      <protection locked="0"/>
    </xf>
    <xf numFmtId="165" fontId="25" fillId="0" borderId="99" xfId="16" applyNumberFormat="1" applyFont="1" applyFill="1" applyBorder="1" applyAlignment="1">
      <alignment horizontal="center" vertical="center" wrapText="1"/>
    </xf>
    <xf numFmtId="165" fontId="29" fillId="0" borderId="12" xfId="7" applyNumberFormat="1" applyFont="1" applyFill="1" applyBorder="1" applyAlignment="1" applyProtection="1">
      <alignment vertical="center"/>
      <protection locked="0"/>
    </xf>
    <xf numFmtId="0" fontId="21" fillId="0" borderId="100" xfId="16" quotePrefix="1" applyNumberFormat="1" applyFont="1" applyFill="1" applyBorder="1" applyAlignment="1">
      <alignment horizontal="center" vertical="center"/>
    </xf>
    <xf numFmtId="165" fontId="29" fillId="0" borderId="0" xfId="7" applyNumberFormat="1" applyFont="1" applyFill="1" applyAlignment="1" applyProtection="1">
      <alignment vertical="center"/>
      <protection locked="0"/>
    </xf>
    <xf numFmtId="0" fontId="32" fillId="0" borderId="0" xfId="7" applyFont="1" applyFill="1" applyBorder="1" applyProtection="1">
      <protection locked="0"/>
    </xf>
    <xf numFmtId="165" fontId="35" fillId="0" borderId="0" xfId="7" applyNumberFormat="1" applyFont="1" applyFill="1" applyBorder="1" applyAlignment="1" applyProtection="1">
      <alignment vertical="center"/>
      <protection locked="0"/>
    </xf>
    <xf numFmtId="165" fontId="35" fillId="0" borderId="0" xfId="7" applyNumberFormat="1" applyFont="1" applyFill="1" applyBorder="1" applyAlignment="1" applyProtection="1">
      <alignment horizontal="right" vertical="center"/>
    </xf>
    <xf numFmtId="165" fontId="35" fillId="0" borderId="0" xfId="7" applyNumberFormat="1" applyFont="1" applyFill="1" applyBorder="1" applyAlignment="1" applyProtection="1">
      <alignment vertical="center"/>
    </xf>
    <xf numFmtId="165" fontId="21" fillId="0" borderId="0" xfId="15" applyNumberFormat="1" applyFont="1" applyFill="1" applyBorder="1" applyAlignment="1" applyProtection="1">
      <alignment horizontal="left" vertical="center" indent="1"/>
      <protection locked="0"/>
    </xf>
    <xf numFmtId="165" fontId="29" fillId="0" borderId="0" xfId="7" applyNumberFormat="1" applyFont="1" applyFill="1" applyBorder="1" applyAlignment="1" applyProtection="1">
      <alignment vertical="center"/>
      <protection locked="0"/>
    </xf>
    <xf numFmtId="165" fontId="29" fillId="0" borderId="0" xfId="7" applyNumberFormat="1" applyFont="1" applyFill="1" applyBorder="1" applyAlignment="1" applyProtection="1">
      <alignment horizontal="right" vertical="center"/>
    </xf>
    <xf numFmtId="165" fontId="29" fillId="0" borderId="0" xfId="7" applyNumberFormat="1" applyFont="1" applyFill="1" applyBorder="1" applyAlignment="1" applyProtection="1">
      <alignment vertical="center"/>
    </xf>
    <xf numFmtId="165" fontId="29" fillId="0" borderId="0" xfId="7" applyNumberFormat="1" applyFont="1" applyFill="1" applyBorder="1" applyAlignment="1" applyProtection="1">
      <alignment horizontal="left" vertical="center" indent="3"/>
      <protection locked="0"/>
    </xf>
    <xf numFmtId="165" fontId="30" fillId="0" borderId="0" xfId="7" applyNumberFormat="1" applyFont="1" applyFill="1" applyBorder="1" applyAlignment="1" applyProtection="1">
      <alignment vertical="center"/>
      <protection locked="0"/>
    </xf>
    <xf numFmtId="165" fontId="35" fillId="0" borderId="7" xfId="7" applyNumberFormat="1" applyFont="1" applyFill="1" applyBorder="1" applyAlignment="1" applyProtection="1">
      <protection locked="0"/>
    </xf>
    <xf numFmtId="165" fontId="35" fillId="0" borderId="7" xfId="7" applyNumberFormat="1" applyFont="1" applyFill="1" applyBorder="1" applyAlignment="1" applyProtection="1">
      <alignment horizontal="right"/>
    </xf>
    <xf numFmtId="165" fontId="35" fillId="0" borderId="7" xfId="7" applyNumberFormat="1" applyFont="1" applyFill="1" applyBorder="1" applyAlignment="1" applyProtection="1"/>
    <xf numFmtId="165" fontId="35" fillId="0" borderId="11" xfId="7" applyNumberFormat="1" applyFont="1" applyFill="1" applyBorder="1" applyAlignment="1" applyProtection="1">
      <protection locked="0"/>
    </xf>
    <xf numFmtId="165" fontId="35" fillId="0" borderId="11" xfId="7" applyNumberFormat="1" applyFont="1" applyFill="1" applyBorder="1" applyAlignment="1" applyProtection="1">
      <alignment horizontal="right"/>
      <protection locked="0"/>
    </xf>
    <xf numFmtId="165" fontId="35" fillId="0" borderId="11" xfId="7" applyNumberFormat="1" applyFont="1" applyFill="1" applyBorder="1" applyAlignment="1" applyProtection="1"/>
    <xf numFmtId="0" fontId="32" fillId="0" borderId="0" xfId="7" applyFont="1" applyFill="1" applyProtection="1"/>
    <xf numFmtId="0" fontId="32" fillId="0" borderId="0" xfId="7" applyFont="1" applyFill="1" applyBorder="1" applyProtection="1"/>
    <xf numFmtId="165" fontId="35" fillId="0" borderId="11" xfId="7" applyNumberFormat="1" applyFont="1" applyFill="1" applyBorder="1" applyAlignment="1" applyProtection="1">
      <alignment vertical="center"/>
      <protection locked="0"/>
    </xf>
    <xf numFmtId="165" fontId="35" fillId="0" borderId="11" xfId="7" applyNumberFormat="1" applyFont="1" applyFill="1" applyBorder="1" applyAlignment="1" applyProtection="1">
      <alignment vertical="center"/>
    </xf>
    <xf numFmtId="165" fontId="36" fillId="0" borderId="0" xfId="7" applyNumberFormat="1" applyFont="1" applyFill="1" applyBorder="1" applyAlignment="1" applyProtection="1">
      <alignment vertical="center"/>
      <protection locked="0"/>
    </xf>
    <xf numFmtId="165" fontId="29" fillId="0" borderId="0" xfId="7" applyNumberFormat="1" applyFont="1" applyFill="1" applyBorder="1" applyAlignment="1" applyProtection="1">
      <alignment horizontal="right" vertical="center"/>
      <protection locked="0"/>
    </xf>
    <xf numFmtId="165" fontId="29" fillId="0" borderId="12" xfId="7" applyNumberFormat="1" applyFont="1" applyFill="1" applyBorder="1" applyAlignment="1" applyProtection="1">
      <alignment horizontal="left" vertical="center" indent="1"/>
      <protection locked="0"/>
    </xf>
    <xf numFmtId="165" fontId="29" fillId="0" borderId="12" xfId="7" applyNumberFormat="1" applyFont="1" applyFill="1" applyBorder="1" applyAlignment="1" applyProtection="1">
      <alignment horizontal="right" vertical="center"/>
      <protection locked="0"/>
    </xf>
    <xf numFmtId="165" fontId="29" fillId="0" borderId="8" xfId="7" applyNumberFormat="1" applyFont="1" applyFill="1" applyBorder="1" applyAlignment="1" applyProtection="1">
      <alignment horizontal="left" vertical="center" indent="1"/>
      <protection locked="0"/>
    </xf>
    <xf numFmtId="165" fontId="29" fillId="0" borderId="8" xfId="7" applyNumberFormat="1" applyFont="1" applyFill="1" applyBorder="1" applyAlignment="1" applyProtection="1">
      <alignment horizontal="right" vertical="center"/>
      <protection locked="0"/>
    </xf>
    <xf numFmtId="165" fontId="36" fillId="0" borderId="0" xfId="7" applyNumberFormat="1" applyFont="1" applyFill="1" applyBorder="1" applyAlignment="1" applyProtection="1">
      <alignment horizontal="left" vertical="center" indent="1"/>
      <protection locked="0"/>
    </xf>
    <xf numFmtId="165" fontId="43" fillId="0" borderId="0" xfId="12" applyNumberFormat="1" applyFont="1" applyFill="1" applyAlignment="1">
      <alignment vertical="center"/>
    </xf>
    <xf numFmtId="165" fontId="21" fillId="0" borderId="0" xfId="12" applyNumberFormat="1" applyFont="1" applyFill="1" applyBorder="1" applyAlignment="1" applyProtection="1">
      <alignment vertical="center"/>
      <protection locked="0"/>
    </xf>
    <xf numFmtId="0" fontId="196" fillId="0" borderId="0" xfId="9" applyFont="1" applyFill="1" applyAlignment="1" applyProtection="1">
      <protection locked="0"/>
    </xf>
    <xf numFmtId="0" fontId="196" fillId="0" borderId="0" xfId="9" applyFont="1" applyFill="1" applyProtection="1">
      <protection locked="0"/>
    </xf>
    <xf numFmtId="165" fontId="191" fillId="0" borderId="0" xfId="9" applyNumberFormat="1" applyFont="1" applyFill="1" applyAlignment="1" applyProtection="1">
      <protection locked="0"/>
    </xf>
    <xf numFmtId="165" fontId="18" fillId="0" borderId="0" xfId="9" applyNumberFormat="1" applyFont="1" applyFill="1" applyAlignment="1" applyProtection="1">
      <alignment horizontal="right"/>
      <protection locked="0"/>
    </xf>
    <xf numFmtId="165" fontId="29" fillId="0" borderId="8" xfId="9" applyNumberFormat="1" applyFont="1" applyFill="1" applyBorder="1" applyAlignment="1" applyProtection="1">
      <alignment vertical="center"/>
      <protection locked="0"/>
    </xf>
    <xf numFmtId="165" fontId="29" fillId="0" borderId="12" xfId="9" applyNumberFormat="1" applyFont="1" applyFill="1" applyBorder="1" applyAlignment="1" applyProtection="1">
      <alignment vertical="center"/>
      <protection locked="0"/>
    </xf>
    <xf numFmtId="165" fontId="30" fillId="0" borderId="0" xfId="12" applyNumberFormat="1" applyFont="1" applyFill="1" applyBorder="1" applyAlignment="1" applyProtection="1">
      <alignment horizontal="center" vertical="center"/>
      <protection locked="0"/>
    </xf>
    <xf numFmtId="165" fontId="30" fillId="0" borderId="0" xfId="12" quotePrefix="1" applyNumberFormat="1" applyFont="1" applyFill="1" applyBorder="1" applyAlignment="1" applyProtection="1">
      <alignment horizontal="center" vertical="center"/>
      <protection locked="0"/>
    </xf>
    <xf numFmtId="165" fontId="35" fillId="0" borderId="0" xfId="12" applyNumberFormat="1" applyFont="1" applyFill="1" applyBorder="1" applyAlignment="1" applyProtection="1">
      <alignment vertical="center"/>
      <protection locked="0"/>
    </xf>
    <xf numFmtId="165" fontId="35" fillId="0" borderId="0" xfId="12" applyNumberFormat="1" applyFont="1" applyFill="1" applyBorder="1" applyAlignment="1" applyProtection="1">
      <alignment horizontal="right" vertical="center"/>
    </xf>
    <xf numFmtId="165" fontId="35" fillId="0" borderId="0" xfId="12" applyNumberFormat="1" applyFont="1" applyFill="1" applyBorder="1" applyAlignment="1" applyProtection="1">
      <alignment vertical="center"/>
    </xf>
    <xf numFmtId="165" fontId="29" fillId="0" borderId="0" xfId="15" applyNumberFormat="1" applyFont="1" applyFill="1" applyBorder="1" applyAlignment="1" applyProtection="1">
      <alignment horizontal="left" vertical="center" indent="1"/>
      <protection locked="0"/>
    </xf>
    <xf numFmtId="165" fontId="29" fillId="0" borderId="0" xfId="12" applyNumberFormat="1" applyFont="1" applyFill="1" applyBorder="1" applyAlignment="1" applyProtection="1">
      <alignment horizontal="right" vertical="center"/>
    </xf>
    <xf numFmtId="165" fontId="29" fillId="0" borderId="0" xfId="12" applyNumberFormat="1" applyFont="1" applyFill="1" applyBorder="1" applyAlignment="1" applyProtection="1">
      <alignment vertical="center"/>
    </xf>
    <xf numFmtId="165" fontId="29" fillId="0" borderId="0" xfId="9" applyNumberFormat="1" applyFont="1" applyFill="1" applyBorder="1" applyAlignment="1" applyProtection="1">
      <alignment horizontal="left" vertical="center" indent="1"/>
      <protection locked="0"/>
    </xf>
    <xf numFmtId="165" fontId="29" fillId="0" borderId="0" xfId="9" applyNumberFormat="1" applyFont="1" applyFill="1" applyBorder="1" applyAlignment="1" applyProtection="1">
      <alignment horizontal="left" vertical="center" indent="3"/>
      <protection locked="0"/>
    </xf>
    <xf numFmtId="165" fontId="30" fillId="0" borderId="0" xfId="9" applyNumberFormat="1" applyFont="1" applyFill="1" applyBorder="1" applyAlignment="1" applyProtection="1">
      <alignment vertical="center"/>
      <protection locked="0"/>
    </xf>
    <xf numFmtId="165" fontId="35" fillId="0" borderId="11" xfId="9" applyNumberFormat="1" applyFont="1" applyFill="1" applyBorder="1" applyAlignment="1" applyProtection="1">
      <alignment vertical="center"/>
      <protection locked="0"/>
    </xf>
    <xf numFmtId="165" fontId="35" fillId="0" borderId="11" xfId="12" applyNumberFormat="1" applyFont="1" applyFill="1" applyBorder="1" applyAlignment="1" applyProtection="1">
      <alignment vertical="center"/>
      <protection locked="0"/>
    </xf>
    <xf numFmtId="165" fontId="35" fillId="0" borderId="11" xfId="12" applyNumberFormat="1" applyFont="1" applyFill="1" applyBorder="1" applyAlignment="1" applyProtection="1">
      <alignment horizontal="right" vertical="center"/>
    </xf>
    <xf numFmtId="165" fontId="35" fillId="0" borderId="11" xfId="12" applyNumberFormat="1" applyFont="1" applyFill="1" applyBorder="1" applyAlignment="1" applyProtection="1">
      <alignment vertical="center"/>
    </xf>
    <xf numFmtId="165" fontId="29" fillId="0" borderId="0" xfId="18" applyNumberFormat="1" applyFont="1" applyFill="1" applyBorder="1" applyAlignment="1" applyProtection="1">
      <alignment horizontal="left" vertical="center" indent="3"/>
      <protection locked="0"/>
    </xf>
    <xf numFmtId="165" fontId="29" fillId="0" borderId="0" xfId="12" applyNumberFormat="1" applyFont="1" applyFill="1" applyAlignment="1" applyProtection="1">
      <alignment vertical="center"/>
    </xf>
    <xf numFmtId="165" fontId="36" fillId="0" borderId="0" xfId="9" applyNumberFormat="1" applyFont="1" applyFill="1" applyAlignment="1" applyProtection="1">
      <alignment vertical="center"/>
      <protection locked="0"/>
    </xf>
    <xf numFmtId="165" fontId="29" fillId="0" borderId="12" xfId="9" applyNumberFormat="1" applyFont="1" applyFill="1" applyBorder="1" applyAlignment="1" applyProtection="1">
      <alignment horizontal="left" vertical="center" indent="1"/>
      <protection locked="0"/>
    </xf>
    <xf numFmtId="165" fontId="29" fillId="0" borderId="12" xfId="12" applyNumberFormat="1" applyFont="1" applyFill="1" applyBorder="1" applyAlignment="1" applyProtection="1">
      <alignment vertical="center"/>
      <protection locked="0"/>
    </xf>
    <xf numFmtId="176" fontId="29" fillId="0" borderId="0" xfId="11" applyNumberFormat="1" applyFont="1" applyFill="1" applyProtection="1">
      <protection locked="0"/>
    </xf>
    <xf numFmtId="165" fontId="44" fillId="0" borderId="0" xfId="19" applyNumberFormat="1" applyFont="1" applyFill="1"/>
    <xf numFmtId="1" fontId="30" fillId="0" borderId="10" xfId="18" quotePrefix="1" applyNumberFormat="1" applyFont="1" applyFill="1" applyBorder="1" applyAlignment="1">
      <alignment horizontal="center" vertical="center" wrapText="1"/>
    </xf>
    <xf numFmtId="0" fontId="40" fillId="0" borderId="12" xfId="19" applyFont="1" applyFill="1" applyBorder="1" applyAlignment="1">
      <alignment vertical="center"/>
    </xf>
    <xf numFmtId="172" fontId="29" fillId="0" borderId="0" xfId="12" applyNumberFormat="1" applyFont="1" applyFill="1" applyAlignment="1">
      <alignment vertical="center"/>
    </xf>
    <xf numFmtId="172" fontId="29" fillId="0" borderId="0" xfId="12" applyNumberFormat="1" applyFont="1" applyFill="1" applyAlignment="1">
      <alignment horizontal="right" vertical="center"/>
    </xf>
    <xf numFmtId="165" fontId="35" fillId="0" borderId="11" xfId="14" applyNumberFormat="1" applyFont="1" applyFill="1" applyBorder="1" applyAlignment="1">
      <alignment vertical="center"/>
    </xf>
    <xf numFmtId="165" fontId="22" fillId="0" borderId="0" xfId="14" applyNumberFormat="1" applyFont="1" applyFill="1"/>
    <xf numFmtId="0" fontId="42" fillId="0" borderId="0" xfId="12" applyFont="1" applyFill="1" applyAlignment="1">
      <alignment vertical="center"/>
    </xf>
    <xf numFmtId="0" fontId="21" fillId="0" borderId="0" xfId="12" applyFont="1" applyFill="1" applyAlignment="1">
      <alignment horizontal="left" vertical="center" indent="1"/>
    </xf>
    <xf numFmtId="0" fontId="21" fillId="0" borderId="0" xfId="12" applyFont="1" applyFill="1" applyBorder="1" applyAlignment="1">
      <alignment horizontal="left" vertical="center" indent="1"/>
    </xf>
    <xf numFmtId="165" fontId="21" fillId="0" borderId="12" xfId="12" applyNumberFormat="1" applyFont="1" applyFill="1" applyBorder="1" applyAlignment="1">
      <alignment vertical="center"/>
    </xf>
    <xf numFmtId="165" fontId="29" fillId="0" borderId="12" xfId="12" applyNumberFormat="1" applyFont="1" applyFill="1" applyBorder="1" applyAlignment="1">
      <alignment vertical="center"/>
    </xf>
    <xf numFmtId="165" fontId="192" fillId="0" borderId="0" xfId="16" applyNumberFormat="1" applyFont="1" applyFill="1" applyBorder="1" applyAlignment="1">
      <alignment vertical="center"/>
    </xf>
    <xf numFmtId="1" fontId="25" fillId="0" borderId="10" xfId="18" quotePrefix="1" applyNumberFormat="1" applyFont="1" applyFill="1" applyBorder="1" applyAlignment="1">
      <alignment horizontal="center" vertical="center" wrapText="1"/>
    </xf>
    <xf numFmtId="165" fontId="21" fillId="0" borderId="0" xfId="9" applyNumberFormat="1" applyFont="1" applyFill="1" applyBorder="1" applyAlignment="1">
      <alignment vertical="center"/>
    </xf>
    <xf numFmtId="165" fontId="35" fillId="0" borderId="0" xfId="14" applyNumberFormat="1" applyFont="1" applyFill="1" applyBorder="1"/>
    <xf numFmtId="165" fontId="21" fillId="0" borderId="0" xfId="12" applyNumberFormat="1" applyFont="1" applyFill="1" applyBorder="1" applyAlignment="1">
      <alignment horizontal="left" vertical="center" indent="1"/>
    </xf>
    <xf numFmtId="165" fontId="40" fillId="0" borderId="0" xfId="19" applyNumberFormat="1" applyFont="1" applyFill="1" applyBorder="1" applyProtection="1">
      <protection locked="0"/>
    </xf>
    <xf numFmtId="165" fontId="46" fillId="0" borderId="11" xfId="14" applyNumberFormat="1" applyFont="1" applyFill="1" applyBorder="1"/>
    <xf numFmtId="165" fontId="35" fillId="0" borderId="11" xfId="14" applyNumberFormat="1" applyFont="1" applyFill="1" applyBorder="1" applyAlignment="1">
      <alignment horizontal="right"/>
    </xf>
    <xf numFmtId="0" fontId="11" fillId="0" borderId="0" xfId="18" applyFill="1" applyBorder="1" applyAlignment="1">
      <alignment horizontal="right"/>
    </xf>
    <xf numFmtId="165" fontId="22" fillId="0" borderId="0" xfId="14" applyNumberFormat="1" applyFont="1" applyFill="1" applyBorder="1"/>
    <xf numFmtId="0" fontId="42" fillId="0" borderId="0" xfId="12" applyFont="1" applyFill="1" applyBorder="1" applyAlignment="1">
      <alignment vertical="center"/>
    </xf>
    <xf numFmtId="185" fontId="36" fillId="0" borderId="0" xfId="12" applyNumberFormat="1" applyFont="1" applyFill="1" applyBorder="1" applyAlignment="1" applyProtection="1">
      <alignment vertical="center"/>
      <protection locked="0"/>
    </xf>
    <xf numFmtId="184" fontId="29" fillId="0" borderId="0" xfId="12" applyNumberFormat="1" applyFont="1" applyFill="1" applyBorder="1" applyAlignment="1" applyProtection="1">
      <alignment vertical="center"/>
      <protection locked="0"/>
    </xf>
    <xf numFmtId="165" fontId="36" fillId="0" borderId="0" xfId="12" applyNumberFormat="1" applyFont="1" applyFill="1" applyBorder="1" applyAlignment="1">
      <alignment vertical="center"/>
    </xf>
    <xf numFmtId="0" fontId="25" fillId="0" borderId="0" xfId="19" quotePrefix="1" applyFont="1" applyFill="1" applyAlignment="1">
      <alignment horizontal="left" indent="1"/>
    </xf>
    <xf numFmtId="0" fontId="25" fillId="0" borderId="0" xfId="19" applyFont="1" applyFill="1" applyAlignment="1">
      <alignment horizontal="left" indent="1"/>
    </xf>
    <xf numFmtId="165" fontId="29" fillId="0" borderId="0" xfId="10" quotePrefix="1" applyNumberFormat="1" applyFont="1" applyFill="1" applyBorder="1" applyAlignment="1">
      <alignment horizontal="left" vertical="top" wrapText="1" indent="1"/>
    </xf>
    <xf numFmtId="172" fontId="192" fillId="0" borderId="0" xfId="12" applyNumberFormat="1" applyFont="1" applyFill="1" applyAlignment="1">
      <alignment vertical="center"/>
    </xf>
    <xf numFmtId="165" fontId="192" fillId="0" borderId="0" xfId="12" applyNumberFormat="1" applyFont="1" applyFill="1" applyAlignment="1">
      <alignment vertical="center"/>
    </xf>
    <xf numFmtId="2" fontId="25" fillId="0" borderId="10" xfId="12" applyNumberFormat="1" applyFont="1" applyFill="1" applyBorder="1" applyAlignment="1">
      <alignment horizontal="center" vertical="center" wrapText="1"/>
    </xf>
    <xf numFmtId="172" fontId="25" fillId="0" borderId="0" xfId="12" quotePrefix="1" applyNumberFormat="1" applyFont="1" applyFill="1" applyBorder="1" applyAlignment="1">
      <alignment horizontal="center" vertical="center"/>
    </xf>
    <xf numFmtId="165" fontId="29" fillId="0" borderId="0" xfId="18" applyNumberFormat="1" applyFont="1" applyFill="1" applyBorder="1"/>
    <xf numFmtId="165" fontId="29" fillId="0" borderId="0" xfId="18" applyNumberFormat="1" applyFont="1" applyFill="1" applyBorder="1" applyAlignment="1">
      <alignment horizontal="right"/>
    </xf>
    <xf numFmtId="185" fontId="36" fillId="0" borderId="0" xfId="12" applyNumberFormat="1" applyFont="1" applyFill="1" applyBorder="1" applyAlignment="1">
      <alignment vertical="center"/>
    </xf>
    <xf numFmtId="172" fontId="29" fillId="0" borderId="0" xfId="12" applyNumberFormat="1" applyFont="1" applyFill="1" applyBorder="1" applyAlignment="1">
      <alignment vertical="center"/>
    </xf>
    <xf numFmtId="2" fontId="40" fillId="0" borderId="0" xfId="19" applyNumberFormat="1" applyFont="1" applyFill="1" applyAlignment="1">
      <alignment horizontal="left" vertical="top" wrapText="1"/>
    </xf>
    <xf numFmtId="0" fontId="21" fillId="0" borderId="0" xfId="19" applyFont="1" applyFill="1" applyAlignment="1">
      <alignment horizontal="left" vertical="justify" wrapText="1"/>
    </xf>
    <xf numFmtId="165" fontId="46" fillId="0" borderId="0" xfId="14" applyNumberFormat="1" applyFont="1" applyFill="1" applyAlignment="1"/>
    <xf numFmtId="165" fontId="192" fillId="0" borderId="0" xfId="14" applyNumberFormat="1" applyFont="1" applyFill="1" applyAlignment="1"/>
    <xf numFmtId="165" fontId="21" fillId="0" borderId="8" xfId="14" applyNumberFormat="1" applyFont="1" applyFill="1" applyBorder="1" applyAlignment="1">
      <alignment vertical="center"/>
    </xf>
    <xf numFmtId="165" fontId="21" fillId="0" borderId="12" xfId="14" applyNumberFormat="1" applyFont="1" applyFill="1" applyBorder="1" applyAlignment="1">
      <alignment vertical="center"/>
    </xf>
    <xf numFmtId="165" fontId="46" fillId="0" borderId="0" xfId="14" applyNumberFormat="1" applyFont="1" applyFill="1" applyBorder="1" applyAlignment="1">
      <alignment vertical="center"/>
    </xf>
    <xf numFmtId="165" fontId="46" fillId="0" borderId="0" xfId="14" applyNumberFormat="1" applyFont="1" applyFill="1" applyBorder="1" applyAlignment="1">
      <alignment horizontal="right" vertical="center"/>
    </xf>
    <xf numFmtId="165" fontId="21" fillId="0" borderId="0" xfId="14" applyNumberFormat="1" applyFont="1" applyFill="1" applyBorder="1" applyAlignment="1">
      <alignment horizontal="left" vertical="center" indent="1"/>
    </xf>
    <xf numFmtId="165" fontId="21" fillId="0" borderId="0" xfId="14" applyNumberFormat="1" applyFont="1" applyFill="1" applyBorder="1" applyAlignment="1">
      <alignment vertical="center"/>
    </xf>
    <xf numFmtId="165" fontId="21" fillId="0" borderId="0" xfId="14" applyNumberFormat="1" applyFont="1" applyFill="1" applyBorder="1" applyAlignment="1">
      <alignment horizontal="right" vertical="center"/>
    </xf>
    <xf numFmtId="165" fontId="21" fillId="0" borderId="0" xfId="14" applyNumberFormat="1" applyFont="1" applyFill="1" applyBorder="1" applyAlignment="1">
      <alignment horizontal="left" vertical="center" indent="2"/>
    </xf>
    <xf numFmtId="165" fontId="21" fillId="0" borderId="0" xfId="14" quotePrefix="1" applyNumberFormat="1" applyFont="1" applyFill="1" applyBorder="1" applyAlignment="1">
      <alignment horizontal="right" vertical="center"/>
    </xf>
    <xf numFmtId="165" fontId="21" fillId="0" borderId="0" xfId="14" quotePrefix="1" applyNumberFormat="1" applyFont="1" applyFill="1" applyBorder="1" applyAlignment="1">
      <alignment horizontal="left" vertical="center" indent="3"/>
    </xf>
    <xf numFmtId="165" fontId="21" fillId="0" borderId="0" xfId="14" applyNumberFormat="1" applyFont="1" applyFill="1" applyBorder="1" applyAlignment="1">
      <alignment horizontal="left" vertical="center" indent="3"/>
    </xf>
    <xf numFmtId="165" fontId="21" fillId="0" borderId="0" xfId="14" applyNumberFormat="1" applyFont="1" applyFill="1" applyBorder="1" applyAlignment="1">
      <alignment horizontal="left" vertical="center" indent="4"/>
    </xf>
    <xf numFmtId="165" fontId="46" fillId="0" borderId="11" xfId="14" applyNumberFormat="1" applyFont="1" applyFill="1" applyBorder="1" applyAlignment="1">
      <alignment horizontal="right" vertical="center"/>
    </xf>
    <xf numFmtId="165" fontId="22" fillId="0" borderId="0" xfId="14" applyNumberFormat="1" applyFont="1" applyFill="1" applyBorder="1" applyAlignment="1">
      <alignment vertical="center"/>
    </xf>
    <xf numFmtId="165" fontId="26" fillId="0" borderId="0" xfId="14" applyNumberFormat="1" applyFont="1" applyFill="1" applyBorder="1" applyAlignment="1">
      <alignment vertical="center"/>
    </xf>
    <xf numFmtId="165" fontId="58" fillId="0" borderId="0" xfId="14" applyNumberFormat="1" applyFont="1" applyFill="1" applyBorder="1" applyAlignment="1">
      <alignment horizontal="right" vertical="center"/>
    </xf>
    <xf numFmtId="165" fontId="192" fillId="0" borderId="11" xfId="14" applyNumberFormat="1" applyFont="1" applyFill="1" applyBorder="1" applyAlignment="1">
      <alignment vertical="center"/>
    </xf>
    <xf numFmtId="165" fontId="42" fillId="0" borderId="8" xfId="14" applyNumberFormat="1" applyFont="1" applyFill="1" applyBorder="1" applyAlignment="1">
      <alignment vertical="center"/>
    </xf>
    <xf numFmtId="165" fontId="21" fillId="0" borderId="8" xfId="14" applyNumberFormat="1" applyFont="1" applyFill="1" applyBorder="1" applyAlignment="1">
      <alignment horizontal="center" vertical="center"/>
    </xf>
    <xf numFmtId="165" fontId="21" fillId="0" borderId="0" xfId="14" applyNumberFormat="1" applyFont="1" applyFill="1" applyBorder="1" applyAlignment="1">
      <alignment horizontal="center" vertical="center"/>
    </xf>
    <xf numFmtId="165" fontId="21" fillId="0" borderId="12" xfId="14" applyNumberFormat="1" applyFont="1" applyFill="1" applyBorder="1" applyAlignment="1">
      <alignment horizontal="right" vertical="center"/>
    </xf>
    <xf numFmtId="165" fontId="191" fillId="0" borderId="6" xfId="27" applyNumberFormat="1" applyFont="1" applyFill="1" applyBorder="1" applyAlignment="1">
      <alignment horizontal="right" vertical="center"/>
    </xf>
    <xf numFmtId="0" fontId="200" fillId="0" borderId="0" xfId="27" applyFont="1" applyFill="1"/>
    <xf numFmtId="165" fontId="22" fillId="0" borderId="18" xfId="7" applyNumberFormat="1" applyFont="1" applyFill="1" applyBorder="1" applyAlignment="1">
      <alignment vertical="center"/>
    </xf>
    <xf numFmtId="165" fontId="30" fillId="0" borderId="5" xfId="27" applyNumberFormat="1" applyFont="1" applyFill="1" applyBorder="1" applyAlignment="1">
      <alignment horizontal="left" vertical="center" indent="4"/>
    </xf>
    <xf numFmtId="165" fontId="30" fillId="0" borderId="7" xfId="27" applyNumberFormat="1" applyFont="1" applyFill="1" applyBorder="1" applyAlignment="1">
      <alignment vertical="center"/>
    </xf>
    <xf numFmtId="165" fontId="25" fillId="0" borderId="0" xfId="7" applyNumberFormat="1" applyFont="1" applyFill="1" applyBorder="1" applyAlignment="1">
      <alignment vertical="center"/>
    </xf>
    <xf numFmtId="165" fontId="25" fillId="0" borderId="20" xfId="7" applyNumberFormat="1" applyFont="1" applyFill="1" applyBorder="1" applyAlignment="1">
      <alignment vertical="center"/>
    </xf>
    <xf numFmtId="1" fontId="29" fillId="0" borderId="5" xfId="27" applyNumberFormat="1" applyFont="1" applyFill="1" applyBorder="1" applyAlignment="1">
      <alignment horizontal="center" vertical="center"/>
    </xf>
    <xf numFmtId="0" fontId="29" fillId="0" borderId="21" xfId="15" applyNumberFormat="1" applyFont="1" applyFill="1" applyBorder="1" applyAlignment="1">
      <alignment horizontal="center" vertical="center" wrapText="1"/>
    </xf>
    <xf numFmtId="165" fontId="29" fillId="0" borderId="4" xfId="27" applyNumberFormat="1" applyFont="1" applyFill="1" applyBorder="1" applyAlignment="1">
      <alignment horizontal="center" vertical="center" wrapText="1"/>
    </xf>
    <xf numFmtId="1" fontId="29" fillId="0" borderId="7" xfId="27" applyNumberFormat="1" applyFont="1" applyFill="1" applyBorder="1" applyAlignment="1">
      <alignment horizontal="center" vertical="center"/>
    </xf>
    <xf numFmtId="165" fontId="29" fillId="0" borderId="5" xfId="12" quotePrefix="1" applyNumberFormat="1" applyFont="1" applyFill="1" applyBorder="1" applyAlignment="1">
      <alignment horizontal="center" vertical="center" wrapText="1"/>
    </xf>
    <xf numFmtId="165" fontId="46" fillId="0" borderId="0" xfId="7" applyNumberFormat="1" applyFont="1" applyFill="1" applyAlignment="1"/>
    <xf numFmtId="165" fontId="35" fillId="0" borderId="0" xfId="27" applyNumberFormat="1" applyFont="1" applyFill="1" applyAlignment="1" applyProtection="1"/>
    <xf numFmtId="165" fontId="21" fillId="0" borderId="0" xfId="7" applyNumberFormat="1" applyFont="1" applyFill="1" applyAlignment="1">
      <alignment horizontal="left" vertical="center" indent="1"/>
    </xf>
    <xf numFmtId="165" fontId="29" fillId="0" borderId="0" xfId="27" applyNumberFormat="1" applyFont="1" applyFill="1" applyAlignment="1" applyProtection="1">
      <alignment vertical="center"/>
    </xf>
    <xf numFmtId="165" fontId="29" fillId="0" borderId="0" xfId="7" applyNumberFormat="1" applyFont="1" applyFill="1" applyBorder="1" applyAlignment="1">
      <alignment horizontal="right" vertical="center"/>
    </xf>
    <xf numFmtId="165" fontId="21" fillId="0" borderId="0" xfId="7" applyNumberFormat="1" applyFont="1" applyFill="1" applyAlignment="1">
      <alignment horizontal="left" vertical="center" indent="2"/>
    </xf>
    <xf numFmtId="171" fontId="29" fillId="0" borderId="0" xfId="27" applyNumberFormat="1" applyFont="1" applyFill="1" applyAlignment="1">
      <alignment horizontal="right" vertical="center"/>
    </xf>
    <xf numFmtId="165" fontId="42" fillId="0" borderId="0" xfId="18" applyNumberFormat="1" applyFont="1" applyFill="1" applyBorder="1" applyAlignment="1">
      <alignment horizontal="left" indent="3"/>
    </xf>
    <xf numFmtId="165" fontId="163" fillId="0" borderId="0" xfId="7" applyNumberFormat="1" applyFont="1" applyFill="1" applyBorder="1" applyAlignment="1">
      <alignment horizontal="right" vertical="center"/>
    </xf>
    <xf numFmtId="165" fontId="46" fillId="0" borderId="0" xfId="7" applyNumberFormat="1" applyFont="1" applyFill="1" applyAlignment="1">
      <alignment vertical="center"/>
    </xf>
    <xf numFmtId="165" fontId="35" fillId="0" borderId="0" xfId="27" applyNumberFormat="1" applyFont="1" applyFill="1" applyAlignment="1" applyProtection="1">
      <alignment vertical="center"/>
    </xf>
    <xf numFmtId="165" fontId="21" fillId="0" borderId="0" xfId="7" applyNumberFormat="1" applyFont="1" applyFill="1" applyBorder="1" applyAlignment="1">
      <alignment vertical="center"/>
    </xf>
    <xf numFmtId="165" fontId="29" fillId="0" borderId="0" xfId="27" applyNumberFormat="1" applyFont="1" applyFill="1" applyBorder="1" applyAlignment="1" applyProtection="1">
      <alignment vertical="center"/>
    </xf>
    <xf numFmtId="165" fontId="35" fillId="0" borderId="0" xfId="27" applyNumberFormat="1" applyFont="1" applyFill="1" applyBorder="1" applyAlignment="1" applyProtection="1">
      <alignment vertical="center"/>
    </xf>
    <xf numFmtId="165" fontId="21" fillId="0" borderId="0" xfId="7" applyNumberFormat="1" applyFont="1" applyFill="1" applyAlignment="1">
      <alignment vertical="center"/>
    </xf>
    <xf numFmtId="165" fontId="29" fillId="0" borderId="0" xfId="27" applyNumberFormat="1" applyFont="1" applyFill="1" applyBorder="1" applyAlignment="1" applyProtection="1">
      <alignment horizontal="right" vertical="center"/>
    </xf>
    <xf numFmtId="0" fontId="29" fillId="0" borderId="0" xfId="18" applyFont="1" applyFill="1" applyProtection="1"/>
    <xf numFmtId="165" fontId="46" fillId="0" borderId="22" xfId="7" applyNumberFormat="1" applyFont="1" applyFill="1" applyBorder="1" applyAlignment="1"/>
    <xf numFmtId="165" fontId="35" fillId="0" borderId="7" xfId="27" applyNumberFormat="1" applyFont="1" applyFill="1" applyBorder="1" applyAlignment="1" applyProtection="1"/>
    <xf numFmtId="165" fontId="35" fillId="0" borderId="11" xfId="7" applyNumberFormat="1" applyFont="1" applyFill="1" applyBorder="1" applyAlignment="1"/>
    <xf numFmtId="165" fontId="42" fillId="0" borderId="0" xfId="7" applyNumberFormat="1" applyFont="1" applyFill="1" applyAlignment="1">
      <alignment vertical="center"/>
    </xf>
    <xf numFmtId="165" fontId="29" fillId="0" borderId="0" xfId="27" applyNumberFormat="1" applyFont="1" applyFill="1" applyAlignment="1" applyProtection="1">
      <alignment horizontal="right" vertical="center"/>
    </xf>
    <xf numFmtId="0" fontId="65" fillId="0" borderId="0" xfId="18" applyFont="1" applyFill="1" applyProtection="1"/>
    <xf numFmtId="0" fontId="21" fillId="0" borderId="0" xfId="7" applyFont="1" applyFill="1" applyBorder="1" applyAlignment="1">
      <alignment horizontal="left" vertical="center" indent="1"/>
    </xf>
    <xf numFmtId="0" fontId="66" fillId="0" borderId="0" xfId="18" applyFont="1" applyFill="1" applyProtection="1"/>
    <xf numFmtId="165" fontId="36" fillId="0" borderId="0" xfId="18" applyNumberFormat="1" applyFont="1" applyFill="1" applyAlignment="1">
      <alignment vertical="center"/>
    </xf>
    <xf numFmtId="165" fontId="59" fillId="0" borderId="0" xfId="27" applyNumberFormat="1" applyFont="1" applyFill="1" applyProtection="1"/>
    <xf numFmtId="3" fontId="29" fillId="0" borderId="0" xfId="18" applyNumberFormat="1" applyFont="1" applyFill="1" applyAlignment="1">
      <alignment horizontal="left" vertical="center" indent="2"/>
    </xf>
    <xf numFmtId="165" fontId="29" fillId="0" borderId="0" xfId="18" applyNumberFormat="1" applyFont="1" applyFill="1" applyAlignment="1">
      <alignment horizontal="left" vertical="center" indent="2"/>
    </xf>
    <xf numFmtId="165" fontId="21" fillId="0" borderId="20" xfId="7" applyNumberFormat="1" applyFont="1" applyFill="1" applyBorder="1" applyAlignment="1">
      <alignment vertical="top"/>
    </xf>
    <xf numFmtId="165" fontId="29" fillId="0" borderId="6" xfId="27" applyNumberFormat="1" applyFont="1" applyFill="1" applyBorder="1" applyAlignment="1" applyProtection="1">
      <alignment vertical="top"/>
    </xf>
    <xf numFmtId="165" fontId="67" fillId="0" borderId="6" xfId="27" applyNumberFormat="1" applyFont="1" applyFill="1" applyBorder="1" applyAlignment="1" applyProtection="1"/>
    <xf numFmtId="165" fontId="68" fillId="0" borderId="0" xfId="7" applyNumberFormat="1" applyFont="1" applyFill="1" applyAlignment="1">
      <alignment vertical="center"/>
    </xf>
    <xf numFmtId="0" fontId="69" fillId="0" borderId="0" xfId="18" applyFont="1" applyFill="1"/>
    <xf numFmtId="0" fontId="70" fillId="0" borderId="0" xfId="18" applyFont="1" applyFill="1"/>
    <xf numFmtId="0" fontId="217" fillId="0" borderId="86" xfId="2320" applyFont="1" applyFill="1" applyBorder="1" applyAlignment="1">
      <alignment horizontal="center" vertical="center"/>
    </xf>
    <xf numFmtId="0" fontId="217" fillId="0" borderId="85" xfId="2320" applyFont="1" applyFill="1" applyBorder="1" applyAlignment="1">
      <alignment horizontal="center" vertical="center" wrapText="1"/>
    </xf>
    <xf numFmtId="165" fontId="217" fillId="0" borderId="84" xfId="2320" applyNumberFormat="1" applyFont="1" applyFill="1" applyBorder="1" applyAlignment="1">
      <alignment horizontal="center" vertical="center" wrapText="1"/>
    </xf>
    <xf numFmtId="165" fontId="217" fillId="0" borderId="84" xfId="2320" applyNumberFormat="1" applyFont="1" applyFill="1" applyBorder="1" applyAlignment="1">
      <alignment horizontal="center" vertical="center"/>
    </xf>
    <xf numFmtId="4" fontId="24" fillId="0" borderId="11" xfId="2320" applyNumberFormat="1" applyFont="1" applyFill="1" applyBorder="1"/>
    <xf numFmtId="165" fontId="21" fillId="0" borderId="0" xfId="2320" applyNumberFormat="1" applyFont="1" applyFill="1"/>
    <xf numFmtId="165" fontId="25" fillId="0" borderId="0" xfId="2320" applyNumberFormat="1" applyFont="1" applyFill="1"/>
    <xf numFmtId="165" fontId="217" fillId="0" borderId="0" xfId="2320" applyNumberFormat="1" applyFont="1" applyFill="1"/>
    <xf numFmtId="165" fontId="218" fillId="0" borderId="0" xfId="2320" applyNumberFormat="1"/>
    <xf numFmtId="183" fontId="218" fillId="0" borderId="0" xfId="2320" applyNumberFormat="1"/>
    <xf numFmtId="184" fontId="218" fillId="0" borderId="0" xfId="2320" applyNumberFormat="1"/>
    <xf numFmtId="165" fontId="24" fillId="0" borderId="0" xfId="2320" applyNumberFormat="1" applyFont="1" applyFill="1"/>
    <xf numFmtId="0" fontId="24" fillId="0" borderId="0" xfId="2320" applyFont="1" applyFill="1"/>
    <xf numFmtId="184" fontId="50" fillId="0" borderId="0" xfId="2320" applyNumberFormat="1" applyFont="1" applyFill="1" applyAlignment="1">
      <alignment horizontal="left" wrapText="1"/>
    </xf>
    <xf numFmtId="0" fontId="217" fillId="0" borderId="11" xfId="2320" applyFont="1" applyFill="1" applyBorder="1" applyAlignment="1">
      <alignment horizontal="center" vertical="center"/>
    </xf>
    <xf numFmtId="0" fontId="217" fillId="0" borderId="0" xfId="2320" applyFont="1" applyFill="1" applyAlignment="1">
      <alignment horizontal="center" vertical="center"/>
    </xf>
    <xf numFmtId="165" fontId="1" fillId="0" borderId="0" xfId="2320" applyNumberFormat="1" applyFont="1" applyFill="1" applyAlignment="1">
      <alignment vertical="center"/>
    </xf>
    <xf numFmtId="3" fontId="21" fillId="0" borderId="0" xfId="2368" applyNumberFormat="1" applyFont="1" applyFill="1" applyAlignment="1">
      <alignment vertical="center"/>
    </xf>
    <xf numFmtId="165" fontId="21" fillId="0" borderId="0" xfId="2368" applyNumberFormat="1" applyFont="1" applyFill="1" applyAlignment="1">
      <alignment vertical="center"/>
    </xf>
    <xf numFmtId="3" fontId="21" fillId="0" borderId="0" xfId="2403" applyNumberFormat="1" applyFont="1" applyFill="1" applyAlignment="1">
      <alignment vertical="center"/>
    </xf>
    <xf numFmtId="165" fontId="21" fillId="0" borderId="0" xfId="2403" applyNumberFormat="1" applyFont="1" applyFill="1" applyAlignment="1">
      <alignment vertical="center"/>
    </xf>
    <xf numFmtId="3" fontId="21" fillId="0" borderId="0" xfId="2438" applyNumberFormat="1" applyFont="1" applyFill="1" applyAlignment="1">
      <alignment vertical="center"/>
    </xf>
    <xf numFmtId="165" fontId="21" fillId="0" borderId="0" xfId="2438" applyNumberFormat="1" applyFont="1" applyFill="1" applyAlignment="1">
      <alignment vertical="center"/>
    </xf>
    <xf numFmtId="3" fontId="21" fillId="0" borderId="0" xfId="2473" applyNumberFormat="1" applyFont="1" applyFill="1" applyAlignment="1">
      <alignment vertical="center"/>
    </xf>
    <xf numFmtId="165" fontId="21" fillId="0" borderId="0" xfId="2473" applyNumberFormat="1" applyFont="1" applyFill="1" applyAlignment="1">
      <alignment vertical="center"/>
    </xf>
    <xf numFmtId="3" fontId="21" fillId="0" borderId="0" xfId="2576" applyNumberFormat="1" applyFont="1" applyFill="1" applyAlignment="1">
      <alignment vertical="center"/>
    </xf>
    <xf numFmtId="165" fontId="21" fillId="0" borderId="0" xfId="2576" applyNumberFormat="1" applyFont="1" applyFill="1" applyAlignment="1">
      <alignment vertical="center"/>
    </xf>
    <xf numFmtId="3" fontId="21" fillId="0" borderId="0" xfId="2577" applyNumberFormat="1" applyFont="1" applyFill="1" applyAlignment="1">
      <alignment vertical="center"/>
    </xf>
    <xf numFmtId="165" fontId="21" fillId="0" borderId="0" xfId="2577" applyNumberFormat="1" applyFont="1" applyFill="1" applyAlignment="1">
      <alignment vertical="center"/>
    </xf>
    <xf numFmtId="3" fontId="21" fillId="0" borderId="0" xfId="2613" applyNumberFormat="1" applyFont="1" applyFill="1" applyAlignment="1">
      <alignment vertical="center"/>
    </xf>
    <xf numFmtId="165" fontId="21" fillId="0" borderId="0" xfId="2613" applyNumberFormat="1" applyFont="1" applyFill="1" applyAlignment="1">
      <alignment vertical="center"/>
    </xf>
    <xf numFmtId="3" fontId="21" fillId="0" borderId="0" xfId="2648" applyNumberFormat="1" applyFont="1" applyFill="1" applyAlignment="1">
      <alignment vertical="center"/>
    </xf>
    <xf numFmtId="3" fontId="21" fillId="0" borderId="0" xfId="2648" applyNumberFormat="1" applyFont="1" applyFill="1" applyBorder="1" applyAlignment="1">
      <alignment vertical="center" wrapText="1"/>
    </xf>
    <xf numFmtId="165" fontId="21" fillId="0" borderId="0" xfId="2648" applyNumberFormat="1" applyFont="1" applyFill="1" applyAlignment="1">
      <alignment vertical="center"/>
    </xf>
    <xf numFmtId="3" fontId="21" fillId="0" borderId="0" xfId="2683" applyNumberFormat="1" applyFont="1" applyFill="1" applyAlignment="1">
      <alignment vertical="center"/>
    </xf>
    <xf numFmtId="165" fontId="21" fillId="0" borderId="0" xfId="2683" applyNumberFormat="1" applyFont="1" applyFill="1" applyAlignment="1">
      <alignment vertical="center"/>
    </xf>
    <xf numFmtId="3" fontId="21" fillId="0" borderId="0" xfId="2751" applyNumberFormat="1" applyFont="1" applyFill="1" applyAlignment="1">
      <alignment vertical="center"/>
    </xf>
    <xf numFmtId="165" fontId="21" fillId="0" borderId="0" xfId="2751" applyNumberFormat="1" applyFont="1" applyFill="1" applyAlignment="1">
      <alignment vertical="center"/>
    </xf>
    <xf numFmtId="165" fontId="21" fillId="0" borderId="6" xfId="18" applyNumberFormat="1" applyFont="1" applyFill="1" applyBorder="1" applyAlignment="1">
      <alignment vertical="center"/>
    </xf>
    <xf numFmtId="165" fontId="25" fillId="0" borderId="0" xfId="18" applyNumberFormat="1" applyFont="1" applyFill="1" applyBorder="1" applyAlignment="1">
      <alignment vertical="center"/>
    </xf>
    <xf numFmtId="165" fontId="46" fillId="0" borderId="11" xfId="18" applyNumberFormat="1" applyFont="1" applyFill="1" applyBorder="1" applyAlignment="1">
      <alignment vertical="center"/>
    </xf>
    <xf numFmtId="165" fontId="25" fillId="0" borderId="11" xfId="18" applyNumberFormat="1" applyFont="1" applyFill="1" applyBorder="1" applyAlignment="1">
      <alignment vertical="center"/>
    </xf>
    <xf numFmtId="165" fontId="192" fillId="0" borderId="11" xfId="18" applyNumberFormat="1" applyFont="1" applyFill="1" applyBorder="1" applyAlignment="1">
      <alignment vertical="center"/>
    </xf>
    <xf numFmtId="165" fontId="21" fillId="0" borderId="11" xfId="18" applyNumberFormat="1" applyFont="1" applyFill="1" applyBorder="1" applyAlignment="1">
      <alignment vertical="center"/>
    </xf>
    <xf numFmtId="165" fontId="21" fillId="0" borderId="25" xfId="18" applyNumberFormat="1" applyFont="1" applyFill="1" applyBorder="1" applyAlignment="1">
      <alignment horizontal="center" vertical="center" wrapText="1"/>
    </xf>
    <xf numFmtId="165" fontId="21" fillId="0" borderId="10" xfId="18" applyNumberFormat="1" applyFont="1" applyFill="1" applyBorder="1" applyAlignment="1">
      <alignment horizontal="center" vertical="center" wrapText="1"/>
    </xf>
    <xf numFmtId="0" fontId="46" fillId="0" borderId="0" xfId="18" quotePrefix="1" applyNumberFormat="1" applyFont="1" applyFill="1" applyBorder="1" applyAlignment="1">
      <alignment vertical="center"/>
    </xf>
    <xf numFmtId="165" fontId="21" fillId="0" borderId="0" xfId="2258" applyNumberFormat="1" applyFont="1" applyFill="1" applyAlignment="1">
      <alignment vertical="center"/>
    </xf>
    <xf numFmtId="165" fontId="21" fillId="0" borderId="0" xfId="2270" applyNumberFormat="1" applyFont="1" applyFill="1" applyAlignment="1">
      <alignment vertical="center"/>
    </xf>
    <xf numFmtId="165" fontId="21" fillId="0" borderId="0" xfId="2305" applyNumberFormat="1" applyFont="1" applyFill="1" applyAlignment="1">
      <alignment vertical="center"/>
    </xf>
    <xf numFmtId="165" fontId="21" fillId="0" borderId="0" xfId="2317" applyNumberFormat="1" applyFont="1" applyFill="1" applyAlignment="1">
      <alignment vertical="center"/>
    </xf>
    <xf numFmtId="165" fontId="21" fillId="0" borderId="0" xfId="2332" applyNumberFormat="1" applyFont="1" applyFill="1" applyAlignment="1">
      <alignment vertical="center"/>
    </xf>
    <xf numFmtId="165" fontId="21" fillId="0" borderId="0" xfId="2343" applyNumberFormat="1" applyFont="1" applyFill="1" applyAlignment="1">
      <alignment vertical="center"/>
    </xf>
    <xf numFmtId="165" fontId="21" fillId="0" borderId="0" xfId="2354" applyNumberFormat="1" applyFont="1" applyFill="1" applyAlignment="1">
      <alignment vertical="center"/>
    </xf>
    <xf numFmtId="165" fontId="21" fillId="0" borderId="0" xfId="2365" applyNumberFormat="1" applyFont="1" applyFill="1" applyAlignment="1">
      <alignment vertical="center"/>
    </xf>
    <xf numFmtId="165" fontId="21" fillId="0" borderId="0" xfId="2400" applyNumberFormat="1" applyFont="1" applyFill="1" applyAlignment="1">
      <alignment vertical="center"/>
    </xf>
    <xf numFmtId="165" fontId="21" fillId="0" borderId="0" xfId="2435" applyNumberFormat="1" applyFont="1" applyFill="1" applyAlignment="1">
      <alignment vertical="center"/>
    </xf>
    <xf numFmtId="165" fontId="21" fillId="0" borderId="0" xfId="2470" applyNumberFormat="1" applyFont="1" applyFill="1" applyAlignment="1">
      <alignment vertical="center"/>
    </xf>
    <xf numFmtId="165" fontId="21" fillId="0" borderId="0" xfId="2505" applyNumberFormat="1" applyFont="1" applyFill="1" applyAlignment="1">
      <alignment vertical="center"/>
    </xf>
    <xf numFmtId="165" fontId="21" fillId="0" borderId="0" xfId="2575" applyNumberFormat="1" applyFont="1" applyFill="1" applyAlignment="1">
      <alignment vertical="center"/>
    </xf>
    <xf numFmtId="165" fontId="21" fillId="0" borderId="0" xfId="2609" applyNumberFormat="1" applyFont="1" applyFill="1" applyAlignment="1">
      <alignment vertical="center"/>
    </xf>
    <xf numFmtId="165" fontId="21" fillId="0" borderId="0" xfId="2645" applyNumberFormat="1" applyFont="1" applyFill="1" applyAlignment="1">
      <alignment vertical="center"/>
    </xf>
    <xf numFmtId="165" fontId="21" fillId="0" borderId="0" xfId="2680" applyNumberFormat="1" applyFont="1" applyFill="1" applyAlignment="1">
      <alignment vertical="center"/>
    </xf>
    <xf numFmtId="165" fontId="21" fillId="0" borderId="0" xfId="2715" applyNumberFormat="1" applyFont="1" applyFill="1" applyAlignment="1">
      <alignment vertical="center"/>
    </xf>
    <xf numFmtId="165" fontId="21" fillId="0" borderId="0" xfId="2783" applyNumberFormat="1" applyFont="1" applyFill="1" applyAlignment="1">
      <alignment vertical="center"/>
    </xf>
    <xf numFmtId="165" fontId="21" fillId="0" borderId="0" xfId="0" applyNumberFormat="1" applyFont="1" applyFill="1" applyAlignment="1">
      <alignment vertical="center"/>
    </xf>
    <xf numFmtId="165" fontId="46" fillId="0" borderId="0" xfId="18" applyNumberFormat="1" applyFont="1" applyFill="1" applyBorder="1" applyAlignment="1">
      <alignment vertical="center"/>
    </xf>
    <xf numFmtId="165" fontId="25" fillId="0" borderId="26" xfId="18" applyNumberFormat="1" applyFont="1" applyFill="1" applyBorder="1" applyAlignment="1">
      <alignment vertical="center"/>
    </xf>
    <xf numFmtId="165" fontId="25" fillId="0" borderId="27" xfId="18" applyNumberFormat="1" applyFont="1" applyFill="1" applyBorder="1" applyAlignment="1">
      <alignment vertical="center"/>
    </xf>
    <xf numFmtId="165" fontId="21" fillId="0" borderId="29" xfId="18" applyNumberFormat="1" applyFont="1" applyFill="1" applyBorder="1" applyAlignment="1">
      <alignment vertical="center"/>
    </xf>
    <xf numFmtId="3" fontId="21" fillId="0" borderId="0" xfId="7" applyNumberFormat="1" applyFont="1" applyFill="1" applyBorder="1" applyAlignment="1">
      <alignment vertical="center"/>
    </xf>
    <xf numFmtId="3" fontId="21" fillId="0" borderId="0" xfId="18" applyNumberFormat="1" applyFont="1" applyFill="1" applyBorder="1" applyAlignment="1">
      <alignment vertical="center" wrapText="1"/>
    </xf>
    <xf numFmtId="165" fontId="21" fillId="0" borderId="0" xfId="18" applyNumberFormat="1" applyFont="1" applyFill="1" applyBorder="1" applyAlignment="1">
      <alignment vertical="center" wrapText="1"/>
    </xf>
    <xf numFmtId="0" fontId="46" fillId="0" borderId="0" xfId="18" applyFont="1" applyFill="1" applyBorder="1" applyAlignment="1">
      <alignment vertical="center"/>
    </xf>
    <xf numFmtId="3" fontId="21" fillId="0" borderId="0" xfId="2260" applyNumberFormat="1" applyFont="1" applyFill="1" applyAlignment="1">
      <alignment vertical="center"/>
    </xf>
    <xf numFmtId="165" fontId="21" fillId="0" borderId="0" xfId="2260" applyNumberFormat="1" applyFont="1" applyFill="1" applyAlignment="1">
      <alignment vertical="center"/>
    </xf>
    <xf numFmtId="3" fontId="21" fillId="0" borderId="0" xfId="2271" applyNumberFormat="1" applyFont="1" applyFill="1" applyAlignment="1">
      <alignment vertical="center"/>
    </xf>
    <xf numFmtId="165" fontId="21" fillId="0" borderId="0" xfId="2271" applyNumberFormat="1" applyFont="1" applyFill="1" applyAlignment="1">
      <alignment vertical="center"/>
    </xf>
    <xf numFmtId="3" fontId="21" fillId="0" borderId="0" xfId="2306" applyNumberFormat="1" applyFont="1" applyFill="1" applyAlignment="1">
      <alignment vertical="center"/>
    </xf>
    <xf numFmtId="165" fontId="21" fillId="0" borderId="0" xfId="2306" applyNumberFormat="1" applyFont="1" applyFill="1" applyAlignment="1">
      <alignment vertical="center"/>
    </xf>
    <xf numFmtId="3" fontId="21" fillId="0" borderId="0" xfId="2333" applyNumberFormat="1" applyFont="1" applyFill="1" applyAlignment="1">
      <alignment vertical="center"/>
    </xf>
    <xf numFmtId="165" fontId="21" fillId="0" borderId="0" xfId="2333" applyNumberFormat="1" applyFont="1" applyFill="1" applyAlignment="1">
      <alignment vertical="center"/>
    </xf>
    <xf numFmtId="3" fontId="21" fillId="0" borderId="0" xfId="2344" applyNumberFormat="1" applyFont="1" applyFill="1" applyAlignment="1">
      <alignment vertical="center"/>
    </xf>
    <xf numFmtId="165" fontId="21" fillId="0" borderId="0" xfId="2344" applyNumberFormat="1" applyFont="1" applyFill="1" applyAlignment="1">
      <alignment vertical="center"/>
    </xf>
    <xf numFmtId="3" fontId="21" fillId="0" borderId="0" xfId="2355" applyNumberFormat="1" applyFont="1" applyFill="1" applyAlignment="1">
      <alignment vertical="center"/>
    </xf>
    <xf numFmtId="165" fontId="21" fillId="0" borderId="0" xfId="2355" applyNumberFormat="1" applyFont="1" applyFill="1" applyAlignment="1">
      <alignment vertical="center"/>
    </xf>
    <xf numFmtId="0" fontId="46" fillId="0" borderId="0" xfId="18" quotePrefix="1" applyFont="1" applyFill="1" applyAlignment="1">
      <alignment vertical="center"/>
    </xf>
    <xf numFmtId="3" fontId="21" fillId="0" borderId="0" xfId="2366" applyNumberFormat="1" applyFont="1" applyFill="1" applyAlignment="1">
      <alignment vertical="center"/>
    </xf>
    <xf numFmtId="165" fontId="21" fillId="0" borderId="0" xfId="2366" applyNumberFormat="1" applyFont="1" applyFill="1" applyAlignment="1">
      <alignment vertical="center"/>
    </xf>
    <xf numFmtId="3" fontId="21" fillId="0" borderId="0" xfId="2401" applyNumberFormat="1" applyFont="1" applyFill="1" applyAlignment="1">
      <alignment vertical="center"/>
    </xf>
    <xf numFmtId="165" fontId="21" fillId="0" borderId="0" xfId="2401" applyNumberFormat="1" applyFont="1" applyFill="1" applyAlignment="1">
      <alignment vertical="center"/>
    </xf>
    <xf numFmtId="3" fontId="21" fillId="0" borderId="0" xfId="2436" applyNumberFormat="1" applyFont="1" applyFill="1" applyAlignment="1">
      <alignment vertical="center"/>
    </xf>
    <xf numFmtId="165" fontId="21" fillId="0" borderId="0" xfId="2436" applyNumberFormat="1" applyFont="1" applyFill="1" applyAlignment="1">
      <alignment vertical="center"/>
    </xf>
    <xf numFmtId="3" fontId="21" fillId="0" borderId="0" xfId="2471" applyNumberFormat="1" applyFont="1" applyFill="1" applyAlignment="1">
      <alignment vertical="center"/>
    </xf>
    <xf numFmtId="165" fontId="21" fillId="0" borderId="0" xfId="2471" applyNumberFormat="1" applyFont="1" applyFill="1" applyAlignment="1">
      <alignment vertical="center"/>
    </xf>
    <xf numFmtId="3" fontId="21" fillId="0" borderId="0" xfId="2506" applyNumberFormat="1" applyFont="1" applyFill="1" applyAlignment="1">
      <alignment vertical="center"/>
    </xf>
    <xf numFmtId="4" fontId="21" fillId="0" borderId="0" xfId="2506" applyNumberFormat="1" applyFont="1" applyFill="1" applyAlignment="1">
      <alignment vertical="center"/>
    </xf>
    <xf numFmtId="165" fontId="21" fillId="0" borderId="0" xfId="2506" applyNumberFormat="1" applyFont="1" applyFill="1" applyAlignment="1">
      <alignment vertical="center"/>
    </xf>
    <xf numFmtId="3" fontId="21" fillId="0" borderId="0" xfId="2574" applyNumberFormat="1" applyFont="1" applyFill="1" applyAlignment="1">
      <alignment vertical="center"/>
    </xf>
    <xf numFmtId="4" fontId="21" fillId="0" borderId="0" xfId="2574" applyNumberFormat="1" applyFont="1" applyFill="1" applyAlignment="1">
      <alignment vertical="center"/>
    </xf>
    <xf numFmtId="165" fontId="21" fillId="0" borderId="0" xfId="2574" applyNumberFormat="1" applyFont="1" applyFill="1" applyAlignment="1">
      <alignment vertical="center"/>
    </xf>
    <xf numFmtId="3" fontId="21" fillId="0" borderId="0" xfId="2610" applyNumberFormat="1" applyFont="1" applyFill="1" applyAlignment="1">
      <alignment vertical="center"/>
    </xf>
    <xf numFmtId="4" fontId="21" fillId="0" borderId="0" xfId="2610" applyNumberFormat="1" applyFont="1" applyFill="1" applyAlignment="1">
      <alignment vertical="center"/>
    </xf>
    <xf numFmtId="165" fontId="21" fillId="0" borderId="0" xfId="2610" applyNumberFormat="1" applyFont="1" applyFill="1" applyAlignment="1">
      <alignment vertical="center"/>
    </xf>
    <xf numFmtId="3" fontId="21" fillId="0" borderId="0" xfId="2646" applyNumberFormat="1" applyFont="1" applyFill="1" applyAlignment="1">
      <alignment vertical="center"/>
    </xf>
    <xf numFmtId="4" fontId="21" fillId="0" borderId="0" xfId="2646" applyNumberFormat="1" applyFont="1" applyFill="1" applyAlignment="1">
      <alignment vertical="center"/>
    </xf>
    <xf numFmtId="165" fontId="21" fillId="0" borderId="0" xfId="2646" applyNumberFormat="1" applyFont="1" applyFill="1" applyAlignment="1">
      <alignment vertical="center"/>
    </xf>
    <xf numFmtId="3" fontId="21" fillId="0" borderId="0" xfId="2681" applyNumberFormat="1" applyFont="1" applyFill="1" applyAlignment="1">
      <alignment vertical="center"/>
    </xf>
    <xf numFmtId="165" fontId="21" fillId="0" borderId="0" xfId="2681" applyNumberFormat="1" applyFont="1" applyFill="1" applyAlignment="1">
      <alignment vertical="center"/>
    </xf>
    <xf numFmtId="165" fontId="21" fillId="0" borderId="0" xfId="2681" applyNumberFormat="1" applyFont="1" applyFill="1" applyBorder="1" applyAlignment="1">
      <alignment vertical="center"/>
    </xf>
    <xf numFmtId="3" fontId="21" fillId="0" borderId="0" xfId="2716" applyNumberFormat="1" applyFont="1" applyFill="1" applyAlignment="1">
      <alignment vertical="center"/>
    </xf>
    <xf numFmtId="4" fontId="21" fillId="0" borderId="0" xfId="2716" applyNumberFormat="1" applyFont="1" applyFill="1" applyAlignment="1">
      <alignment vertical="center"/>
    </xf>
    <xf numFmtId="165" fontId="21" fillId="0" borderId="0" xfId="2716" applyNumberFormat="1" applyFont="1" applyFill="1" applyBorder="1" applyAlignment="1">
      <alignment vertical="center"/>
    </xf>
    <xf numFmtId="3" fontId="21" fillId="0" borderId="0" xfId="2784" applyNumberFormat="1" applyFont="1" applyFill="1" applyAlignment="1">
      <alignment vertical="center"/>
    </xf>
    <xf numFmtId="4" fontId="21" fillId="0" borderId="0" xfId="2784" applyNumberFormat="1" applyFont="1" applyFill="1" applyAlignment="1">
      <alignment vertical="center"/>
    </xf>
    <xf numFmtId="165" fontId="21" fillId="0" borderId="0" xfId="2784" applyNumberFormat="1" applyFont="1" applyFill="1" applyAlignment="1">
      <alignment vertical="center"/>
    </xf>
    <xf numFmtId="165" fontId="21" fillId="0" borderId="0" xfId="2784" applyNumberFormat="1" applyFont="1" applyFill="1" applyBorder="1" applyAlignment="1">
      <alignment vertical="center"/>
    </xf>
    <xf numFmtId="4" fontId="21" fillId="0" borderId="0" xfId="2819" applyNumberFormat="1" applyFont="1" applyFill="1" applyAlignment="1">
      <alignment vertical="center"/>
    </xf>
    <xf numFmtId="165" fontId="21" fillId="0" borderId="0" xfId="2261" applyNumberFormat="1" applyFont="1" applyFill="1" applyAlignment="1">
      <alignment vertical="center"/>
    </xf>
    <xf numFmtId="165" fontId="21" fillId="0" borderId="0" xfId="2272" applyNumberFormat="1" applyFont="1" applyFill="1" applyAlignment="1">
      <alignment vertical="center"/>
    </xf>
    <xf numFmtId="165" fontId="21" fillId="0" borderId="0" xfId="2307" applyNumberFormat="1" applyFont="1" applyFill="1" applyAlignment="1">
      <alignment vertical="center"/>
    </xf>
    <xf numFmtId="165" fontId="21" fillId="0" borderId="0" xfId="2319" applyNumberFormat="1" applyFont="1" applyFill="1" applyAlignment="1">
      <alignment vertical="center"/>
    </xf>
    <xf numFmtId="165" fontId="21" fillId="0" borderId="0" xfId="2334" applyNumberFormat="1" applyFont="1" applyFill="1" applyAlignment="1">
      <alignment vertical="center"/>
    </xf>
    <xf numFmtId="165" fontId="21" fillId="0" borderId="0" xfId="2345" applyNumberFormat="1" applyFont="1" applyFill="1" applyAlignment="1">
      <alignment vertical="center"/>
    </xf>
    <xf numFmtId="165" fontId="21" fillId="0" borderId="0" xfId="2356" applyNumberFormat="1" applyFont="1" applyFill="1" applyAlignment="1">
      <alignment vertical="center"/>
    </xf>
    <xf numFmtId="0" fontId="46" fillId="0" borderId="0" xfId="18" quotePrefix="1" applyFont="1" applyFill="1" applyBorder="1" applyAlignment="1">
      <alignment vertical="center"/>
    </xf>
    <xf numFmtId="165" fontId="21" fillId="0" borderId="0" xfId="2367" applyNumberFormat="1" applyFont="1" applyFill="1" applyAlignment="1">
      <alignment vertical="center"/>
    </xf>
    <xf numFmtId="165" fontId="21" fillId="0" borderId="0" xfId="2402" applyNumberFormat="1" applyFont="1" applyFill="1" applyAlignment="1">
      <alignment vertical="center"/>
    </xf>
    <xf numFmtId="165" fontId="21" fillId="0" borderId="0" xfId="2437" applyNumberFormat="1" applyFont="1" applyFill="1" applyAlignment="1">
      <alignment vertical="center"/>
    </xf>
    <xf numFmtId="165" fontId="21" fillId="0" borderId="0" xfId="2472" applyNumberFormat="1" applyFont="1" applyFill="1" applyAlignment="1">
      <alignment vertical="center"/>
    </xf>
    <xf numFmtId="165" fontId="21" fillId="0" borderId="0" xfId="2507" applyNumberFormat="1" applyFont="1" applyFill="1" applyAlignment="1">
      <alignment vertical="center"/>
    </xf>
    <xf numFmtId="165" fontId="21" fillId="0" borderId="0" xfId="2542" applyNumberFormat="1" applyFont="1" applyFill="1" applyAlignment="1">
      <alignment vertical="center"/>
    </xf>
    <xf numFmtId="165" fontId="21" fillId="0" borderId="0" xfId="2611" applyNumberFormat="1" applyFont="1" applyFill="1" applyAlignment="1">
      <alignment vertical="center"/>
    </xf>
    <xf numFmtId="165" fontId="21" fillId="0" borderId="0" xfId="2647" applyNumberFormat="1" applyFont="1" applyFill="1" applyAlignment="1">
      <alignment vertical="center"/>
    </xf>
    <xf numFmtId="165" fontId="21" fillId="0" borderId="0" xfId="2682" applyNumberFormat="1" applyFont="1" applyFill="1" applyAlignment="1">
      <alignment vertical="center"/>
    </xf>
    <xf numFmtId="165" fontId="21" fillId="0" borderId="0" xfId="2682" applyNumberFormat="1" applyFont="1" applyFill="1" applyBorder="1" applyAlignment="1">
      <alignment vertical="center"/>
    </xf>
    <xf numFmtId="165" fontId="21" fillId="0" borderId="0" xfId="2717" applyNumberFormat="1" applyFont="1" applyFill="1" applyAlignment="1">
      <alignment vertical="center"/>
    </xf>
    <xf numFmtId="165" fontId="21" fillId="0" borderId="0" xfId="2717" applyNumberFormat="1" applyFont="1" applyFill="1" applyBorder="1" applyAlignment="1">
      <alignment vertical="center"/>
    </xf>
    <xf numFmtId="165" fontId="21" fillId="0" borderId="0" xfId="2785" applyNumberFormat="1" applyFont="1" applyFill="1" applyAlignment="1">
      <alignment vertical="center"/>
    </xf>
    <xf numFmtId="165" fontId="21" fillId="0" borderId="0" xfId="2785" applyNumberFormat="1" applyFont="1" applyFill="1" applyBorder="1" applyAlignment="1">
      <alignment vertical="center"/>
    </xf>
    <xf numFmtId="165" fontId="22" fillId="0" borderId="0" xfId="18" quotePrefix="1" applyNumberFormat="1" applyFont="1" applyFill="1" applyBorder="1" applyAlignment="1">
      <alignment vertical="center"/>
    </xf>
    <xf numFmtId="165" fontId="43" fillId="0" borderId="0" xfId="18" applyNumberFormat="1" applyFont="1" applyFill="1" applyAlignment="1">
      <alignment vertical="center"/>
    </xf>
    <xf numFmtId="165" fontId="44" fillId="0" borderId="0" xfId="18" quotePrefix="1" applyNumberFormat="1" applyFont="1" applyFill="1" applyAlignment="1">
      <alignment vertical="center"/>
    </xf>
    <xf numFmtId="165" fontId="192" fillId="0" borderId="0" xfId="18" applyNumberFormat="1" applyFont="1" applyFill="1" applyAlignment="1">
      <alignment vertical="center"/>
    </xf>
    <xf numFmtId="165" fontId="21" fillId="0" borderId="0" xfId="2716" applyNumberFormat="1" applyFont="1" applyFill="1" applyAlignment="1">
      <alignment vertical="center"/>
    </xf>
    <xf numFmtId="4" fontId="21" fillId="0" borderId="0" xfId="2681" applyNumberFormat="1" applyFont="1" applyFill="1" applyAlignment="1">
      <alignment vertical="center"/>
    </xf>
    <xf numFmtId="165" fontId="21" fillId="0" borderId="0" xfId="2786" applyNumberFormat="1" applyFont="1" applyFill="1" applyAlignment="1">
      <alignment vertical="center"/>
    </xf>
    <xf numFmtId="3" fontId="21" fillId="0" borderId="0" xfId="2786" applyNumberFormat="1" applyFont="1" applyFill="1" applyAlignment="1">
      <alignment vertical="center"/>
    </xf>
    <xf numFmtId="165" fontId="21" fillId="0" borderId="0" xfId="2357" applyNumberFormat="1" applyFont="1" applyFill="1" applyAlignment="1">
      <alignment vertical="center"/>
    </xf>
    <xf numFmtId="3" fontId="21" fillId="0" borderId="0" xfId="2357" applyNumberFormat="1" applyFont="1" applyFill="1" applyAlignment="1">
      <alignment vertical="center"/>
    </xf>
    <xf numFmtId="165" fontId="21" fillId="0" borderId="0" xfId="2346" applyNumberFormat="1" applyFont="1" applyFill="1" applyAlignment="1">
      <alignment vertical="center"/>
    </xf>
    <xf numFmtId="3" fontId="21" fillId="0" borderId="0" xfId="2346" applyNumberFormat="1" applyFont="1" applyFill="1" applyAlignment="1">
      <alignment vertical="center"/>
    </xf>
    <xf numFmtId="165" fontId="21" fillId="0" borderId="0" xfId="2335" applyNumberFormat="1" applyFont="1" applyFill="1" applyAlignment="1">
      <alignment vertical="center"/>
    </xf>
    <xf numFmtId="3" fontId="21" fillId="0" borderId="0" xfId="2335" applyNumberFormat="1" applyFont="1" applyFill="1" applyAlignment="1">
      <alignment vertical="center"/>
    </xf>
    <xf numFmtId="3" fontId="21" fillId="0" borderId="0" xfId="2331" applyNumberFormat="1" applyFont="1" applyFill="1" applyAlignment="1">
      <alignment vertical="center"/>
    </xf>
    <xf numFmtId="165" fontId="21" fillId="0" borderId="0" xfId="2323" applyNumberFormat="1" applyFont="1" applyFill="1" applyAlignment="1">
      <alignment vertical="center"/>
    </xf>
    <xf numFmtId="3" fontId="21" fillId="0" borderId="0" xfId="2323" applyNumberFormat="1" applyFont="1" applyFill="1" applyAlignment="1">
      <alignment vertical="center"/>
    </xf>
    <xf numFmtId="165" fontId="21" fillId="0" borderId="0" xfId="2309" applyNumberFormat="1" applyFont="1" applyFill="1" applyAlignment="1">
      <alignment vertical="center"/>
    </xf>
    <xf numFmtId="3" fontId="21" fillId="0" borderId="0" xfId="2309" applyNumberFormat="1" applyFont="1" applyFill="1" applyAlignment="1">
      <alignment vertical="center"/>
    </xf>
    <xf numFmtId="165" fontId="21" fillId="0" borderId="0" xfId="2273" applyNumberFormat="1" applyFont="1" applyFill="1" applyAlignment="1">
      <alignment vertical="center"/>
    </xf>
    <xf numFmtId="3" fontId="21" fillId="0" borderId="0" xfId="2273" applyNumberFormat="1" applyFont="1" applyFill="1" applyAlignment="1">
      <alignment vertical="center"/>
    </xf>
    <xf numFmtId="165" fontId="21" fillId="0" borderId="0" xfId="2262" applyNumberFormat="1" applyFont="1" applyFill="1" applyAlignment="1">
      <alignment vertical="center"/>
    </xf>
    <xf numFmtId="3" fontId="21" fillId="0" borderId="0" xfId="2262" applyNumberFormat="1" applyFont="1" applyFill="1" applyAlignment="1">
      <alignment vertical="center"/>
    </xf>
    <xf numFmtId="165" fontId="21" fillId="0" borderId="0" xfId="2257" applyNumberFormat="1" applyFont="1" applyFill="1" applyAlignment="1">
      <alignment vertical="center"/>
    </xf>
    <xf numFmtId="3" fontId="21" fillId="0" borderId="0" xfId="2257" applyNumberFormat="1" applyFont="1" applyFill="1" applyAlignment="1">
      <alignment vertical="center"/>
    </xf>
    <xf numFmtId="165" fontId="192" fillId="0" borderId="0" xfId="18" applyNumberFormat="1" applyFont="1" applyFill="1" applyBorder="1" applyAlignment="1">
      <alignment vertical="center"/>
    </xf>
    <xf numFmtId="0" fontId="46" fillId="0" borderId="0" xfId="18" quotePrefix="1" applyNumberFormat="1" applyFont="1" applyFill="1" applyAlignment="1">
      <alignment vertical="center"/>
    </xf>
    <xf numFmtId="165" fontId="46" fillId="0" borderId="0" xfId="18" quotePrefix="1" applyNumberFormat="1" applyFont="1" applyFill="1" applyBorder="1" applyAlignment="1">
      <alignment vertical="center"/>
    </xf>
    <xf numFmtId="165" fontId="46" fillId="0" borderId="0" xfId="18" quotePrefix="1" applyNumberFormat="1" applyFont="1" applyFill="1" applyAlignment="1">
      <alignment vertical="center"/>
    </xf>
    <xf numFmtId="165" fontId="21" fillId="0" borderId="9" xfId="18" applyNumberFormat="1" applyFont="1" applyFill="1" applyBorder="1" applyAlignment="1">
      <alignment horizontal="center" vertical="center"/>
    </xf>
    <xf numFmtId="165" fontId="21" fillId="0" borderId="9" xfId="18" applyNumberFormat="1" applyFont="1" applyFill="1" applyBorder="1" applyAlignment="1">
      <alignment horizontal="center" vertical="center" wrapText="1"/>
    </xf>
    <xf numFmtId="165" fontId="21" fillId="0" borderId="12" xfId="18" applyNumberFormat="1" applyFont="1" applyFill="1" applyBorder="1" applyAlignment="1">
      <alignment vertical="center"/>
    </xf>
    <xf numFmtId="165" fontId="192" fillId="0" borderId="12" xfId="18" applyNumberFormat="1" applyFont="1" applyFill="1" applyBorder="1" applyAlignment="1">
      <alignment vertical="center"/>
    </xf>
    <xf numFmtId="165" fontId="25" fillId="0" borderId="8" xfId="18" applyNumberFormat="1" applyFont="1" applyFill="1" applyBorder="1" applyAlignment="1">
      <alignment vertical="center"/>
    </xf>
    <xf numFmtId="165" fontId="46" fillId="0" borderId="8" xfId="18" applyNumberFormat="1" applyFont="1" applyFill="1" applyBorder="1" applyAlignment="1">
      <alignment vertical="center"/>
    </xf>
    <xf numFmtId="165" fontId="46" fillId="0" borderId="0" xfId="18" applyNumberFormat="1" applyFont="1" applyFill="1" applyBorder="1" applyAlignment="1">
      <alignment horizontal="center"/>
    </xf>
    <xf numFmtId="165" fontId="166" fillId="0" borderId="0" xfId="18" applyNumberFormat="1" applyFont="1" applyFill="1" applyBorder="1" applyAlignment="1">
      <alignment vertical="center"/>
    </xf>
    <xf numFmtId="165" fontId="21" fillId="0" borderId="0" xfId="2818" applyNumberFormat="1" applyFont="1" applyFill="1" applyAlignment="1">
      <alignment vertical="center"/>
    </xf>
    <xf numFmtId="165" fontId="21" fillId="0" borderId="0" xfId="2819" applyNumberFormat="1" applyFont="1" applyFill="1" applyBorder="1" applyAlignment="1">
      <alignment vertical="center"/>
    </xf>
    <xf numFmtId="165" fontId="21" fillId="0" borderId="0" xfId="2819" applyNumberFormat="1" applyFont="1" applyFill="1" applyAlignment="1">
      <alignment vertical="center"/>
    </xf>
    <xf numFmtId="3" fontId="21" fillId="0" borderId="0" xfId="2819" applyNumberFormat="1" applyFont="1" applyFill="1" applyAlignment="1">
      <alignment vertical="center"/>
    </xf>
    <xf numFmtId="165" fontId="46" fillId="0" borderId="0" xfId="18" applyNumberFormat="1" applyFont="1" applyFill="1" applyBorder="1" applyAlignment="1"/>
    <xf numFmtId="165" fontId="21" fillId="0" borderId="0" xfId="2820" applyNumberFormat="1" applyFont="1" applyFill="1" applyBorder="1" applyAlignment="1">
      <alignment vertical="center"/>
    </xf>
    <xf numFmtId="165" fontId="21" fillId="0" borderId="0" xfId="2820" applyNumberFormat="1" applyFont="1" applyFill="1" applyAlignment="1">
      <alignment vertical="center"/>
    </xf>
    <xf numFmtId="165" fontId="10" fillId="0" borderId="0" xfId="5" applyNumberFormat="1" applyFont="1" applyFill="1" applyBorder="1" applyAlignment="1">
      <alignment vertical="center"/>
    </xf>
    <xf numFmtId="165" fontId="25" fillId="0" borderId="0" xfId="12" applyNumberFormat="1" applyFont="1" applyFill="1" applyBorder="1" applyAlignment="1">
      <alignment horizontal="center" vertical="center"/>
    </xf>
    <xf numFmtId="165" fontId="22" fillId="0" borderId="18" xfId="0" applyNumberFormat="1" applyFont="1" applyFill="1" applyBorder="1" applyAlignment="1">
      <alignment horizontal="right" vertical="center"/>
    </xf>
    <xf numFmtId="165" fontId="22" fillId="0" borderId="94" xfId="0" applyNumberFormat="1" applyFont="1" applyFill="1" applyBorder="1" applyAlignment="1">
      <alignment horizontal="right" vertical="center"/>
    </xf>
    <xf numFmtId="165" fontId="22" fillId="0" borderId="106" xfId="0" applyNumberFormat="1" applyFont="1" applyFill="1" applyBorder="1" applyAlignment="1">
      <alignment horizontal="right" vertical="center"/>
    </xf>
    <xf numFmtId="165" fontId="22" fillId="0" borderId="22" xfId="16" applyNumberFormat="1" applyFont="1" applyFill="1" applyBorder="1" applyAlignment="1">
      <alignment horizontal="right" vertical="center"/>
    </xf>
    <xf numFmtId="165" fontId="22" fillId="0" borderId="91" xfId="16" applyNumberFormat="1" applyFont="1" applyFill="1" applyBorder="1" applyAlignment="1">
      <alignment horizontal="right" vertical="center"/>
    </xf>
    <xf numFmtId="165" fontId="22" fillId="0" borderId="92" xfId="16" applyNumberFormat="1" applyFont="1" applyFill="1" applyBorder="1" applyAlignment="1">
      <alignment horizontal="right" vertical="center"/>
    </xf>
    <xf numFmtId="165" fontId="21" fillId="0" borderId="0" xfId="16" applyNumberFormat="1" applyFont="1" applyFill="1" applyBorder="1" applyAlignment="1">
      <alignment horizontal="left" vertical="center" wrapText="1"/>
    </xf>
    <xf numFmtId="165" fontId="54" fillId="0" borderId="0" xfId="15" applyNumberFormat="1" applyFont="1" applyFill="1" applyBorder="1" applyAlignment="1">
      <alignment vertical="center"/>
    </xf>
    <xf numFmtId="165" fontId="77" fillId="0" borderId="0" xfId="15" applyNumberFormat="1" applyFont="1" applyFill="1" applyBorder="1" applyAlignment="1">
      <alignment horizontal="left" vertical="center"/>
    </xf>
    <xf numFmtId="165" fontId="21" fillId="0" borderId="11" xfId="15" applyNumberFormat="1" applyFont="1" applyFill="1" applyBorder="1" applyAlignment="1">
      <alignment vertical="center"/>
    </xf>
    <xf numFmtId="165" fontId="25" fillId="0" borderId="11" xfId="12" quotePrefix="1" applyNumberFormat="1" applyFont="1" applyFill="1" applyBorder="1" applyAlignment="1">
      <alignment horizontal="center" vertical="center" wrapText="1"/>
    </xf>
    <xf numFmtId="0" fontId="11" fillId="0" borderId="3" xfId="18" applyFill="1" applyBorder="1"/>
    <xf numFmtId="165" fontId="25" fillId="0" borderId="0" xfId="12" quotePrefix="1" applyNumberFormat="1" applyFont="1" applyFill="1" applyBorder="1" applyAlignment="1">
      <alignment horizontal="center" vertical="center"/>
    </xf>
    <xf numFmtId="165" fontId="46" fillId="0" borderId="0" xfId="12" applyNumberFormat="1" applyFont="1" applyFill="1" applyBorder="1" applyAlignment="1">
      <alignment vertical="center"/>
    </xf>
    <xf numFmtId="165" fontId="21" fillId="0" borderId="0" xfId="15" applyNumberFormat="1" applyFont="1" applyFill="1" applyBorder="1" applyAlignment="1">
      <alignment horizontal="left" vertical="center" indent="2"/>
    </xf>
    <xf numFmtId="165" fontId="25" fillId="0" borderId="0" xfId="15" applyNumberFormat="1" applyFont="1" applyFill="1" applyBorder="1" applyAlignment="1">
      <alignment vertical="center"/>
    </xf>
    <xf numFmtId="165" fontId="46" fillId="0" borderId="11" xfId="15" applyNumberFormat="1" applyFont="1" applyFill="1" applyBorder="1" applyAlignment="1">
      <alignment vertical="center"/>
    </xf>
    <xf numFmtId="165" fontId="46" fillId="0" borderId="11" xfId="12" applyNumberFormat="1" applyFont="1" applyFill="1" applyBorder="1" applyAlignment="1">
      <alignment vertical="center"/>
    </xf>
    <xf numFmtId="165" fontId="46" fillId="0" borderId="30" xfId="12" applyNumberFormat="1" applyFont="1" applyFill="1" applyBorder="1" applyAlignment="1">
      <alignment vertical="center"/>
    </xf>
    <xf numFmtId="165" fontId="24" fillId="0" borderId="0" xfId="12" applyNumberFormat="1" applyFont="1" applyFill="1" applyBorder="1" applyAlignment="1">
      <alignment vertical="center"/>
    </xf>
    <xf numFmtId="165" fontId="42" fillId="0" borderId="0" xfId="15" applyNumberFormat="1" applyFont="1" applyFill="1" applyAlignment="1">
      <alignment vertical="center"/>
    </xf>
    <xf numFmtId="165" fontId="21" fillId="0" borderId="12" xfId="15" applyNumberFormat="1" applyFont="1" applyFill="1" applyBorder="1" applyAlignment="1">
      <alignment horizontal="left" vertical="center" indent="2"/>
    </xf>
    <xf numFmtId="165" fontId="21" fillId="0" borderId="31" xfId="12" applyNumberFormat="1" applyFont="1" applyFill="1" applyBorder="1" applyAlignment="1">
      <alignment vertical="center"/>
    </xf>
    <xf numFmtId="165" fontId="46" fillId="0" borderId="0" xfId="15" applyNumberFormat="1" applyFont="1" applyFill="1" applyAlignment="1">
      <alignment vertical="center"/>
    </xf>
    <xf numFmtId="165" fontId="46" fillId="0" borderId="0" xfId="12" quotePrefix="1" applyNumberFormat="1" applyFont="1" applyFill="1" applyBorder="1" applyAlignment="1">
      <alignment horizontal="center" vertical="center" wrapText="1"/>
    </xf>
    <xf numFmtId="165" fontId="46" fillId="0" borderId="12" xfId="12" quotePrefix="1" applyNumberFormat="1" applyFont="1" applyFill="1" applyBorder="1" applyAlignment="1">
      <alignment horizontal="left" vertical="center" wrapText="1"/>
    </xf>
    <xf numFmtId="165" fontId="81" fillId="0" borderId="0" xfId="12" quotePrefix="1" applyNumberFormat="1" applyFont="1" applyFill="1" applyBorder="1" applyAlignment="1">
      <alignment horizontal="left" vertical="center" wrapText="1"/>
    </xf>
    <xf numFmtId="165" fontId="82" fillId="0" borderId="11" xfId="15" applyNumberFormat="1" applyFont="1" applyFill="1" applyBorder="1" applyAlignment="1">
      <alignment vertical="center" wrapText="1"/>
    </xf>
    <xf numFmtId="165" fontId="46" fillId="0" borderId="11" xfId="10" applyNumberFormat="1" applyFont="1" applyFill="1" applyBorder="1" applyAlignment="1">
      <alignment horizontal="left" vertical="center"/>
    </xf>
    <xf numFmtId="165" fontId="192" fillId="0" borderId="11" xfId="10" applyNumberFormat="1" applyFont="1" applyFill="1" applyBorder="1" applyAlignment="1">
      <alignment horizontal="right" vertical="center"/>
    </xf>
    <xf numFmtId="165" fontId="46" fillId="0" borderId="11" xfId="10" applyNumberFormat="1" applyFont="1" applyFill="1" applyBorder="1" applyAlignment="1">
      <alignment horizontal="right" vertical="center"/>
    </xf>
    <xf numFmtId="184" fontId="21" fillId="0" borderId="0" xfId="15" applyNumberFormat="1" applyFont="1" applyFill="1" applyBorder="1" applyAlignment="1">
      <alignment vertical="center"/>
    </xf>
    <xf numFmtId="181" fontId="21" fillId="0" borderId="0" xfId="15" applyNumberFormat="1" applyFont="1" applyFill="1" applyBorder="1" applyAlignment="1">
      <alignment vertical="center"/>
    </xf>
    <xf numFmtId="165" fontId="21" fillId="0" borderId="12" xfId="15" applyNumberFormat="1" applyFont="1" applyFill="1" applyBorder="1" applyAlignment="1">
      <alignment horizontal="left" vertical="center" wrapText="1" indent="1"/>
    </xf>
    <xf numFmtId="165" fontId="21" fillId="0" borderId="12" xfId="10" applyNumberFormat="1" applyFont="1" applyFill="1" applyBorder="1" applyAlignment="1">
      <alignment vertical="center"/>
    </xf>
    <xf numFmtId="0" fontId="11" fillId="0" borderId="12" xfId="18" applyFill="1" applyBorder="1"/>
    <xf numFmtId="165" fontId="21" fillId="0" borderId="12" xfId="15" applyNumberFormat="1" applyFont="1" applyFill="1" applyBorder="1" applyAlignment="1">
      <alignment vertical="center"/>
    </xf>
    <xf numFmtId="0" fontId="21" fillId="0" borderId="0" xfId="18" quotePrefix="1" applyFont="1" applyFill="1" applyBorder="1" applyAlignment="1">
      <alignment horizontal="left" vertical="center" wrapText="1"/>
    </xf>
    <xf numFmtId="0" fontId="25" fillId="0" borderId="0" xfId="18" applyFont="1" applyFill="1" applyAlignment="1">
      <alignment vertical="center"/>
    </xf>
    <xf numFmtId="0" fontId="21" fillId="0" borderId="0" xfId="18" applyFont="1" applyFill="1" applyAlignment="1">
      <alignment vertical="center"/>
    </xf>
    <xf numFmtId="0" fontId="77" fillId="0" borderId="0" xfId="18" applyFont="1" applyFill="1" applyAlignment="1">
      <alignment horizontal="left" vertical="center"/>
    </xf>
    <xf numFmtId="0" fontId="77" fillId="0" borderId="0" xfId="15" applyFont="1" applyFill="1" applyAlignment="1">
      <alignment horizontal="left" vertical="center"/>
    </xf>
    <xf numFmtId="0" fontId="21" fillId="0" borderId="0" xfId="15" applyFont="1" applyFill="1" applyAlignment="1">
      <alignment horizontal="left" vertical="center"/>
    </xf>
    <xf numFmtId="172" fontId="21" fillId="0" borderId="0" xfId="15" applyNumberFormat="1" applyFont="1" applyFill="1" applyAlignment="1">
      <alignment vertical="center"/>
    </xf>
    <xf numFmtId="165" fontId="22" fillId="0" borderId="0" xfId="14" applyNumberFormat="1" applyFont="1" applyFill="1" applyAlignment="1"/>
    <xf numFmtId="165" fontId="22" fillId="0" borderId="0" xfId="14" applyNumberFormat="1" applyFont="1" applyFill="1" applyAlignment="1">
      <alignment horizontal="right"/>
    </xf>
    <xf numFmtId="165" fontId="21" fillId="0" borderId="25" xfId="39" applyNumberFormat="1" applyFont="1" applyFill="1" applyBorder="1" applyAlignment="1">
      <alignment vertical="center"/>
    </xf>
    <xf numFmtId="0" fontId="21" fillId="0" borderId="9" xfId="12" applyNumberFormat="1" applyFont="1" applyFill="1" applyBorder="1" applyAlignment="1">
      <alignment horizontal="center" vertical="center" wrapText="1"/>
    </xf>
    <xf numFmtId="0" fontId="21" fillId="0" borderId="0" xfId="12" applyNumberFormat="1" applyFont="1" applyFill="1" applyBorder="1" applyAlignment="1">
      <alignment horizontal="center" vertical="center" wrapText="1"/>
    </xf>
    <xf numFmtId="165" fontId="22" fillId="0" borderId="0" xfId="16" applyNumberFormat="1" applyFont="1" applyFill="1" applyBorder="1" applyAlignment="1">
      <alignment vertical="center"/>
    </xf>
    <xf numFmtId="179" fontId="46" fillId="0" borderId="0" xfId="11" applyNumberFormat="1" applyFont="1" applyFill="1" applyAlignment="1">
      <alignment vertical="center"/>
    </xf>
    <xf numFmtId="179" fontId="21" fillId="0" borderId="0" xfId="11" applyNumberFormat="1" applyFont="1" applyFill="1" applyAlignment="1">
      <alignment vertical="center"/>
    </xf>
    <xf numFmtId="179" fontId="21" fillId="0" borderId="0" xfId="11" applyNumberFormat="1" applyFont="1" applyFill="1" applyBorder="1" applyAlignment="1">
      <alignment vertical="center"/>
    </xf>
    <xf numFmtId="179" fontId="46" fillId="0" borderId="0" xfId="11" applyNumberFormat="1" applyFont="1" applyFill="1" applyBorder="1" applyAlignment="1">
      <alignment vertical="center"/>
    </xf>
    <xf numFmtId="165" fontId="29" fillId="0" borderId="0" xfId="18" applyNumberFormat="1" applyFont="1" applyFill="1" applyAlignment="1">
      <alignment vertical="center"/>
    </xf>
    <xf numFmtId="165" fontId="22" fillId="0" borderId="11" xfId="16" applyNumberFormat="1" applyFont="1" applyFill="1" applyBorder="1" applyAlignment="1">
      <alignment vertical="center"/>
    </xf>
    <xf numFmtId="179" fontId="22" fillId="0" borderId="7" xfId="11" applyNumberFormat="1" applyFont="1" applyFill="1" applyBorder="1" applyAlignment="1">
      <alignment vertical="center"/>
    </xf>
    <xf numFmtId="179" fontId="22" fillId="0" borderId="0" xfId="11" applyNumberFormat="1" applyFont="1" applyFill="1" applyBorder="1" applyAlignment="1">
      <alignment vertical="center"/>
    </xf>
    <xf numFmtId="165" fontId="59" fillId="0" borderId="0" xfId="18" applyNumberFormat="1" applyFont="1" applyFill="1"/>
    <xf numFmtId="165" fontId="21" fillId="0" borderId="11" xfId="16" applyNumberFormat="1" applyFont="1" applyFill="1" applyBorder="1" applyAlignment="1">
      <alignment horizontal="center" vertical="center" wrapText="1"/>
    </xf>
    <xf numFmtId="165" fontId="21" fillId="0" borderId="0" xfId="16" applyNumberFormat="1" applyFont="1" applyFill="1" applyBorder="1" applyAlignment="1">
      <alignment horizontal="center" vertical="center" wrapText="1"/>
    </xf>
    <xf numFmtId="165" fontId="40" fillId="0" borderId="0" xfId="19" applyNumberFormat="1" applyFont="1" applyFill="1" applyBorder="1"/>
    <xf numFmtId="165" fontId="21" fillId="0" borderId="0" xfId="14" applyNumberFormat="1" applyFont="1" applyFill="1" applyAlignment="1">
      <alignment horizontal="left" vertical="center" wrapText="1"/>
    </xf>
    <xf numFmtId="49" fontId="25" fillId="3" borderId="8" xfId="12" applyNumberFormat="1" applyFont="1" applyFill="1" applyBorder="1" applyAlignment="1">
      <alignment horizontal="center" vertical="center" wrapText="1"/>
    </xf>
    <xf numFmtId="165" fontId="30" fillId="3" borderId="11" xfId="12" quotePrefix="1" applyNumberFormat="1" applyFont="1" applyFill="1" applyBorder="1" applyAlignment="1" applyProtection="1">
      <alignment horizontal="center" vertical="center" wrapText="1"/>
      <protection locked="0"/>
    </xf>
    <xf numFmtId="165" fontId="21" fillId="3" borderId="12" xfId="14" applyNumberFormat="1" applyFont="1" applyFill="1" applyBorder="1" applyAlignment="1">
      <alignment vertical="center"/>
    </xf>
    <xf numFmtId="49" fontId="25" fillId="3" borderId="24" xfId="12" applyNumberFormat="1" applyFont="1" applyFill="1" applyBorder="1" applyAlignment="1">
      <alignment horizontal="center" vertical="center" wrapText="1"/>
    </xf>
    <xf numFmtId="49" fontId="25" fillId="3" borderId="24" xfId="12" quotePrefix="1" applyNumberFormat="1" applyFont="1" applyFill="1" applyBorder="1" applyAlignment="1">
      <alignment horizontal="center" vertical="center" wrapText="1"/>
    </xf>
    <xf numFmtId="0" fontId="21" fillId="3" borderId="0" xfId="16" applyFont="1" applyFill="1" applyBorder="1"/>
    <xf numFmtId="165" fontId="46" fillId="3" borderId="0" xfId="14" applyNumberFormat="1" applyFont="1" applyFill="1" applyAlignment="1">
      <alignment vertical="center"/>
    </xf>
    <xf numFmtId="165" fontId="46" fillId="3" borderId="0" xfId="14" applyNumberFormat="1" applyFont="1" applyFill="1" applyBorder="1" applyAlignment="1">
      <alignment vertical="center"/>
    </xf>
    <xf numFmtId="0" fontId="50" fillId="3" borderId="0" xfId="30" applyFont="1" applyFill="1" applyAlignment="1">
      <alignment horizontal="left" vertical="center" indent="2"/>
    </xf>
    <xf numFmtId="0" fontId="50" fillId="3" borderId="0" xfId="18" applyFont="1" applyFill="1" applyAlignment="1">
      <alignment horizontal="left" vertical="center" indent="2"/>
    </xf>
    <xf numFmtId="0" fontId="194" fillId="3" borderId="7" xfId="30" applyFont="1" applyFill="1" applyBorder="1"/>
    <xf numFmtId="165" fontId="46" fillId="3" borderId="6" xfId="14" applyNumberFormat="1" applyFont="1" applyFill="1" applyBorder="1" applyAlignment="1">
      <alignment vertical="center"/>
    </xf>
    <xf numFmtId="165" fontId="46" fillId="3" borderId="22" xfId="14" applyNumberFormat="1" applyFont="1" applyFill="1" applyBorder="1" applyAlignment="1">
      <alignment vertical="center"/>
    </xf>
    <xf numFmtId="165" fontId="22" fillId="3" borderId="0" xfId="14" applyNumberFormat="1" applyFont="1" applyFill="1" applyBorder="1" applyAlignment="1"/>
    <xf numFmtId="165" fontId="21" fillId="3" borderId="0" xfId="16" applyNumberFormat="1" applyFont="1" applyFill="1" applyBorder="1" applyAlignment="1">
      <alignment vertical="center"/>
    </xf>
    <xf numFmtId="165" fontId="46" fillId="3" borderId="0" xfId="14" applyNumberFormat="1" applyFont="1" applyFill="1" applyBorder="1" applyAlignment="1">
      <alignment horizontal="right"/>
    </xf>
    <xf numFmtId="165" fontId="25" fillId="3" borderId="23" xfId="12" applyNumberFormat="1" applyFont="1" applyFill="1" applyBorder="1" applyAlignment="1">
      <alignment horizontal="center" vertical="center" wrapText="1"/>
    </xf>
    <xf numFmtId="165" fontId="25" fillId="3" borderId="24" xfId="12" quotePrefix="1" applyNumberFormat="1" applyFont="1" applyFill="1" applyBorder="1" applyAlignment="1">
      <alignment horizontal="center" vertical="center" wrapText="1"/>
    </xf>
    <xf numFmtId="165" fontId="46" fillId="3" borderId="0" xfId="14" applyNumberFormat="1" applyFont="1" applyFill="1" applyBorder="1" applyAlignment="1">
      <alignment horizontal="right" vertical="center"/>
    </xf>
    <xf numFmtId="165" fontId="50" fillId="3" borderId="0" xfId="30" applyNumberFormat="1" applyFont="1" applyFill="1" applyAlignment="1">
      <alignment horizontal="right"/>
    </xf>
    <xf numFmtId="165" fontId="25" fillId="0" borderId="7" xfId="15" applyNumberFormat="1" applyFont="1" applyFill="1" applyBorder="1" applyAlignment="1">
      <alignment horizontal="center" vertical="center" wrapText="1"/>
    </xf>
    <xf numFmtId="0" fontId="40" fillId="0" borderId="0" xfId="19" applyFont="1" applyFill="1" applyAlignment="1">
      <alignment horizontal="left" vertical="justify" wrapText="1"/>
    </xf>
    <xf numFmtId="0" fontId="11" fillId="0" borderId="0" xfId="18" applyFill="1" applyAlignment="1">
      <alignment horizontal="left" vertical="justify" wrapText="1"/>
    </xf>
    <xf numFmtId="165" fontId="21" fillId="0" borderId="10" xfId="18" applyNumberFormat="1" applyFont="1" applyFill="1" applyBorder="1" applyAlignment="1">
      <alignment horizontal="center" vertical="center" wrapText="1"/>
    </xf>
    <xf numFmtId="165" fontId="21" fillId="0" borderId="9" xfId="18" applyNumberFormat="1" applyFont="1" applyFill="1" applyBorder="1" applyAlignment="1">
      <alignment horizontal="center" vertical="center" wrapText="1"/>
    </xf>
    <xf numFmtId="0" fontId="190" fillId="0" borderId="0" xfId="7" applyFont="1" applyFill="1" applyBorder="1" applyAlignment="1"/>
    <xf numFmtId="0" fontId="189" fillId="0" borderId="0" xfId="7" applyFont="1" applyFill="1" applyAlignment="1"/>
    <xf numFmtId="3" fontId="189" fillId="0" borderId="0" xfId="7" applyNumberFormat="1" applyFont="1" applyFill="1" applyAlignment="1"/>
    <xf numFmtId="165" fontId="46" fillId="0" borderId="0" xfId="15" applyNumberFormat="1" applyFont="1" applyFill="1" applyBorder="1" applyAlignment="1">
      <alignment horizontal="right"/>
    </xf>
    <xf numFmtId="0" fontId="190" fillId="0" borderId="0" xfId="7" applyFont="1" applyFill="1" applyAlignment="1"/>
    <xf numFmtId="165" fontId="35" fillId="0" borderId="3" xfId="9" applyNumberFormat="1" applyFont="1" applyFill="1" applyBorder="1" applyAlignment="1" applyProtection="1">
      <protection locked="0"/>
    </xf>
    <xf numFmtId="0" fontId="0" fillId="0" borderId="3" xfId="0" applyFill="1" applyBorder="1"/>
    <xf numFmtId="165" fontId="30" fillId="0" borderId="7" xfId="12" quotePrefix="1" applyNumberFormat="1" applyFont="1" applyFill="1" applyBorder="1" applyAlignment="1" applyProtection="1">
      <alignment horizontal="center" vertical="center" wrapText="1"/>
      <protection locked="0"/>
    </xf>
    <xf numFmtId="0" fontId="23" fillId="0" borderId="3" xfId="0" applyFont="1" applyFill="1" applyBorder="1"/>
    <xf numFmtId="0" fontId="0" fillId="0" borderId="0" xfId="0" applyFill="1" applyBorder="1"/>
    <xf numFmtId="0" fontId="23" fillId="0" borderId="0" xfId="0" applyFont="1" applyFill="1" applyBorder="1"/>
    <xf numFmtId="0" fontId="30" fillId="0" borderId="7" xfId="9" quotePrefix="1" applyFont="1" applyFill="1" applyBorder="1" applyAlignment="1" applyProtection="1">
      <alignment horizontal="center" vertical="center"/>
      <protection locked="0"/>
    </xf>
    <xf numFmtId="0" fontId="219" fillId="0" borderId="0" xfId="0" applyFont="1" applyFill="1" applyBorder="1"/>
    <xf numFmtId="0" fontId="30" fillId="0" borderId="0" xfId="9" quotePrefix="1" applyFont="1" applyFill="1" applyBorder="1" applyAlignment="1" applyProtection="1">
      <alignment vertical="center"/>
      <protection locked="0"/>
    </xf>
    <xf numFmtId="0" fontId="25" fillId="0" borderId="7" xfId="9" quotePrefix="1" applyFont="1" applyFill="1" applyBorder="1" applyAlignment="1" applyProtection="1">
      <alignment horizontal="center" vertical="center"/>
      <protection locked="0"/>
    </xf>
    <xf numFmtId="0" fontId="2" fillId="0" borderId="6" xfId="0" applyFont="1" applyFill="1" applyBorder="1"/>
    <xf numFmtId="0" fontId="2" fillId="0" borderId="0"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190" fillId="0" borderId="0" xfId="7" applyFont="1" applyFill="1" applyBorder="1"/>
    <xf numFmtId="165" fontId="24" fillId="0" borderId="0" xfId="9" applyNumberFormat="1" applyFont="1" applyFill="1" applyBorder="1" applyAlignment="1">
      <alignment vertical="center"/>
    </xf>
    <xf numFmtId="165" fontId="29" fillId="0" borderId="0" xfId="27" applyNumberFormat="1" applyFont="1" applyFill="1" applyBorder="1" applyAlignment="1" applyProtection="1">
      <alignment horizontal="left" vertical="center" indent="3"/>
      <protection locked="0"/>
    </xf>
    <xf numFmtId="165" fontId="21" fillId="0" borderId="0" xfId="9" applyNumberFormat="1" applyFont="1" applyFill="1" applyBorder="1" applyAlignment="1">
      <alignment horizontal="right" vertical="center"/>
    </xf>
    <xf numFmtId="0" fontId="0" fillId="0" borderId="0" xfId="0" applyFill="1" applyAlignment="1">
      <alignment horizontal="right"/>
    </xf>
    <xf numFmtId="0" fontId="190" fillId="0" borderId="0" xfId="7" applyFont="1" applyFill="1"/>
    <xf numFmtId="165" fontId="30" fillId="0" borderId="0" xfId="0" applyNumberFormat="1" applyFont="1" applyFill="1" applyBorder="1" applyAlignment="1">
      <alignment vertical="center"/>
    </xf>
    <xf numFmtId="165" fontId="24" fillId="0" borderId="7" xfId="9" applyNumberFormat="1" applyFont="1" applyFill="1" applyBorder="1" applyAlignment="1">
      <alignment vertical="center"/>
    </xf>
    <xf numFmtId="165" fontId="29" fillId="0" borderId="0" xfId="0" applyNumberFormat="1" applyFont="1" applyFill="1" applyBorder="1" applyAlignment="1">
      <alignment vertical="center"/>
    </xf>
    <xf numFmtId="0" fontId="32" fillId="0" borderId="0" xfId="0" applyFont="1" applyFill="1"/>
    <xf numFmtId="165" fontId="0" fillId="0" borderId="0" xfId="0" applyNumberFormat="1" applyFill="1" applyBorder="1"/>
    <xf numFmtId="0" fontId="32" fillId="0" borderId="0" xfId="0" applyFont="1" applyFill="1" applyBorder="1"/>
    <xf numFmtId="165" fontId="21" fillId="0" borderId="12" xfId="16" applyNumberFormat="1" applyFont="1" applyFill="1" applyBorder="1" applyAlignment="1">
      <alignment horizontal="right" vertical="center"/>
    </xf>
    <xf numFmtId="0" fontId="29" fillId="0" borderId="0" xfId="7" applyFont="1" applyFill="1" applyAlignment="1">
      <alignment horizontal="left" vertical="center" wrapText="1"/>
    </xf>
    <xf numFmtId="165" fontId="30" fillId="0" borderId="0" xfId="9" applyNumberFormat="1" applyFont="1" applyFill="1" applyAlignment="1" applyProtection="1">
      <alignment vertical="center"/>
      <protection locked="0"/>
    </xf>
    <xf numFmtId="4" fontId="11" fillId="0" borderId="0" xfId="7" applyNumberFormat="1" applyFill="1"/>
    <xf numFmtId="0" fontId="163" fillId="0" borderId="0" xfId="7" applyFont="1" applyFill="1" applyAlignment="1">
      <alignment horizontal="left" vertical="center" wrapText="1"/>
    </xf>
    <xf numFmtId="165" fontId="4" fillId="0" borderId="0" xfId="15" applyNumberFormat="1" applyFont="1" applyFill="1" applyBorder="1" applyAlignment="1">
      <alignment vertical="center"/>
    </xf>
    <xf numFmtId="165" fontId="24" fillId="0" borderId="0" xfId="15" applyNumberFormat="1" applyFont="1" applyFill="1" applyBorder="1" applyAlignment="1"/>
    <xf numFmtId="0" fontId="11" fillId="0" borderId="3" xfId="7" applyFill="1" applyBorder="1"/>
    <xf numFmtId="165" fontId="25" fillId="0" borderId="3" xfId="15" applyNumberFormat="1" applyFont="1" applyFill="1" applyBorder="1" applyAlignment="1">
      <alignment horizontal="center" vertical="center"/>
    </xf>
    <xf numFmtId="0" fontId="4" fillId="0" borderId="6" xfId="7" applyFont="1" applyFill="1" applyBorder="1"/>
    <xf numFmtId="0" fontId="2" fillId="0" borderId="6" xfId="7" applyFont="1" applyFill="1" applyBorder="1" applyAlignment="1">
      <alignment horizontal="center" vertical="center" wrapText="1"/>
    </xf>
    <xf numFmtId="0" fontId="2" fillId="0" borderId="0" xfId="7" applyFont="1" applyFill="1" applyBorder="1" applyAlignment="1">
      <alignment horizontal="center" vertical="center" wrapText="1"/>
    </xf>
    <xf numFmtId="165" fontId="24" fillId="0" borderId="0" xfId="9" applyNumberFormat="1" applyFont="1" applyFill="1" applyBorder="1" applyAlignment="1">
      <alignment horizontal="right" vertical="center"/>
    </xf>
    <xf numFmtId="171" fontId="24" fillId="0" borderId="0" xfId="9" applyNumberFormat="1" applyFont="1" applyFill="1" applyBorder="1" applyAlignment="1">
      <alignment horizontal="right" vertical="center"/>
    </xf>
    <xf numFmtId="165" fontId="21" fillId="0" borderId="0" xfId="16" applyNumberFormat="1" applyFont="1" applyFill="1" applyBorder="1" applyAlignment="1">
      <alignment horizontal="left" vertical="center"/>
    </xf>
    <xf numFmtId="165" fontId="21" fillId="0" borderId="0" xfId="9" quotePrefix="1" applyNumberFormat="1" applyFont="1" applyFill="1" applyBorder="1" applyAlignment="1">
      <alignment horizontal="right" vertical="center"/>
    </xf>
    <xf numFmtId="165" fontId="29" fillId="0" borderId="0" xfId="12" applyNumberFormat="1" applyFont="1" applyFill="1" applyBorder="1" applyAlignment="1">
      <alignment horizontal="left" vertical="center"/>
    </xf>
    <xf numFmtId="165" fontId="30" fillId="0" borderId="0" xfId="0" applyNumberFormat="1" applyFont="1" applyFill="1" applyBorder="1" applyAlignment="1">
      <alignment horizontal="right" vertical="center"/>
    </xf>
    <xf numFmtId="165" fontId="24" fillId="0" borderId="7" xfId="9" applyNumberFormat="1" applyFont="1" applyFill="1" applyBorder="1" applyAlignment="1">
      <alignment horizontal="right" vertical="center"/>
    </xf>
    <xf numFmtId="4" fontId="30" fillId="0" borderId="0" xfId="0" applyNumberFormat="1" applyFont="1" applyFill="1" applyBorder="1" applyAlignment="1">
      <alignment horizontal="right" vertical="center"/>
    </xf>
    <xf numFmtId="165" fontId="21" fillId="0" borderId="0" xfId="15" applyNumberFormat="1" applyFont="1" applyFill="1" applyBorder="1" applyAlignment="1">
      <alignment horizontal="left" vertical="center"/>
    </xf>
    <xf numFmtId="165" fontId="29" fillId="0" borderId="0" xfId="0" applyNumberFormat="1" applyFont="1" applyFill="1" applyBorder="1" applyAlignment="1">
      <alignment horizontal="right" vertical="center"/>
    </xf>
    <xf numFmtId="0" fontId="32" fillId="0" borderId="0" xfId="7" applyFont="1" applyFill="1" applyBorder="1"/>
    <xf numFmtId="0" fontId="32" fillId="0" borderId="0" xfId="0" applyFont="1" applyFill="1" applyAlignment="1">
      <alignment horizontal="right"/>
    </xf>
    <xf numFmtId="0" fontId="32" fillId="0" borderId="0" xfId="0" applyFont="1" applyFill="1" applyBorder="1" applyAlignment="1">
      <alignment horizontal="right"/>
    </xf>
    <xf numFmtId="165" fontId="29" fillId="0" borderId="0" xfId="7" applyNumberFormat="1" applyFont="1" applyFill="1" applyAlignment="1">
      <alignment vertical="center"/>
    </xf>
    <xf numFmtId="165" fontId="11" fillId="0" borderId="0" xfId="7" applyNumberFormat="1" applyFill="1" applyBorder="1"/>
    <xf numFmtId="165" fontId="35" fillId="0" borderId="0" xfId="10" applyNumberFormat="1" applyFont="1" applyFill="1" applyAlignment="1">
      <alignment vertical="center"/>
    </xf>
    <xf numFmtId="165" fontId="192" fillId="0" borderId="0" xfId="5" applyNumberFormat="1" applyFont="1" applyFill="1" applyAlignment="1">
      <alignment vertical="center"/>
    </xf>
    <xf numFmtId="165" fontId="192" fillId="0" borderId="0" xfId="6" applyNumberFormat="1" applyFont="1" applyFill="1" applyAlignment="1">
      <alignment vertical="center"/>
    </xf>
    <xf numFmtId="165" fontId="46" fillId="0" borderId="0" xfId="5" applyNumberFormat="1" applyFont="1" applyFill="1" applyAlignment="1">
      <alignment horizontal="right" vertical="center"/>
    </xf>
    <xf numFmtId="165" fontId="192" fillId="0" borderId="3" xfId="5" applyNumberFormat="1" applyFont="1" applyFill="1" applyBorder="1" applyAlignment="1">
      <alignment vertical="center"/>
    </xf>
    <xf numFmtId="165" fontId="223" fillId="0" borderId="6" xfId="5" applyNumberFormat="1" applyFont="1" applyFill="1" applyBorder="1" applyAlignment="1">
      <alignment vertical="center"/>
    </xf>
    <xf numFmtId="165" fontId="223" fillId="0" borderId="4" xfId="5" quotePrefix="1" applyNumberFormat="1" applyFont="1" applyFill="1" applyBorder="1" applyAlignment="1">
      <alignment horizontal="center" vertical="center"/>
    </xf>
    <xf numFmtId="165" fontId="223" fillId="0" borderId="4" xfId="6" applyNumberFormat="1" applyFont="1" applyFill="1" applyBorder="1" applyAlignment="1">
      <alignment horizontal="center" vertical="center"/>
    </xf>
    <xf numFmtId="165" fontId="223" fillId="0" borderId="5" xfId="6" applyNumberFormat="1" applyFont="1" applyFill="1" applyBorder="1" applyAlignment="1">
      <alignment horizontal="center" vertical="center"/>
    </xf>
    <xf numFmtId="165" fontId="223" fillId="0" borderId="3" xfId="5" applyNumberFormat="1" applyFont="1" applyFill="1" applyBorder="1" applyAlignment="1">
      <alignment vertical="center"/>
    </xf>
    <xf numFmtId="165" fontId="223" fillId="0" borderId="3" xfId="5" quotePrefix="1" applyNumberFormat="1" applyFont="1" applyFill="1" applyBorder="1" applyAlignment="1">
      <alignment horizontal="right" vertical="center"/>
    </xf>
    <xf numFmtId="165" fontId="223" fillId="0" borderId="3" xfId="6" applyNumberFormat="1" applyFont="1" applyFill="1" applyBorder="1" applyAlignment="1">
      <alignment horizontal="right" vertical="center"/>
    </xf>
    <xf numFmtId="165" fontId="59" fillId="0" borderId="0" xfId="7" applyNumberFormat="1" applyFont="1" applyFill="1" applyBorder="1"/>
    <xf numFmtId="165" fontId="223" fillId="0" borderId="0" xfId="5" applyNumberFormat="1" applyFont="1" applyFill="1" applyBorder="1" applyAlignment="1">
      <alignment vertical="center"/>
    </xf>
    <xf numFmtId="165" fontId="223" fillId="0" borderId="0" xfId="5" quotePrefix="1" applyNumberFormat="1" applyFont="1" applyFill="1" applyBorder="1" applyAlignment="1">
      <alignment horizontal="right" vertical="center"/>
    </xf>
    <xf numFmtId="165" fontId="223" fillId="0" borderId="0" xfId="6" applyNumberFormat="1" applyFont="1" applyFill="1" applyBorder="1" applyAlignment="1">
      <alignment horizontal="right" vertical="center"/>
    </xf>
    <xf numFmtId="165" fontId="223" fillId="0" borderId="0" xfId="5" applyNumberFormat="1" applyFont="1" applyFill="1" applyBorder="1" applyAlignment="1">
      <alignment horizontal="left" vertical="center"/>
    </xf>
    <xf numFmtId="165" fontId="223" fillId="0" borderId="0" xfId="5" applyNumberFormat="1" applyFont="1" applyFill="1" applyBorder="1" applyAlignment="1">
      <alignment horizontal="right" vertical="center"/>
    </xf>
    <xf numFmtId="165" fontId="223" fillId="0" borderId="0" xfId="11" applyNumberFormat="1" applyFont="1" applyFill="1" applyBorder="1" applyAlignment="1">
      <alignment horizontal="right" vertical="center"/>
    </xf>
    <xf numFmtId="165" fontId="21" fillId="0" borderId="0" xfId="5" applyNumberFormat="1" applyFont="1" applyFill="1" applyBorder="1" applyAlignment="1">
      <alignment horizontal="left" vertical="center"/>
    </xf>
    <xf numFmtId="0" fontId="36" fillId="0" borderId="0" xfId="8" applyFont="1" applyFill="1" applyBorder="1"/>
    <xf numFmtId="165" fontId="42" fillId="0" borderId="0" xfId="5" applyNumberFormat="1" applyFont="1" applyFill="1" applyBorder="1" applyAlignment="1">
      <alignment horizontal="left" vertical="center"/>
    </xf>
    <xf numFmtId="165" fontId="226" fillId="0" borderId="0" xfId="5" applyNumberFormat="1" applyFont="1" applyFill="1" applyBorder="1" applyAlignment="1">
      <alignment horizontal="right" vertical="center"/>
    </xf>
    <xf numFmtId="165" fontId="226" fillId="0" borderId="0" xfId="11" applyNumberFormat="1" applyFont="1" applyFill="1" applyBorder="1" applyAlignment="1">
      <alignment horizontal="right" vertical="center"/>
    </xf>
    <xf numFmtId="165" fontId="223" fillId="0" borderId="0" xfId="5" applyNumberFormat="1" applyFont="1" applyFill="1" applyBorder="1" applyAlignment="1">
      <alignment horizontal="left" vertical="center" indent="1"/>
    </xf>
    <xf numFmtId="165" fontId="46" fillId="0" borderId="7" xfId="5" applyNumberFormat="1" applyFont="1" applyFill="1" applyBorder="1" applyAlignment="1">
      <alignment vertical="center"/>
    </xf>
    <xf numFmtId="165" fontId="46" fillId="0" borderId="7" xfId="5" applyNumberFormat="1" applyFont="1" applyFill="1" applyBorder="1" applyAlignment="1">
      <alignment horizontal="right" vertical="center"/>
    </xf>
    <xf numFmtId="165" fontId="223" fillId="0" borderId="0" xfId="5" applyNumberFormat="1" applyFont="1" applyFill="1" applyBorder="1" applyAlignment="1">
      <alignment vertical="center" wrapText="1"/>
    </xf>
    <xf numFmtId="165" fontId="43" fillId="0" borderId="0" xfId="5" applyNumberFormat="1" applyFont="1" applyFill="1" applyBorder="1" applyAlignment="1">
      <alignment vertical="center"/>
    </xf>
    <xf numFmtId="165" fontId="46" fillId="0" borderId="0" xfId="5" applyNumberFormat="1" applyFont="1" applyFill="1" applyBorder="1" applyAlignment="1">
      <alignment horizontal="right" vertical="center"/>
    </xf>
    <xf numFmtId="165" fontId="21" fillId="0" borderId="0" xfId="5" applyNumberFormat="1" applyFont="1" applyFill="1" applyBorder="1" applyAlignment="1">
      <alignment vertical="center"/>
    </xf>
    <xf numFmtId="165" fontId="192" fillId="0" borderId="0" xfId="28" applyNumberFormat="1" applyFont="1" applyFill="1" applyBorder="1" applyAlignment="1"/>
    <xf numFmtId="0" fontId="200" fillId="0" borderId="0" xfId="7" applyFont="1" applyFill="1" applyBorder="1"/>
    <xf numFmtId="1" fontId="21" fillId="0" borderId="9" xfId="7" quotePrefix="1" applyNumberFormat="1" applyFont="1" applyFill="1" applyBorder="1" applyAlignment="1">
      <alignment horizontal="center" vertical="center"/>
    </xf>
    <xf numFmtId="165" fontId="46" fillId="0" borderId="0" xfId="7" applyNumberFormat="1" applyFont="1" applyFill="1" applyBorder="1" applyAlignment="1">
      <alignment horizontal="left"/>
    </xf>
    <xf numFmtId="165" fontId="35" fillId="0" borderId="0" xfId="7" applyNumberFormat="1" applyFont="1" applyFill="1" applyAlignment="1">
      <alignment horizontal="right" vertical="center"/>
    </xf>
    <xf numFmtId="165" fontId="21" fillId="0" borderId="0" xfId="7" applyNumberFormat="1" applyFont="1" applyFill="1" applyBorder="1" applyAlignment="1">
      <alignment horizontal="left" vertical="center" indent="1"/>
    </xf>
    <xf numFmtId="165" fontId="29" fillId="0" borderId="0" xfId="7" applyNumberFormat="1" applyFont="1" applyFill="1" applyAlignment="1">
      <alignment horizontal="right" vertical="center"/>
    </xf>
    <xf numFmtId="165" fontId="21" fillId="0" borderId="0" xfId="7" applyNumberFormat="1" applyFont="1" applyFill="1" applyBorder="1" applyAlignment="1">
      <alignment horizontal="right"/>
    </xf>
    <xf numFmtId="165" fontId="21" fillId="0" borderId="0" xfId="7" applyNumberFormat="1" applyFont="1" applyFill="1" applyBorder="1" applyAlignment="1">
      <alignment horizontal="left" vertical="center" indent="2"/>
    </xf>
    <xf numFmtId="165" fontId="21" fillId="0" borderId="0" xfId="7" applyNumberFormat="1" applyFont="1" applyFill="1" applyBorder="1" applyAlignment="1">
      <alignment horizontal="left" vertical="center" indent="3"/>
    </xf>
    <xf numFmtId="165" fontId="42" fillId="0" borderId="0" xfId="7" applyNumberFormat="1" applyFont="1" applyFill="1" applyBorder="1" applyAlignment="1">
      <alignment horizontal="left" vertical="center" indent="3"/>
    </xf>
    <xf numFmtId="165" fontId="21" fillId="0" borderId="0" xfId="7" applyNumberFormat="1" applyFont="1" applyFill="1" applyBorder="1" applyAlignment="1">
      <alignment horizontal="left" vertical="center" indent="5"/>
    </xf>
    <xf numFmtId="165" fontId="46" fillId="0" borderId="0" xfId="7" applyNumberFormat="1" applyFont="1" applyFill="1" applyBorder="1" applyAlignment="1">
      <alignment horizontal="left" vertical="center"/>
    </xf>
    <xf numFmtId="165" fontId="29" fillId="0" borderId="0" xfId="7" applyNumberFormat="1" applyFont="1" applyFill="1" applyBorder="1" applyAlignment="1">
      <alignment vertical="center"/>
    </xf>
    <xf numFmtId="165" fontId="21" fillId="0" borderId="0" xfId="7" applyNumberFormat="1" applyFont="1" applyFill="1" applyBorder="1" applyAlignment="1">
      <alignment horizontal="right" vertical="center"/>
    </xf>
    <xf numFmtId="165" fontId="46" fillId="0" borderId="0" xfId="7" applyNumberFormat="1" applyFont="1" applyFill="1" applyBorder="1" applyAlignment="1">
      <alignment horizontal="right" vertical="center"/>
    </xf>
    <xf numFmtId="165" fontId="46" fillId="0" borderId="0" xfId="7" applyNumberFormat="1" applyFont="1" applyFill="1" applyBorder="1" applyAlignment="1">
      <alignment vertical="center"/>
    </xf>
    <xf numFmtId="171" fontId="29" fillId="0" borderId="0" xfId="13" applyNumberFormat="1" applyFont="1" applyFill="1" applyBorder="1" applyAlignment="1">
      <alignment horizontal="right"/>
    </xf>
    <xf numFmtId="165" fontId="46" fillId="0" borderId="11" xfId="7" applyNumberFormat="1" applyFont="1" applyFill="1" applyBorder="1" applyAlignment="1">
      <alignment horizontal="left"/>
    </xf>
    <xf numFmtId="165" fontId="35" fillId="0" borderId="7" xfId="7" applyNumberFormat="1" applyFont="1" applyFill="1" applyBorder="1" applyAlignment="1">
      <alignment horizontal="right" vertical="center"/>
    </xf>
    <xf numFmtId="165" fontId="42" fillId="0" borderId="0" xfId="7" applyNumberFormat="1" applyFont="1" applyFill="1" applyBorder="1" applyAlignment="1">
      <alignment vertical="center"/>
    </xf>
    <xf numFmtId="165" fontId="30" fillId="0" borderId="0" xfId="7" applyNumberFormat="1" applyFont="1" applyFill="1" applyBorder="1" applyAlignment="1">
      <alignment horizontal="right" vertical="center"/>
    </xf>
    <xf numFmtId="165" fontId="25" fillId="0" borderId="0" xfId="7" applyNumberFormat="1" applyFont="1" applyFill="1" applyBorder="1" applyAlignment="1">
      <alignment horizontal="right" vertical="center"/>
    </xf>
    <xf numFmtId="0" fontId="21" fillId="0" borderId="0" xfId="7" applyFont="1" applyFill="1" applyBorder="1" applyAlignment="1">
      <alignment vertical="center"/>
    </xf>
    <xf numFmtId="2" fontId="29" fillId="0" borderId="0" xfId="7" applyNumberFormat="1" applyFont="1" applyFill="1" applyBorder="1" applyAlignment="1">
      <alignment vertical="center"/>
    </xf>
    <xf numFmtId="165" fontId="36" fillId="0" borderId="0" xfId="18" applyNumberFormat="1" applyFont="1" applyFill="1" applyBorder="1" applyAlignment="1">
      <alignment vertical="center"/>
    </xf>
    <xf numFmtId="3" fontId="29" fillId="0" borderId="0" xfId="18" applyNumberFormat="1" applyFont="1" applyFill="1" applyBorder="1" applyAlignment="1">
      <alignment horizontal="left" vertical="center" indent="2"/>
    </xf>
    <xf numFmtId="165" fontId="29" fillId="0" borderId="0" xfId="18" applyNumberFormat="1" applyFont="1" applyFill="1" applyBorder="1" applyAlignment="1">
      <alignment horizontal="left" vertical="center" indent="2"/>
    </xf>
    <xf numFmtId="165" fontId="21" fillId="0" borderId="12" xfId="7" applyNumberFormat="1" applyFont="1" applyFill="1" applyBorder="1" applyAlignment="1">
      <alignment vertical="center"/>
    </xf>
    <xf numFmtId="166" fontId="29" fillId="0" borderId="6" xfId="7" applyNumberFormat="1" applyFont="1" applyFill="1" applyBorder="1" applyAlignment="1">
      <alignment horizontal="right" vertical="center"/>
    </xf>
    <xf numFmtId="166" fontId="29" fillId="0" borderId="12" xfId="7" applyNumberFormat="1" applyFont="1" applyFill="1" applyBorder="1" applyAlignment="1">
      <alignment vertical="center"/>
    </xf>
    <xf numFmtId="166" fontId="29" fillId="0" borderId="0" xfId="7" applyNumberFormat="1" applyFont="1" applyFill="1" applyBorder="1" applyAlignment="1">
      <alignment horizontal="right" vertical="center"/>
    </xf>
    <xf numFmtId="166" fontId="29" fillId="0" borderId="0" xfId="7" applyNumberFormat="1" applyFont="1" applyFill="1" applyBorder="1" applyAlignment="1">
      <alignment vertical="center"/>
    </xf>
    <xf numFmtId="0" fontId="43" fillId="0" borderId="0" xfId="29" applyFont="1" applyFill="1" applyBorder="1" applyAlignment="1">
      <alignment horizontal="left" vertical="top"/>
    </xf>
    <xf numFmtId="165" fontId="59" fillId="0" borderId="0" xfId="18" applyNumberFormat="1" applyFont="1" applyFill="1" applyAlignment="1"/>
    <xf numFmtId="0" fontId="59" fillId="0" borderId="0" xfId="18" applyFont="1" applyFill="1" applyAlignment="1"/>
    <xf numFmtId="0" fontId="48" fillId="0" borderId="0" xfId="19" applyNumberFormat="1" applyFont="1" applyFill="1" applyAlignment="1">
      <alignment horizontal="left" wrapText="1"/>
    </xf>
    <xf numFmtId="0" fontId="48" fillId="0" borderId="0" xfId="19" applyFont="1" applyFill="1" applyAlignment="1">
      <alignment horizontal="left" wrapText="1"/>
    </xf>
    <xf numFmtId="0" fontId="40" fillId="0" borderId="0" xfId="19" applyFont="1" applyFill="1" applyAlignment="1">
      <alignment horizontal="left" wrapText="1"/>
    </xf>
    <xf numFmtId="0" fontId="71" fillId="0" borderId="0" xfId="19" applyFont="1" applyFill="1" applyAlignment="1">
      <alignment horizontal="left" vertical="top" wrapText="1"/>
    </xf>
    <xf numFmtId="165" fontId="21" fillId="0" borderId="0" xfId="0" applyNumberFormat="1" applyFont="1" applyFill="1" applyBorder="1" applyAlignment="1">
      <alignment horizontal="right" vertical="center"/>
    </xf>
    <xf numFmtId="165" fontId="21" fillId="0" borderId="95" xfId="0" applyNumberFormat="1" applyFont="1" applyFill="1" applyBorder="1" applyAlignment="1">
      <alignment horizontal="right" vertical="center"/>
    </xf>
    <xf numFmtId="165" fontId="21" fillId="0" borderId="107" xfId="0" applyNumberFormat="1" applyFont="1" applyFill="1" applyBorder="1" applyAlignment="1">
      <alignment horizontal="right" vertical="center"/>
    </xf>
    <xf numFmtId="165" fontId="21" fillId="0" borderId="103" xfId="0" applyNumberFormat="1" applyFont="1" applyFill="1" applyBorder="1" applyAlignment="1">
      <alignment horizontal="right" vertical="center"/>
    </xf>
    <xf numFmtId="165" fontId="21" fillId="0" borderId="0" xfId="1006" applyNumberFormat="1" applyFont="1" applyFill="1" applyBorder="1" applyAlignment="1">
      <alignment horizontal="right" vertical="center"/>
    </xf>
    <xf numFmtId="165" fontId="21" fillId="0" borderId="95" xfId="1006" applyNumberFormat="1" applyFont="1" applyFill="1" applyBorder="1" applyAlignment="1">
      <alignment horizontal="right" vertical="center"/>
    </xf>
    <xf numFmtId="165" fontId="21" fillId="0" borderId="107" xfId="1006" applyNumberFormat="1" applyFont="1" applyFill="1" applyBorder="1" applyAlignment="1">
      <alignment horizontal="right" vertical="center"/>
    </xf>
    <xf numFmtId="165" fontId="1" fillId="0" borderId="0" xfId="2321" applyNumberFormat="1" applyFont="1" applyFill="1"/>
    <xf numFmtId="165" fontId="50" fillId="0" borderId="0" xfId="2320" applyNumberFormat="1" applyFont="1" applyFill="1" applyAlignment="1">
      <alignment horizontal="left" vertical="center" wrapText="1"/>
    </xf>
    <xf numFmtId="165" fontId="50" fillId="0" borderId="0" xfId="2320" applyNumberFormat="1" applyFont="1" applyFill="1" applyAlignment="1">
      <alignment horizontal="left" wrapText="1"/>
    </xf>
    <xf numFmtId="165" fontId="24" fillId="0" borderId="0" xfId="2320" applyNumberFormat="1" applyFont="1" applyFill="1" applyBorder="1" applyAlignment="1">
      <alignment horizontal="justify"/>
    </xf>
    <xf numFmtId="183" fontId="1" fillId="0" borderId="0" xfId="2320" applyNumberFormat="1" applyFont="1" applyFill="1"/>
    <xf numFmtId="0" fontId="24" fillId="0" borderId="11" xfId="2320" applyFont="1" applyFill="1" applyBorder="1"/>
    <xf numFmtId="0" fontId="1" fillId="0" borderId="0" xfId="2320" applyFont="1" applyFill="1" applyAlignment="1">
      <alignment wrapText="1"/>
    </xf>
    <xf numFmtId="0" fontId="1" fillId="0" borderId="0" xfId="2320" applyFont="1" applyFill="1" applyAlignment="1">
      <alignment vertical="center"/>
    </xf>
    <xf numFmtId="0" fontId="24" fillId="0" borderId="0" xfId="2320" applyFont="1" applyFill="1" applyBorder="1"/>
    <xf numFmtId="0" fontId="34" fillId="0" borderId="11" xfId="2320" applyFont="1" applyFill="1" applyBorder="1"/>
    <xf numFmtId="0" fontId="50" fillId="0" borderId="0" xfId="2320" applyFont="1" applyFill="1" applyAlignment="1">
      <alignment horizontal="left" vertical="center" wrapText="1"/>
    </xf>
    <xf numFmtId="0" fontId="213" fillId="0" borderId="0" xfId="2320" applyFont="1" applyFill="1" applyAlignment="1">
      <alignment horizontal="left" vertical="center" wrapText="1"/>
    </xf>
    <xf numFmtId="0" fontId="50" fillId="0" borderId="0" xfId="2320" applyFont="1" applyFill="1" applyAlignment="1">
      <alignment horizontal="left" wrapText="1"/>
    </xf>
    <xf numFmtId="244" fontId="50" fillId="0" borderId="0" xfId="2320" applyNumberFormat="1" applyFont="1" applyFill="1" applyAlignment="1">
      <alignment horizontal="left" wrapText="1"/>
    </xf>
    <xf numFmtId="165" fontId="218" fillId="0" borderId="0" xfId="2320" applyNumberFormat="1" applyFill="1" applyAlignment="1">
      <alignment horizontal="justify"/>
    </xf>
    <xf numFmtId="0" fontId="24" fillId="0" borderId="0" xfId="2320" applyFont="1" applyFill="1" applyBorder="1" applyAlignment="1">
      <alignment horizontal="justify"/>
    </xf>
    <xf numFmtId="0" fontId="213" fillId="0" borderId="0" xfId="2320" applyFont="1" applyFill="1" applyAlignment="1">
      <alignment horizontal="justify" vertical="center" wrapText="1"/>
    </xf>
    <xf numFmtId="0" fontId="217" fillId="0" borderId="11" xfId="2320" applyFont="1" applyFill="1" applyBorder="1" applyAlignment="1">
      <alignment horizontal="left" vertical="center" indent="3"/>
    </xf>
    <xf numFmtId="0" fontId="217" fillId="0" borderId="0" xfId="2320" applyFont="1" applyFill="1" applyAlignment="1">
      <alignment horizontal="left" vertical="center" indent="3"/>
    </xf>
    <xf numFmtId="0" fontId="1" fillId="0" borderId="0" xfId="2320" applyFont="1" applyFill="1" applyAlignment="1">
      <alignment horizontal="left" indent="3"/>
    </xf>
    <xf numFmtId="0" fontId="1" fillId="0" borderId="0" xfId="2320" applyFont="1" applyFill="1" applyAlignment="1">
      <alignment horizontal="left" vertical="center" wrapText="1" indent="3"/>
    </xf>
    <xf numFmtId="0" fontId="217" fillId="0" borderId="0" xfId="2320" applyFont="1" applyFill="1" applyAlignment="1">
      <alignment horizontal="left" indent="1"/>
    </xf>
    <xf numFmtId="0" fontId="217" fillId="0" borderId="0" xfId="2320" applyFont="1" applyFill="1" applyAlignment="1">
      <alignment horizontal="left" indent="2"/>
    </xf>
    <xf numFmtId="0" fontId="30" fillId="0" borderId="0" xfId="2320" applyFont="1" applyFill="1" applyAlignment="1">
      <alignment horizontal="left" indent="2"/>
    </xf>
    <xf numFmtId="0" fontId="1" fillId="0" borderId="0" xfId="2320" applyFont="1" applyFill="1" applyAlignment="1">
      <alignment horizontal="left" wrapText="1" indent="3"/>
    </xf>
    <xf numFmtId="0" fontId="1" fillId="0" borderId="0" xfId="2320" applyFont="1" applyFill="1" applyAlignment="1">
      <alignment horizontal="left" vertical="top" wrapText="1" indent="3"/>
    </xf>
    <xf numFmtId="0" fontId="60" fillId="0" borderId="0" xfId="2320" applyFont="1" applyFill="1"/>
    <xf numFmtId="0" fontId="1" fillId="0" borderId="0" xfId="2320" applyFont="1" applyFill="1" applyAlignment="1">
      <alignment horizontal="left" indent="1"/>
    </xf>
    <xf numFmtId="0" fontId="34" fillId="0" borderId="0" xfId="2320" applyFont="1" applyFill="1"/>
    <xf numFmtId="0" fontId="220" fillId="3" borderId="0" xfId="2320" applyFont="1" applyFill="1"/>
    <xf numFmtId="165" fontId="46" fillId="3" borderId="0" xfId="34" applyNumberFormat="1" applyFont="1" applyFill="1" applyAlignment="1">
      <alignment vertical="center"/>
    </xf>
    <xf numFmtId="165" fontId="21" fillId="3" borderId="0" xfId="34" applyNumberFormat="1" applyFont="1" applyFill="1" applyAlignment="1">
      <alignment vertical="center"/>
    </xf>
    <xf numFmtId="165" fontId="21" fillId="3" borderId="0" xfId="36" applyNumberFormat="1" applyFont="1" applyFill="1" applyBorder="1" applyAlignment="1">
      <alignment vertical="center"/>
    </xf>
    <xf numFmtId="165" fontId="46" fillId="3" borderId="0" xfId="35" applyNumberFormat="1" applyFont="1" applyFill="1" applyAlignment="1">
      <alignment vertical="center"/>
    </xf>
    <xf numFmtId="165" fontId="21" fillId="3" borderId="0" xfId="36" applyNumberFormat="1" applyFont="1" applyFill="1" applyBorder="1" applyAlignment="1">
      <alignment horizontal="right" vertical="center"/>
    </xf>
    <xf numFmtId="165" fontId="46" fillId="3" borderId="0" xfId="35" applyNumberFormat="1" applyFont="1" applyFill="1" applyBorder="1" applyAlignment="1">
      <alignment vertical="center"/>
    </xf>
    <xf numFmtId="165" fontId="21" fillId="3" borderId="0" xfId="34" applyNumberFormat="1" applyFont="1" applyFill="1" applyAlignment="1">
      <alignment horizontal="right" vertical="center"/>
    </xf>
    <xf numFmtId="165" fontId="46" fillId="3" borderId="0" xfId="34" applyNumberFormat="1" applyFont="1" applyFill="1" applyBorder="1" applyAlignment="1">
      <alignment vertical="center"/>
    </xf>
    <xf numFmtId="165" fontId="46" fillId="3" borderId="7" xfId="16" applyNumberFormat="1" applyFont="1" applyFill="1" applyBorder="1" applyAlignment="1">
      <alignment vertical="center"/>
    </xf>
    <xf numFmtId="165" fontId="46" fillId="3" borderId="0" xfId="32" applyNumberFormat="1" applyFont="1" applyFill="1" applyAlignment="1">
      <alignment horizontal="right"/>
    </xf>
    <xf numFmtId="165" fontId="192" fillId="3" borderId="0" xfId="33" applyNumberFormat="1" applyFont="1" applyFill="1" applyAlignment="1">
      <alignment vertical="center"/>
    </xf>
    <xf numFmtId="165" fontId="46" fillId="3" borderId="0" xfId="14" applyNumberFormat="1" applyFont="1" applyFill="1" applyAlignment="1">
      <alignment horizontal="right"/>
    </xf>
    <xf numFmtId="165" fontId="21" fillId="3" borderId="8" xfId="33" applyNumberFormat="1" applyFont="1" applyFill="1" applyBorder="1" applyAlignment="1">
      <alignment vertical="center"/>
    </xf>
    <xf numFmtId="0" fontId="25" fillId="3" borderId="9" xfId="12" applyNumberFormat="1" applyFont="1" applyFill="1" applyBorder="1" applyAlignment="1">
      <alignment horizontal="center" vertical="center" wrapText="1"/>
    </xf>
    <xf numFmtId="0" fontId="25" fillId="3" borderId="93" xfId="12" applyNumberFormat="1" applyFont="1" applyFill="1" applyBorder="1" applyAlignment="1">
      <alignment horizontal="center" vertical="center" wrapText="1"/>
    </xf>
    <xf numFmtId="165" fontId="21" fillId="3" borderId="12" xfId="33" applyNumberFormat="1" applyFont="1" applyFill="1" applyBorder="1" applyAlignment="1">
      <alignment vertical="center"/>
    </xf>
    <xf numFmtId="0" fontId="21" fillId="3" borderId="9" xfId="12" quotePrefix="1" applyNumberFormat="1" applyFont="1" applyFill="1" applyBorder="1" applyAlignment="1">
      <alignment horizontal="center" vertical="center" wrapText="1"/>
    </xf>
    <xf numFmtId="0" fontId="21" fillId="3" borderId="93" xfId="12" applyNumberFormat="1" applyFont="1" applyFill="1" applyBorder="1" applyAlignment="1">
      <alignment horizontal="center" vertical="center" wrapText="1"/>
    </xf>
    <xf numFmtId="165" fontId="21" fillId="3" borderId="9" xfId="18" applyNumberFormat="1" applyFont="1" applyFill="1" applyBorder="1" applyAlignment="1">
      <alignment horizontal="center" vertical="center" wrapText="1"/>
    </xf>
    <xf numFmtId="165" fontId="21" fillId="3" borderId="10" xfId="18" applyNumberFormat="1" applyFont="1" applyFill="1" applyBorder="1" applyAlignment="1">
      <alignment horizontal="center" vertical="center" wrapText="1"/>
    </xf>
    <xf numFmtId="165" fontId="46" fillId="3" borderId="0" xfId="16" applyNumberFormat="1" applyFont="1" applyFill="1" applyBorder="1" applyAlignment="1">
      <alignment vertical="center"/>
    </xf>
    <xf numFmtId="165" fontId="22" fillId="3" borderId="0" xfId="34" applyNumberFormat="1" applyFont="1" applyFill="1" applyAlignment="1">
      <alignment vertical="center"/>
    </xf>
    <xf numFmtId="165" fontId="46" fillId="3" borderId="0" xfId="32" applyNumberFormat="1" applyFont="1" applyFill="1" applyAlignment="1">
      <alignment vertical="center"/>
    </xf>
    <xf numFmtId="165" fontId="29" fillId="3" borderId="0" xfId="18" applyNumberFormat="1" applyFont="1" applyFill="1" applyBorder="1" applyAlignment="1">
      <alignment horizontal="left" vertical="center" indent="1"/>
    </xf>
    <xf numFmtId="165" fontId="21" fillId="3" borderId="0" xfId="35" applyNumberFormat="1" applyFont="1" applyFill="1" applyAlignment="1">
      <alignment horizontal="right" vertical="center"/>
    </xf>
    <xf numFmtId="165" fontId="21" fillId="3" borderId="0" xfId="35" applyNumberFormat="1" applyFont="1" applyFill="1" applyAlignment="1">
      <alignment vertical="center"/>
    </xf>
    <xf numFmtId="165" fontId="21" fillId="3" borderId="0" xfId="16" applyNumberFormat="1" applyFont="1" applyFill="1" applyBorder="1" applyAlignment="1">
      <alignment horizontal="left" vertical="center" indent="2"/>
    </xf>
    <xf numFmtId="165" fontId="21" fillId="3" borderId="0" xfId="16" applyNumberFormat="1" applyFont="1" applyFill="1" applyBorder="1" applyAlignment="1">
      <alignment horizontal="left" vertical="center" indent="1"/>
    </xf>
    <xf numFmtId="165" fontId="22" fillId="3" borderId="0" xfId="35" applyNumberFormat="1" applyFont="1" applyFill="1" applyAlignment="1">
      <alignment vertical="center"/>
    </xf>
    <xf numFmtId="165" fontId="46" fillId="3" borderId="0" xfId="32" applyNumberFormat="1" applyFont="1" applyFill="1" applyAlignment="1">
      <alignment horizontal="right" vertical="center"/>
    </xf>
    <xf numFmtId="165" fontId="30" fillId="3" borderId="0" xfId="18" applyNumberFormat="1" applyFont="1" applyFill="1" applyBorder="1" applyAlignment="1">
      <alignment vertical="center"/>
    </xf>
    <xf numFmtId="165" fontId="22" fillId="3" borderId="0" xfId="16" applyNumberFormat="1" applyFont="1" applyFill="1" applyBorder="1" applyAlignment="1">
      <alignment vertical="center"/>
    </xf>
    <xf numFmtId="165" fontId="21" fillId="3" borderId="0" xfId="12" applyNumberFormat="1" applyFont="1" applyFill="1" applyAlignment="1">
      <alignment horizontal="left" vertical="center" indent="2"/>
    </xf>
    <xf numFmtId="165" fontId="22" fillId="3" borderId="0" xfId="35" applyNumberFormat="1" applyFont="1" applyFill="1" applyBorder="1" applyAlignment="1">
      <alignment vertical="center"/>
    </xf>
    <xf numFmtId="165" fontId="21" fillId="3" borderId="0" xfId="36" quotePrefix="1" applyNumberFormat="1" applyFont="1" applyFill="1" applyAlignment="1">
      <alignment horizontal="right" vertical="center"/>
    </xf>
    <xf numFmtId="165" fontId="29" fillId="3" borderId="0" xfId="18" applyNumberFormat="1" applyFont="1" applyFill="1" applyBorder="1" applyAlignment="1">
      <alignment vertical="center"/>
    </xf>
    <xf numFmtId="165" fontId="22" fillId="3" borderId="0" xfId="34" applyNumberFormat="1" applyFont="1" applyFill="1" applyBorder="1" applyAlignment="1">
      <alignment vertical="center"/>
    </xf>
    <xf numFmtId="165" fontId="46" fillId="3" borderId="0" xfId="36" applyNumberFormat="1" applyFont="1" applyFill="1" applyBorder="1" applyAlignment="1">
      <alignment vertical="center"/>
    </xf>
    <xf numFmtId="165" fontId="29" fillId="3" borderId="0" xfId="18" applyNumberFormat="1" applyFont="1" applyFill="1" applyAlignment="1">
      <alignment vertical="center"/>
    </xf>
    <xf numFmtId="165" fontId="46" fillId="3" borderId="11" xfId="16" applyNumberFormat="1" applyFont="1" applyFill="1" applyBorder="1" applyAlignment="1">
      <alignment vertical="center"/>
    </xf>
    <xf numFmtId="165" fontId="22" fillId="3" borderId="22" xfId="16" applyNumberFormat="1" applyFont="1" applyFill="1" applyBorder="1" applyAlignment="1">
      <alignment vertical="center"/>
    </xf>
    <xf numFmtId="165" fontId="59" fillId="3" borderId="0" xfId="18" applyNumberFormat="1" applyFont="1" applyFill="1"/>
    <xf numFmtId="0" fontId="50" fillId="0" borderId="0" xfId="0" applyFont="1" applyFill="1" applyAlignment="1">
      <alignment horizontal="left" wrapText="1"/>
    </xf>
    <xf numFmtId="165" fontId="9" fillId="3" borderId="0" xfId="5" applyNumberFormat="1" applyFont="1" applyFill="1" applyAlignment="1">
      <alignment horizontal="left" wrapText="1"/>
    </xf>
    <xf numFmtId="167" fontId="16" fillId="0" borderId="0" xfId="7" applyNumberFormat="1" applyFont="1" applyFill="1" applyAlignment="1">
      <alignment horizontal="center" vertical="center"/>
    </xf>
    <xf numFmtId="167" fontId="16" fillId="0" borderId="0" xfId="7" applyNumberFormat="1" applyFont="1" applyFill="1" applyAlignment="1">
      <alignment horizontal="center" vertical="center" wrapText="1"/>
    </xf>
    <xf numFmtId="165" fontId="223" fillId="0" borderId="0" xfId="5" applyNumberFormat="1" applyFont="1" applyFill="1" applyBorder="1" applyAlignment="1">
      <alignment horizontal="left" vertical="center" wrapText="1"/>
    </xf>
    <xf numFmtId="165" fontId="20" fillId="3" borderId="0" xfId="5" applyNumberFormat="1" applyFont="1" applyFill="1" applyBorder="1" applyAlignment="1">
      <alignment horizontal="center" vertical="center"/>
    </xf>
    <xf numFmtId="165" fontId="46" fillId="0" borderId="4" xfId="5" applyNumberFormat="1" applyFont="1" applyFill="1" applyBorder="1" applyAlignment="1">
      <alignment horizontal="center" vertical="center"/>
    </xf>
    <xf numFmtId="165" fontId="46" fillId="0" borderId="4" xfId="6" applyNumberFormat="1" applyFont="1" applyFill="1" applyBorder="1" applyAlignment="1">
      <alignment horizontal="center" vertical="center" wrapText="1"/>
    </xf>
    <xf numFmtId="165" fontId="46" fillId="0" borderId="5" xfId="6" applyNumberFormat="1" applyFont="1" applyFill="1" applyBorder="1" applyAlignment="1">
      <alignment horizontal="center" vertical="center" wrapText="1"/>
    </xf>
    <xf numFmtId="168" fontId="23" fillId="3" borderId="0" xfId="7" applyNumberFormat="1" applyFont="1" applyFill="1" applyAlignment="1">
      <alignment horizontal="center" vertical="center"/>
    </xf>
    <xf numFmtId="165" fontId="25" fillId="0" borderId="7" xfId="15" applyNumberFormat="1" applyFont="1" applyFill="1" applyBorder="1" applyAlignment="1">
      <alignment horizontal="center" vertical="center"/>
    </xf>
    <xf numFmtId="0" fontId="30" fillId="0" borderId="7" xfId="9" quotePrefix="1" applyFont="1" applyFill="1" applyBorder="1" applyAlignment="1" applyProtection="1">
      <alignment horizontal="center" vertical="center"/>
      <protection locked="0"/>
    </xf>
    <xf numFmtId="0" fontId="29" fillId="0" borderId="0" xfId="7" applyFont="1" applyFill="1" applyAlignment="1">
      <alignment horizontal="left" vertical="center" wrapText="1"/>
    </xf>
    <xf numFmtId="0" fontId="163" fillId="0" borderId="0" xfId="7" applyFont="1" applyFill="1" applyAlignment="1">
      <alignment horizontal="left" vertical="center" wrapText="1"/>
    </xf>
    <xf numFmtId="168" fontId="23" fillId="3" borderId="0" xfId="18" applyNumberFormat="1" applyFont="1" applyFill="1" applyAlignment="1">
      <alignment horizontal="center" vertical="center"/>
    </xf>
    <xf numFmtId="0" fontId="29" fillId="0" borderId="3" xfId="18" applyFont="1" applyFill="1" applyBorder="1" applyAlignment="1">
      <alignment horizontal="center" vertical="center"/>
    </xf>
    <xf numFmtId="0" fontId="29" fillId="0" borderId="0" xfId="18" applyFont="1" applyFill="1" applyBorder="1" applyAlignment="1">
      <alignment horizontal="center" vertical="center"/>
    </xf>
    <xf numFmtId="0" fontId="29" fillId="0" borderId="35" xfId="18" applyFont="1" applyFill="1" applyBorder="1" applyAlignment="1">
      <alignment horizontal="center" vertical="center"/>
    </xf>
    <xf numFmtId="165" fontId="25" fillId="0" borderId="74" xfId="15" applyNumberFormat="1" applyFont="1" applyFill="1" applyBorder="1" applyAlignment="1">
      <alignment horizontal="center" vertical="center" wrapText="1"/>
    </xf>
    <xf numFmtId="165" fontId="25" fillId="0" borderId="38" xfId="15" applyNumberFormat="1" applyFont="1" applyFill="1" applyBorder="1" applyAlignment="1">
      <alignment horizontal="center" vertical="center" wrapText="1"/>
    </xf>
    <xf numFmtId="165" fontId="25" fillId="0" borderId="75" xfId="15" applyNumberFormat="1" applyFont="1" applyFill="1" applyBorder="1" applyAlignment="1">
      <alignment horizontal="center" vertical="center" wrapText="1"/>
    </xf>
    <xf numFmtId="165" fontId="25" fillId="0" borderId="35" xfId="15" applyNumberFormat="1" applyFont="1" applyFill="1" applyBorder="1" applyAlignment="1">
      <alignment horizontal="center" vertical="center" wrapText="1"/>
    </xf>
    <xf numFmtId="165" fontId="25" fillId="0" borderId="37" xfId="15" applyNumberFormat="1" applyFont="1" applyFill="1" applyBorder="1" applyAlignment="1">
      <alignment horizontal="center" vertical="center" wrapText="1"/>
    </xf>
    <xf numFmtId="165" fontId="25" fillId="0" borderId="36" xfId="15" applyNumberFormat="1" applyFont="1" applyFill="1" applyBorder="1" applyAlignment="1">
      <alignment horizontal="center" vertical="center" wrapText="1"/>
    </xf>
    <xf numFmtId="165" fontId="25" fillId="0" borderId="34" xfId="15" applyNumberFormat="1" applyFont="1" applyFill="1" applyBorder="1" applyAlignment="1">
      <alignment horizontal="center" vertical="center" wrapText="1"/>
    </xf>
    <xf numFmtId="165" fontId="25" fillId="0" borderId="88" xfId="15" applyNumberFormat="1" applyFont="1" applyFill="1" applyBorder="1" applyAlignment="1">
      <alignment horizontal="center" vertical="center" wrapText="1"/>
    </xf>
    <xf numFmtId="165" fontId="25" fillId="0" borderId="7" xfId="15" applyNumberFormat="1" applyFont="1" applyFill="1" applyBorder="1" applyAlignment="1">
      <alignment horizontal="center" vertical="center" wrapText="1"/>
    </xf>
    <xf numFmtId="165" fontId="25" fillId="0" borderId="89" xfId="15" applyNumberFormat="1" applyFont="1" applyFill="1" applyBorder="1" applyAlignment="1">
      <alignment horizontal="center" vertical="center" wrapText="1"/>
    </xf>
    <xf numFmtId="165" fontId="29" fillId="0" borderId="3" xfId="40" applyNumberFormat="1" applyFont="1" applyFill="1" applyBorder="1" applyAlignment="1">
      <alignment horizontal="center" vertical="center"/>
    </xf>
    <xf numFmtId="165" fontId="29" fillId="0" borderId="0" xfId="40" applyNumberFormat="1" applyFont="1" applyFill="1" applyBorder="1" applyAlignment="1">
      <alignment horizontal="center" vertical="center"/>
    </xf>
    <xf numFmtId="165" fontId="29" fillId="0" borderId="6" xfId="40" applyNumberFormat="1" applyFont="1" applyFill="1" applyBorder="1" applyAlignment="1">
      <alignment horizontal="center" vertical="center"/>
    </xf>
    <xf numFmtId="165" fontId="30" fillId="0" borderId="32" xfId="12" quotePrefix="1" applyNumberFormat="1" applyFont="1" applyFill="1" applyBorder="1" applyAlignment="1">
      <alignment horizontal="center" vertical="center" wrapText="1"/>
    </xf>
    <xf numFmtId="165" fontId="30" fillId="0" borderId="6" xfId="12" quotePrefix="1" applyNumberFormat="1" applyFont="1" applyFill="1" applyBorder="1" applyAlignment="1">
      <alignment horizontal="center" vertical="center" wrapText="1"/>
    </xf>
    <xf numFmtId="165" fontId="30" fillId="0" borderId="33" xfId="12" applyNumberFormat="1" applyFont="1" applyFill="1" applyBorder="1" applyAlignment="1">
      <alignment horizontal="center" vertical="center" wrapText="1"/>
    </xf>
    <xf numFmtId="165" fontId="30" fillId="0" borderId="0" xfId="12" applyNumberFormat="1" applyFont="1" applyFill="1" applyBorder="1" applyAlignment="1">
      <alignment horizontal="center" vertical="center" wrapText="1"/>
    </xf>
    <xf numFmtId="165" fontId="30" fillId="0" borderId="6" xfId="12" applyNumberFormat="1" applyFont="1" applyFill="1" applyBorder="1" applyAlignment="1">
      <alignment horizontal="center" vertical="center" wrapText="1"/>
    </xf>
    <xf numFmtId="165" fontId="31" fillId="4" borderId="0" xfId="5" applyNumberFormat="1" applyFont="1" applyFill="1" applyAlignment="1">
      <alignment horizontal="center" vertical="center" wrapText="1"/>
    </xf>
    <xf numFmtId="165" fontId="30" fillId="0" borderId="3" xfId="12" quotePrefix="1" applyNumberFormat="1" applyFont="1" applyFill="1" applyBorder="1" applyAlignment="1">
      <alignment horizontal="center" vertical="center" wrapText="1"/>
    </xf>
    <xf numFmtId="0" fontId="50" fillId="0" borderId="0" xfId="2320" applyFont="1" applyFill="1" applyAlignment="1">
      <alignment horizontal="justify" vertical="center" wrapText="1"/>
    </xf>
    <xf numFmtId="0" fontId="195" fillId="0" borderId="0" xfId="41" applyFont="1" applyFill="1" applyBorder="1" applyAlignment="1">
      <alignment horizontal="left" wrapText="1"/>
    </xf>
    <xf numFmtId="165" fontId="21" fillId="0" borderId="0" xfId="12" applyNumberFormat="1" applyFont="1" applyFill="1" applyAlignment="1">
      <alignment horizontal="left" vertical="center" wrapText="1"/>
    </xf>
    <xf numFmtId="0" fontId="50" fillId="0" borderId="0" xfId="2320" applyFont="1" applyFill="1" applyAlignment="1">
      <alignment horizontal="left" vertical="center" wrapText="1"/>
    </xf>
    <xf numFmtId="0" fontId="60" fillId="0" borderId="0" xfId="2320" applyFont="1" applyAlignment="1">
      <alignment horizontal="left" vertical="center" wrapText="1"/>
    </xf>
    <xf numFmtId="165" fontId="12" fillId="0" borderId="2" xfId="1" applyNumberFormat="1" applyFont="1" applyFill="1" applyBorder="1" applyAlignment="1">
      <alignment horizontal="left" vertical="top" wrapText="1"/>
    </xf>
    <xf numFmtId="0" fontId="50" fillId="0" borderId="0" xfId="2320" applyFont="1" applyFill="1" applyAlignment="1">
      <alignment horizontal="justify" vertical="top" wrapText="1"/>
    </xf>
    <xf numFmtId="0" fontId="220" fillId="0" borderId="0" xfId="2320" applyFont="1" applyFill="1" applyAlignment="1">
      <alignment horizontal="left" wrapText="1"/>
    </xf>
    <xf numFmtId="0" fontId="50" fillId="3" borderId="0" xfId="2320" applyFont="1" applyFill="1" applyAlignment="1">
      <alignment horizontal="left" vertical="center" wrapText="1"/>
    </xf>
    <xf numFmtId="0" fontId="50" fillId="0" borderId="0" xfId="2320" applyFont="1" applyFill="1" applyAlignment="1">
      <alignment horizontal="left" vertical="center"/>
    </xf>
    <xf numFmtId="1" fontId="30" fillId="0" borderId="9" xfId="7" quotePrefix="1" applyNumberFormat="1" applyFont="1" applyFill="1" applyBorder="1" applyAlignment="1" applyProtection="1">
      <alignment horizontal="center" vertical="center" wrapText="1"/>
      <protection locked="0"/>
    </xf>
    <xf numFmtId="1" fontId="30" fillId="0" borderId="10" xfId="7" quotePrefix="1" applyNumberFormat="1" applyFont="1" applyFill="1" applyBorder="1" applyAlignment="1" applyProtection="1">
      <alignment horizontal="center" vertical="center" wrapText="1"/>
      <protection locked="0"/>
    </xf>
    <xf numFmtId="1" fontId="30" fillId="0" borderId="11" xfId="7" quotePrefix="1" applyNumberFormat="1" applyFont="1" applyFill="1" applyBorder="1" applyAlignment="1" applyProtection="1">
      <alignment horizontal="center" vertical="center" wrapText="1"/>
      <protection locked="0"/>
    </xf>
    <xf numFmtId="165" fontId="21" fillId="0" borderId="0" xfId="12" applyNumberFormat="1" applyFont="1" applyFill="1" applyAlignment="1">
      <alignment horizontal="left" vertical="center"/>
    </xf>
    <xf numFmtId="1" fontId="30" fillId="0" borderId="9" xfId="18" quotePrefix="1" applyNumberFormat="1" applyFont="1" applyFill="1" applyBorder="1" applyAlignment="1" applyProtection="1">
      <alignment horizontal="center" vertical="center" wrapText="1"/>
      <protection locked="0"/>
    </xf>
    <xf numFmtId="1" fontId="30" fillId="0" borderId="10" xfId="18" quotePrefix="1" applyNumberFormat="1" applyFont="1" applyFill="1" applyBorder="1" applyAlignment="1" applyProtection="1">
      <alignment horizontal="center" vertical="center" wrapText="1"/>
      <protection locked="0"/>
    </xf>
    <xf numFmtId="1" fontId="30" fillId="0" borderId="11" xfId="18" quotePrefix="1" applyNumberFormat="1" applyFont="1" applyFill="1" applyBorder="1" applyAlignment="1" applyProtection="1">
      <alignment horizontal="center" vertical="center" wrapText="1"/>
      <protection locked="0"/>
    </xf>
    <xf numFmtId="165" fontId="21" fillId="0" borderId="0" xfId="14" applyNumberFormat="1" applyFont="1" applyFill="1" applyAlignment="1">
      <alignment vertical="center" wrapText="1"/>
    </xf>
    <xf numFmtId="1" fontId="30" fillId="0" borderId="9" xfId="18" quotePrefix="1" applyNumberFormat="1" applyFont="1" applyFill="1" applyBorder="1" applyAlignment="1">
      <alignment horizontal="center" vertical="center" wrapText="1"/>
    </xf>
    <xf numFmtId="1" fontId="30" fillId="0" borderId="15" xfId="18" quotePrefix="1" applyNumberFormat="1" applyFont="1" applyFill="1" applyBorder="1" applyAlignment="1">
      <alignment horizontal="center" vertical="center" wrapText="1"/>
    </xf>
    <xf numFmtId="1" fontId="30" fillId="0" borderId="16" xfId="18" quotePrefix="1" applyNumberFormat="1" applyFont="1" applyFill="1" applyBorder="1" applyAlignment="1">
      <alignment horizontal="center" vertical="center" wrapText="1"/>
    </xf>
    <xf numFmtId="0" fontId="21" fillId="0" borderId="0" xfId="16" applyFont="1" applyFill="1" applyBorder="1" applyAlignment="1">
      <alignment horizontal="left" vertical="top" wrapText="1"/>
    </xf>
    <xf numFmtId="0" fontId="21" fillId="0" borderId="0" xfId="16" applyFont="1" applyFill="1" applyAlignment="1">
      <alignment horizontal="left" vertical="top" wrapText="1"/>
    </xf>
    <xf numFmtId="165" fontId="51" fillId="0" borderId="0" xfId="12" applyNumberFormat="1" applyFont="1" applyFill="1" applyAlignment="1">
      <alignment horizontal="left" vertical="center" wrapText="1"/>
    </xf>
    <xf numFmtId="0" fontId="25" fillId="0" borderId="0" xfId="19" applyFont="1" applyFill="1" applyAlignment="1">
      <alignment horizontal="left" wrapText="1"/>
    </xf>
    <xf numFmtId="165" fontId="44" fillId="0" borderId="0" xfId="12" applyNumberFormat="1" applyFont="1" applyFill="1" applyAlignment="1">
      <alignment horizontal="left" vertical="center" wrapText="1"/>
    </xf>
    <xf numFmtId="2" fontId="40" fillId="0" borderId="0" xfId="19" applyNumberFormat="1" applyFont="1" applyFill="1" applyAlignment="1">
      <alignment horizontal="left" vertical="center" wrapText="1"/>
    </xf>
    <xf numFmtId="2" fontId="40" fillId="0" borderId="0" xfId="19" applyNumberFormat="1" applyFont="1" applyFill="1" applyAlignment="1">
      <alignment horizontal="left" vertical="top" wrapText="1"/>
    </xf>
    <xf numFmtId="165" fontId="39" fillId="0" borderId="2" xfId="1" applyNumberFormat="1" applyFont="1" applyFill="1" applyBorder="1" applyAlignment="1">
      <alignment horizontal="left" vertical="center" wrapText="1"/>
    </xf>
    <xf numFmtId="1" fontId="25" fillId="0" borderId="9" xfId="18" quotePrefix="1" applyNumberFormat="1" applyFont="1" applyFill="1" applyBorder="1" applyAlignment="1">
      <alignment horizontal="center" vertical="center" wrapText="1"/>
    </xf>
    <xf numFmtId="165" fontId="21" fillId="0" borderId="0" xfId="16" applyNumberFormat="1" applyFont="1" applyFill="1" applyBorder="1" applyAlignment="1">
      <alignment horizontal="center" vertical="center"/>
    </xf>
    <xf numFmtId="2" fontId="40" fillId="0" borderId="0" xfId="19" applyNumberFormat="1" applyFont="1" applyFill="1" applyAlignment="1">
      <alignment horizontal="justify" vertical="justify" wrapText="1"/>
    </xf>
    <xf numFmtId="0" fontId="51" fillId="0" borderId="0" xfId="20" applyFont="1" applyFill="1" applyAlignment="1">
      <alignment horizontal="left" wrapText="1"/>
    </xf>
    <xf numFmtId="0" fontId="44" fillId="0" borderId="0" xfId="20" quotePrefix="1" applyFont="1" applyFill="1" applyAlignment="1">
      <alignment horizontal="left" vertical="top" wrapText="1"/>
    </xf>
    <xf numFmtId="0" fontId="44" fillId="0" borderId="0" xfId="20" applyFont="1" applyFill="1" applyAlignment="1">
      <alignment horizontal="left" vertical="top" wrapText="1"/>
    </xf>
    <xf numFmtId="2" fontId="25" fillId="0" borderId="9" xfId="12" applyNumberFormat="1" applyFont="1" applyFill="1" applyBorder="1" applyAlignment="1">
      <alignment horizontal="center" vertical="center" wrapText="1"/>
    </xf>
    <xf numFmtId="165" fontId="29" fillId="0" borderId="0" xfId="9" applyNumberFormat="1" applyFont="1" applyFill="1" applyAlignment="1" applyProtection="1">
      <alignment vertical="center" wrapText="1"/>
      <protection locked="0"/>
    </xf>
    <xf numFmtId="165" fontId="29" fillId="0" borderId="0" xfId="9" applyNumberFormat="1" applyFont="1" applyFill="1" applyAlignment="1" applyProtection="1">
      <alignment horizontal="left" vertical="center" wrapText="1"/>
      <protection locked="0"/>
    </xf>
    <xf numFmtId="1" fontId="30" fillId="0" borderId="0" xfId="18" quotePrefix="1" applyNumberFormat="1" applyFont="1" applyFill="1" applyBorder="1" applyAlignment="1">
      <alignment horizontal="center" vertical="center" wrapText="1"/>
    </xf>
    <xf numFmtId="1" fontId="30" fillId="0" borderId="87" xfId="27" applyNumberFormat="1" applyFont="1" applyFill="1" applyBorder="1" applyAlignment="1">
      <alignment horizontal="center" vertical="center"/>
    </xf>
    <xf numFmtId="1" fontId="30" fillId="0" borderId="3" xfId="27" applyNumberFormat="1" applyFont="1" applyFill="1" applyBorder="1" applyAlignment="1">
      <alignment horizontal="center" vertical="center"/>
    </xf>
    <xf numFmtId="165" fontId="30" fillId="0" borderId="5" xfId="27" applyNumberFormat="1" applyFont="1" applyFill="1" applyBorder="1" applyAlignment="1">
      <alignment horizontal="center" vertical="center"/>
    </xf>
    <xf numFmtId="165" fontId="30" fillId="0" borderId="7" xfId="27" applyNumberFormat="1" applyFont="1" applyFill="1" applyBorder="1" applyAlignment="1">
      <alignment horizontal="center" vertical="center"/>
    </xf>
    <xf numFmtId="165" fontId="30" fillId="0" borderId="19" xfId="27" applyNumberFormat="1" applyFont="1" applyFill="1" applyBorder="1" applyAlignment="1">
      <alignment horizontal="center" vertical="center"/>
    </xf>
    <xf numFmtId="1" fontId="30" fillId="0" borderId="90" xfId="27" applyNumberFormat="1" applyFont="1" applyFill="1" applyBorder="1" applyAlignment="1">
      <alignment horizontal="center" vertical="center"/>
    </xf>
    <xf numFmtId="0" fontId="40" fillId="0" borderId="0" xfId="19" applyFont="1" applyFill="1" applyAlignment="1">
      <alignment horizontal="left" vertical="top" wrapText="1"/>
    </xf>
    <xf numFmtId="165" fontId="25" fillId="0" borderId="8" xfId="7" applyNumberFormat="1" applyFont="1" applyFill="1" applyBorder="1" applyAlignment="1">
      <alignment horizontal="center" vertical="center"/>
    </xf>
    <xf numFmtId="165" fontId="25" fillId="0" borderId="12" xfId="7" applyNumberFormat="1" applyFont="1" applyFill="1" applyBorder="1" applyAlignment="1">
      <alignment horizontal="center" vertical="center"/>
    </xf>
    <xf numFmtId="1" fontId="25" fillId="0" borderId="9" xfId="7" quotePrefix="1" applyNumberFormat="1" applyFont="1" applyFill="1" applyBorder="1" applyAlignment="1">
      <alignment horizontal="center" vertical="center"/>
    </xf>
    <xf numFmtId="165" fontId="25" fillId="0" borderId="9" xfId="18" applyNumberFormat="1" applyFont="1" applyFill="1" applyBorder="1" applyAlignment="1">
      <alignment horizontal="center" vertical="center" wrapText="1"/>
    </xf>
    <xf numFmtId="165" fontId="25" fillId="0" borderId="10" xfId="18" applyNumberFormat="1" applyFont="1" applyFill="1" applyBorder="1" applyAlignment="1">
      <alignment horizontal="center" vertical="center" wrapText="1"/>
    </xf>
    <xf numFmtId="0" fontId="26" fillId="0" borderId="0" xfId="19" applyFont="1" applyFill="1" applyAlignment="1">
      <alignment horizontal="left" vertical="top" wrapText="1"/>
    </xf>
    <xf numFmtId="0" fontId="71" fillId="0" borderId="0" xfId="19" applyFont="1" applyFill="1" applyAlignment="1">
      <alignment horizontal="left" vertical="top" wrapText="1"/>
    </xf>
    <xf numFmtId="0" fontId="29" fillId="0" borderId="0" xfId="18" applyFont="1" applyFill="1" applyAlignment="1">
      <alignment horizontal="left" vertical="top" wrapText="1"/>
    </xf>
    <xf numFmtId="0" fontId="40" fillId="0" borderId="0" xfId="19" applyFont="1" applyFill="1" applyAlignment="1">
      <alignment horizontal="left" vertical="center" wrapText="1"/>
    </xf>
    <xf numFmtId="0" fontId="48" fillId="0" borderId="0" xfId="19" applyFont="1" applyFill="1" applyAlignment="1">
      <alignment horizontal="left" wrapText="1"/>
    </xf>
    <xf numFmtId="0" fontId="40" fillId="0" borderId="0" xfId="19" quotePrefix="1" applyFont="1" applyFill="1" applyAlignment="1">
      <alignment horizontal="left" vertical="top" wrapText="1"/>
    </xf>
    <xf numFmtId="0" fontId="40" fillId="0" borderId="0" xfId="19" applyFont="1" applyFill="1" applyAlignment="1">
      <alignment horizontal="left" vertical="justify" wrapText="1"/>
    </xf>
    <xf numFmtId="0" fontId="11" fillId="0" borderId="0" xfId="18" applyFill="1" applyAlignment="1">
      <alignment horizontal="left" vertical="justify" wrapText="1"/>
    </xf>
    <xf numFmtId="0" fontId="40" fillId="0" borderId="0" xfId="19" applyFont="1" applyFill="1" applyBorder="1" applyAlignment="1">
      <alignment horizontal="left" vertical="center" wrapText="1" indent="1"/>
    </xf>
    <xf numFmtId="0" fontId="50" fillId="0" borderId="0" xfId="18" applyFont="1" applyFill="1" applyAlignment="1">
      <alignment wrapText="1"/>
    </xf>
    <xf numFmtId="0" fontId="11" fillId="0" borderId="0" xfId="18" applyFill="1" applyAlignment="1">
      <alignment wrapText="1"/>
    </xf>
    <xf numFmtId="0" fontId="4" fillId="0" borderId="0" xfId="19" applyFont="1" applyFill="1" applyAlignment="1">
      <alignment horizontal="left" vertical="top" wrapText="1"/>
    </xf>
    <xf numFmtId="165" fontId="25" fillId="3" borderId="23" xfId="12" applyNumberFormat="1" applyFont="1" applyFill="1" applyBorder="1" applyAlignment="1">
      <alignment horizontal="center" vertical="center" wrapText="1"/>
    </xf>
    <xf numFmtId="165" fontId="25" fillId="3" borderId="18" xfId="12" applyNumberFormat="1" applyFont="1" applyFill="1" applyBorder="1" applyAlignment="1">
      <alignment horizontal="center" vertical="center" wrapText="1"/>
    </xf>
    <xf numFmtId="165" fontId="25" fillId="3" borderId="20" xfId="12" applyNumberFormat="1" applyFont="1" applyFill="1" applyBorder="1" applyAlignment="1">
      <alignment horizontal="center" vertical="center" wrapText="1"/>
    </xf>
    <xf numFmtId="165" fontId="25" fillId="3" borderId="9" xfId="16" applyNumberFormat="1" applyFont="1" applyFill="1" applyBorder="1" applyAlignment="1">
      <alignment horizontal="center" vertical="center"/>
    </xf>
    <xf numFmtId="165" fontId="25" fillId="3" borderId="9" xfId="12" quotePrefix="1" applyNumberFormat="1" applyFont="1" applyFill="1" applyBorder="1" applyAlignment="1">
      <alignment horizontal="center" vertical="center" wrapText="1"/>
    </xf>
    <xf numFmtId="165" fontId="25" fillId="3" borderId="10" xfId="12" quotePrefix="1" applyNumberFormat="1" applyFont="1" applyFill="1" applyBorder="1" applyAlignment="1">
      <alignment horizontal="center" vertical="center" wrapText="1"/>
    </xf>
    <xf numFmtId="0" fontId="29" fillId="3" borderId="0" xfId="0" applyFont="1" applyFill="1" applyAlignment="1">
      <alignment horizontal="left" vertical="top" wrapText="1"/>
    </xf>
    <xf numFmtId="0" fontId="11" fillId="3" borderId="0" xfId="18" applyFill="1" applyAlignment="1">
      <alignment wrapText="1"/>
    </xf>
    <xf numFmtId="3" fontId="35" fillId="3" borderId="11" xfId="29" applyNumberFormat="1" applyFont="1" applyFill="1" applyBorder="1" applyAlignment="1">
      <alignment horizontal="left" vertical="center"/>
    </xf>
    <xf numFmtId="0" fontId="201" fillId="3" borderId="26" xfId="18" applyFont="1" applyFill="1" applyBorder="1" applyAlignment="1">
      <alignment horizontal="center" vertical="center" textRotation="90"/>
    </xf>
    <xf numFmtId="0" fontId="201" fillId="3" borderId="27" xfId="18" applyFont="1" applyFill="1" applyBorder="1" applyAlignment="1">
      <alignment horizontal="center" vertical="center" textRotation="90"/>
    </xf>
    <xf numFmtId="0" fontId="201" fillId="3" borderId="29" xfId="18" applyFont="1" applyFill="1" applyBorder="1" applyAlignment="1">
      <alignment horizontal="center" vertical="center" textRotation="90"/>
    </xf>
    <xf numFmtId="165" fontId="29" fillId="3" borderId="26" xfId="14" applyNumberFormat="1" applyFont="1" applyFill="1" applyBorder="1" applyAlignment="1">
      <alignment horizontal="center" vertical="center" wrapText="1"/>
    </xf>
    <xf numFmtId="165" fontId="29" fillId="3" borderId="29" xfId="14" applyNumberFormat="1" applyFont="1" applyFill="1" applyBorder="1" applyAlignment="1">
      <alignment horizontal="center" vertical="center" wrapText="1"/>
    </xf>
    <xf numFmtId="165" fontId="30" fillId="3" borderId="8" xfId="10" quotePrefix="1" applyNumberFormat="1" applyFont="1" applyFill="1" applyBorder="1" applyAlignment="1">
      <alignment horizontal="center" vertical="center" wrapText="1"/>
    </xf>
    <xf numFmtId="165" fontId="30" fillId="3" borderId="12" xfId="10" quotePrefix="1" applyNumberFormat="1" applyFont="1" applyFill="1" applyBorder="1" applyAlignment="1">
      <alignment horizontal="center" vertical="center" wrapText="1"/>
    </xf>
    <xf numFmtId="0" fontId="25" fillId="3" borderId="97" xfId="0" applyFont="1" applyFill="1" applyBorder="1" applyAlignment="1">
      <alignment horizontal="center" vertical="center"/>
    </xf>
    <xf numFmtId="0" fontId="25" fillId="3" borderId="92" xfId="0" applyFont="1" applyFill="1" applyBorder="1" applyAlignment="1">
      <alignment horizontal="center" vertical="center"/>
    </xf>
    <xf numFmtId="0" fontId="25" fillId="3" borderId="91" xfId="0" applyFont="1" applyFill="1" applyBorder="1" applyAlignment="1">
      <alignment horizontal="center" vertical="center"/>
    </xf>
    <xf numFmtId="0" fontId="25" fillId="3" borderId="22" xfId="0" applyFont="1" applyFill="1" applyBorder="1" applyAlignment="1">
      <alignment horizontal="center" vertical="center"/>
    </xf>
    <xf numFmtId="165" fontId="30" fillId="3" borderId="13" xfId="10" quotePrefix="1" applyNumberFormat="1" applyFont="1" applyFill="1" applyBorder="1" applyAlignment="1">
      <alignment horizontal="center" vertical="center" wrapText="1"/>
    </xf>
    <xf numFmtId="165" fontId="30" fillId="3" borderId="14" xfId="10" quotePrefix="1" applyNumberFormat="1" applyFont="1" applyFill="1" applyBorder="1" applyAlignment="1">
      <alignment horizontal="center" vertical="center" wrapText="1"/>
    </xf>
    <xf numFmtId="165" fontId="29" fillId="3" borderId="8" xfId="10" quotePrefix="1" applyNumberFormat="1" applyFont="1" applyFill="1" applyBorder="1" applyAlignment="1">
      <alignment horizontal="center" vertical="center"/>
    </xf>
    <xf numFmtId="165" fontId="29" fillId="3" borderId="26" xfId="10" quotePrefix="1" applyNumberFormat="1" applyFont="1" applyFill="1" applyBorder="1" applyAlignment="1">
      <alignment horizontal="center" vertical="center"/>
    </xf>
    <xf numFmtId="165" fontId="29" fillId="3" borderId="12" xfId="10" quotePrefix="1" applyNumberFormat="1" applyFont="1" applyFill="1" applyBorder="1" applyAlignment="1">
      <alignment horizontal="center" vertical="center"/>
    </xf>
    <xf numFmtId="165" fontId="29" fillId="3" borderId="29" xfId="10" quotePrefix="1" applyNumberFormat="1" applyFont="1" applyFill="1" applyBorder="1" applyAlignment="1">
      <alignment horizontal="center" vertical="center"/>
    </xf>
    <xf numFmtId="165" fontId="25" fillId="0" borderId="9" xfId="18" applyNumberFormat="1" applyFont="1" applyFill="1" applyBorder="1" applyAlignment="1">
      <alignment horizontal="center" vertical="center"/>
    </xf>
    <xf numFmtId="165" fontId="21" fillId="0" borderId="10" xfId="18" applyNumberFormat="1" applyFont="1" applyFill="1" applyBorder="1" applyAlignment="1">
      <alignment horizontal="center" vertical="center" wrapText="1"/>
    </xf>
    <xf numFmtId="165" fontId="21" fillId="0" borderId="8" xfId="18" applyNumberFormat="1" applyFont="1" applyFill="1" applyBorder="1" applyAlignment="1">
      <alignment horizontal="center" vertical="center"/>
    </xf>
    <xf numFmtId="165" fontId="21" fillId="0" borderId="12" xfId="18" applyNumberFormat="1" applyFont="1" applyFill="1" applyBorder="1" applyAlignment="1">
      <alignment horizontal="center" vertical="center"/>
    </xf>
    <xf numFmtId="165" fontId="25" fillId="0" borderId="25" xfId="18" applyNumberFormat="1" applyFont="1" applyFill="1" applyBorder="1" applyAlignment="1">
      <alignment horizontal="center" vertical="center"/>
    </xf>
    <xf numFmtId="165" fontId="25" fillId="0" borderId="10" xfId="18" applyNumberFormat="1" applyFont="1" applyFill="1" applyBorder="1" applyAlignment="1">
      <alignment horizontal="center" vertical="center"/>
    </xf>
    <xf numFmtId="165" fontId="21" fillId="0" borderId="11" xfId="18" applyNumberFormat="1" applyFont="1" applyFill="1" applyBorder="1" applyAlignment="1">
      <alignment horizontal="center" vertical="center" wrapText="1"/>
    </xf>
    <xf numFmtId="165" fontId="21" fillId="0" borderId="9" xfId="18" applyNumberFormat="1" applyFont="1" applyFill="1" applyBorder="1" applyAlignment="1">
      <alignment horizontal="center" vertical="center" wrapText="1"/>
    </xf>
    <xf numFmtId="165" fontId="21" fillId="0" borderId="0" xfId="18" applyNumberFormat="1" applyFont="1" applyFill="1" applyAlignment="1">
      <alignment horizontal="left" vertical="center" wrapText="1"/>
    </xf>
    <xf numFmtId="165" fontId="44" fillId="0" borderId="0" xfId="18" applyNumberFormat="1" applyFont="1" applyFill="1" applyAlignment="1">
      <alignment horizontal="left" vertical="top" wrapText="1"/>
    </xf>
    <xf numFmtId="165" fontId="25" fillId="0" borderId="11" xfId="15" applyNumberFormat="1" applyFont="1" applyFill="1" applyBorder="1" applyAlignment="1">
      <alignment horizontal="center" vertical="center" wrapText="1"/>
    </xf>
    <xf numFmtId="0" fontId="21" fillId="0" borderId="0" xfId="18" quotePrefix="1" applyFont="1" applyFill="1" applyBorder="1" applyAlignment="1">
      <alignment horizontal="left" vertical="center" wrapText="1"/>
    </xf>
    <xf numFmtId="165" fontId="21" fillId="0" borderId="0" xfId="14" applyNumberFormat="1" applyFont="1" applyFill="1" applyAlignment="1">
      <alignment horizontal="left" vertical="center" wrapText="1"/>
    </xf>
    <xf numFmtId="0" fontId="50" fillId="0" borderId="0" xfId="0" quotePrefix="1" applyFont="1" applyFill="1" applyAlignment="1">
      <alignment horizontal="left" vertical="center" wrapText="1"/>
    </xf>
    <xf numFmtId="0" fontId="0" fillId="0" borderId="0" xfId="0" applyFill="1" applyAlignment="1">
      <alignment horizontal="left" vertical="center" wrapText="1"/>
    </xf>
    <xf numFmtId="165" fontId="240" fillId="0" borderId="104" xfId="1" applyNumberFormat="1" applyFont="1" applyFill="1" applyBorder="1" applyAlignment="1">
      <alignment horizontal="left" vertical="center"/>
    </xf>
    <xf numFmtId="0" fontId="48" fillId="0" borderId="30" xfId="0" applyFont="1" applyFill="1" applyBorder="1" applyAlignment="1">
      <alignment horizontal="center" vertical="center"/>
    </xf>
    <xf numFmtId="0" fontId="21" fillId="0" borderId="0" xfId="0" quotePrefix="1" applyFont="1" applyFill="1" applyAlignment="1">
      <alignment horizontal="left" vertical="center" wrapText="1"/>
    </xf>
    <xf numFmtId="0" fontId="40" fillId="0" borderId="0" xfId="0" quotePrefix="1" applyFont="1" applyFill="1" applyAlignment="1">
      <alignment horizontal="left" vertical="center" wrapText="1"/>
    </xf>
    <xf numFmtId="165" fontId="21" fillId="0" borderId="0" xfId="16" applyNumberFormat="1" applyFont="1" applyFill="1" applyBorder="1" applyAlignment="1">
      <alignment horizontal="left" vertical="center" wrapText="1"/>
    </xf>
    <xf numFmtId="165" fontId="25" fillId="0" borderId="32" xfId="12" applyNumberFormat="1" applyFont="1" applyFill="1" applyBorder="1" applyAlignment="1">
      <alignment horizontal="center" vertical="center"/>
    </xf>
    <xf numFmtId="165" fontId="25" fillId="0" borderId="0" xfId="12" applyNumberFormat="1" applyFont="1" applyFill="1" applyBorder="1" applyAlignment="1">
      <alignment horizontal="center" vertical="center"/>
    </xf>
    <xf numFmtId="165" fontId="25" fillId="0" borderId="31" xfId="12" applyNumberFormat="1" applyFont="1" applyFill="1" applyBorder="1" applyAlignment="1">
      <alignment horizontal="center" vertical="center"/>
    </xf>
    <xf numFmtId="0" fontId="212" fillId="0" borderId="77" xfId="0" applyFont="1" applyFill="1" applyBorder="1" applyAlignment="1">
      <alignment horizontal="center"/>
    </xf>
    <xf numFmtId="0" fontId="212" fillId="0" borderId="73" xfId="0" applyFont="1" applyFill="1" applyBorder="1" applyAlignment="1">
      <alignment horizontal="center"/>
    </xf>
  </cellXfs>
  <cellStyles count="2821">
    <cellStyle name="%" xfId="43" xr:uid="{00000000-0005-0000-0000-000000000000}"/>
    <cellStyle name="% 10" xfId="44" xr:uid="{00000000-0005-0000-0000-000001000000}"/>
    <cellStyle name="% 10 2" xfId="1874" xr:uid="{00000000-0005-0000-0000-000002000000}"/>
    <cellStyle name="% 11" xfId="45" xr:uid="{00000000-0005-0000-0000-000003000000}"/>
    <cellStyle name="% 11 2" xfId="1875" xr:uid="{00000000-0005-0000-0000-000004000000}"/>
    <cellStyle name="% 12" xfId="46" xr:uid="{00000000-0005-0000-0000-000005000000}"/>
    <cellStyle name="% 12 2" xfId="1876" xr:uid="{00000000-0005-0000-0000-000006000000}"/>
    <cellStyle name="% 13" xfId="47" xr:uid="{00000000-0005-0000-0000-000007000000}"/>
    <cellStyle name="% 13 2" xfId="1877" xr:uid="{00000000-0005-0000-0000-000008000000}"/>
    <cellStyle name="% 14" xfId="1878" xr:uid="{00000000-0005-0000-0000-000009000000}"/>
    <cellStyle name="% 2" xfId="48" xr:uid="{00000000-0005-0000-0000-00000A000000}"/>
    <cellStyle name="% 2 10" xfId="49" xr:uid="{00000000-0005-0000-0000-00000B000000}"/>
    <cellStyle name="% 2 10 2" xfId="1879" xr:uid="{00000000-0005-0000-0000-00000C000000}"/>
    <cellStyle name="% 2 11" xfId="50" xr:uid="{00000000-0005-0000-0000-00000D000000}"/>
    <cellStyle name="% 2 11 2" xfId="1880" xr:uid="{00000000-0005-0000-0000-00000E000000}"/>
    <cellStyle name="% 2 12" xfId="51" xr:uid="{00000000-0005-0000-0000-00000F000000}"/>
    <cellStyle name="% 2 12 2" xfId="1881" xr:uid="{00000000-0005-0000-0000-000010000000}"/>
    <cellStyle name="% 2 13" xfId="1882" xr:uid="{00000000-0005-0000-0000-000011000000}"/>
    <cellStyle name="% 2 2" xfId="52" xr:uid="{00000000-0005-0000-0000-000012000000}"/>
    <cellStyle name="% 2 2 2" xfId="1883" xr:uid="{00000000-0005-0000-0000-000013000000}"/>
    <cellStyle name="% 2 3" xfId="53" xr:uid="{00000000-0005-0000-0000-000014000000}"/>
    <cellStyle name="% 2 3 2" xfId="1884" xr:uid="{00000000-0005-0000-0000-000015000000}"/>
    <cellStyle name="% 2 4" xfId="54" xr:uid="{00000000-0005-0000-0000-000016000000}"/>
    <cellStyle name="% 2 4 2" xfId="1885" xr:uid="{00000000-0005-0000-0000-000017000000}"/>
    <cellStyle name="% 2 5" xfId="55" xr:uid="{00000000-0005-0000-0000-000018000000}"/>
    <cellStyle name="% 2 5 2" xfId="1886" xr:uid="{00000000-0005-0000-0000-000019000000}"/>
    <cellStyle name="% 2 6" xfId="56" xr:uid="{00000000-0005-0000-0000-00001A000000}"/>
    <cellStyle name="% 2 6 2" xfId="1887" xr:uid="{00000000-0005-0000-0000-00001B000000}"/>
    <cellStyle name="% 2 7" xfId="57" xr:uid="{00000000-0005-0000-0000-00001C000000}"/>
    <cellStyle name="% 2 7 2" xfId="1888" xr:uid="{00000000-0005-0000-0000-00001D000000}"/>
    <cellStyle name="% 2 8" xfId="58" xr:uid="{00000000-0005-0000-0000-00001E000000}"/>
    <cellStyle name="% 2 8 2" xfId="1889" xr:uid="{00000000-0005-0000-0000-00001F000000}"/>
    <cellStyle name="% 2 9" xfId="59" xr:uid="{00000000-0005-0000-0000-000020000000}"/>
    <cellStyle name="% 2 9 2" xfId="1890" xr:uid="{00000000-0005-0000-0000-000021000000}"/>
    <cellStyle name="% 3" xfId="60" xr:uid="{00000000-0005-0000-0000-000022000000}"/>
    <cellStyle name="% 3 2" xfId="1891" xr:uid="{00000000-0005-0000-0000-000023000000}"/>
    <cellStyle name="% 4" xfId="61" xr:uid="{00000000-0005-0000-0000-000024000000}"/>
    <cellStyle name="% 4 2" xfId="1892" xr:uid="{00000000-0005-0000-0000-000025000000}"/>
    <cellStyle name="% 5" xfId="62" xr:uid="{00000000-0005-0000-0000-000026000000}"/>
    <cellStyle name="% 5 2" xfId="1893" xr:uid="{00000000-0005-0000-0000-000027000000}"/>
    <cellStyle name="% 6" xfId="63" xr:uid="{00000000-0005-0000-0000-000028000000}"/>
    <cellStyle name="% 6 2" xfId="1894" xr:uid="{00000000-0005-0000-0000-000029000000}"/>
    <cellStyle name="% 7" xfId="64" xr:uid="{00000000-0005-0000-0000-00002A000000}"/>
    <cellStyle name="% 7 2" xfId="1895" xr:uid="{00000000-0005-0000-0000-00002B000000}"/>
    <cellStyle name="% 8" xfId="65" xr:uid="{00000000-0005-0000-0000-00002C000000}"/>
    <cellStyle name="% 8 2" xfId="1896" xr:uid="{00000000-0005-0000-0000-00002D000000}"/>
    <cellStyle name="% 9" xfId="66" xr:uid="{00000000-0005-0000-0000-00002E000000}"/>
    <cellStyle name="% 9 2" xfId="1897" xr:uid="{00000000-0005-0000-0000-00002F000000}"/>
    <cellStyle name="%_3.ind_pobreza" xfId="1521" xr:uid="{00000000-0005-0000-0000-000030000000}"/>
    <cellStyle name="%_3.ind_pobreza 2" xfId="1898" xr:uid="{00000000-0005-0000-0000-000031000000}"/>
    <cellStyle name="_06.0223-r1" xfId="67" xr:uid="{00000000-0005-0000-0000-000032000000}"/>
    <cellStyle name="_06.0223-r1 10" xfId="68" xr:uid="{00000000-0005-0000-0000-000033000000}"/>
    <cellStyle name="_06.0223-r1 10 2" xfId="1899" xr:uid="{00000000-0005-0000-0000-000034000000}"/>
    <cellStyle name="_06.0223-r1 11" xfId="69" xr:uid="{00000000-0005-0000-0000-000035000000}"/>
    <cellStyle name="_06.0223-r1 11 2" xfId="1900" xr:uid="{00000000-0005-0000-0000-000036000000}"/>
    <cellStyle name="_06.0223-r1 12" xfId="70" xr:uid="{00000000-0005-0000-0000-000037000000}"/>
    <cellStyle name="_06.0223-r1 12 2" xfId="1901" xr:uid="{00000000-0005-0000-0000-000038000000}"/>
    <cellStyle name="_06.0223-r1 13" xfId="1902" xr:uid="{00000000-0005-0000-0000-000039000000}"/>
    <cellStyle name="_06.0223-r1 2" xfId="71" xr:uid="{00000000-0005-0000-0000-00003A000000}"/>
    <cellStyle name="_06.0223-r1 2 2" xfId="1903" xr:uid="{00000000-0005-0000-0000-00003B000000}"/>
    <cellStyle name="_06.0223-r1 3" xfId="72" xr:uid="{00000000-0005-0000-0000-00003C000000}"/>
    <cellStyle name="_06.0223-r1 3 2" xfId="1904" xr:uid="{00000000-0005-0000-0000-00003D000000}"/>
    <cellStyle name="_06.0223-r1 4" xfId="73" xr:uid="{00000000-0005-0000-0000-00003E000000}"/>
    <cellStyle name="_06.0223-r1 4 2" xfId="1905" xr:uid="{00000000-0005-0000-0000-00003F000000}"/>
    <cellStyle name="_06.0223-r1 5" xfId="74" xr:uid="{00000000-0005-0000-0000-000040000000}"/>
    <cellStyle name="_06.0223-r1 5 2" xfId="1906" xr:uid="{00000000-0005-0000-0000-000041000000}"/>
    <cellStyle name="_06.0223-r1 6" xfId="75" xr:uid="{00000000-0005-0000-0000-000042000000}"/>
    <cellStyle name="_06.0223-r1 6 2" xfId="1907" xr:uid="{00000000-0005-0000-0000-000043000000}"/>
    <cellStyle name="_06.0223-r1 7" xfId="76" xr:uid="{00000000-0005-0000-0000-000044000000}"/>
    <cellStyle name="_06.0223-r1 7 2" xfId="1908" xr:uid="{00000000-0005-0000-0000-000045000000}"/>
    <cellStyle name="_06.0223-r1 8" xfId="77" xr:uid="{00000000-0005-0000-0000-000046000000}"/>
    <cellStyle name="_06.0223-r1 8 2" xfId="1909" xr:uid="{00000000-0005-0000-0000-000047000000}"/>
    <cellStyle name="_06.0223-r1 9" xfId="78" xr:uid="{00000000-0005-0000-0000-000048000000}"/>
    <cellStyle name="_06.0223-r1 9 2" xfId="1910" xr:uid="{00000000-0005-0000-0000-000049000000}"/>
    <cellStyle name="20% - Accent1" xfId="79" xr:uid="{00000000-0005-0000-0000-00004A000000}"/>
    <cellStyle name="20% - Accent2" xfId="80" xr:uid="{00000000-0005-0000-0000-00004B000000}"/>
    <cellStyle name="20% - Accent3" xfId="81" xr:uid="{00000000-0005-0000-0000-00004C000000}"/>
    <cellStyle name="20% - Accent4" xfId="82" xr:uid="{00000000-0005-0000-0000-00004D000000}"/>
    <cellStyle name="20% - Accent5" xfId="83" xr:uid="{00000000-0005-0000-0000-00004E000000}"/>
    <cellStyle name="20% - Accent6" xfId="84" xr:uid="{00000000-0005-0000-0000-00004F000000}"/>
    <cellStyle name="20% - Cor1 2" xfId="85" xr:uid="{00000000-0005-0000-0000-000050000000}"/>
    <cellStyle name="20% - Cor1 3" xfId="86" xr:uid="{00000000-0005-0000-0000-000051000000}"/>
    <cellStyle name="20% - Cor1 4" xfId="87" xr:uid="{00000000-0005-0000-0000-000052000000}"/>
    <cellStyle name="20% - Cor2 2" xfId="88" xr:uid="{00000000-0005-0000-0000-000053000000}"/>
    <cellStyle name="20% - Cor2 3" xfId="89" xr:uid="{00000000-0005-0000-0000-000054000000}"/>
    <cellStyle name="20% - Cor2 4" xfId="90" xr:uid="{00000000-0005-0000-0000-000055000000}"/>
    <cellStyle name="20% - Cor3 2" xfId="91" xr:uid="{00000000-0005-0000-0000-000056000000}"/>
    <cellStyle name="20% - Cor3 2 2" xfId="930" xr:uid="{00000000-0005-0000-0000-000057000000}"/>
    <cellStyle name="20% - Cor3 2 2 2" xfId="932" xr:uid="{00000000-0005-0000-0000-000058000000}"/>
    <cellStyle name="20% - Cor3 2 2 3" xfId="933" xr:uid="{00000000-0005-0000-0000-000059000000}"/>
    <cellStyle name="20% - Cor3 2 3" xfId="931" xr:uid="{00000000-0005-0000-0000-00005A000000}"/>
    <cellStyle name="20% - Cor3 3" xfId="92" xr:uid="{00000000-0005-0000-0000-00005B000000}"/>
    <cellStyle name="20% - Cor3 4" xfId="93" xr:uid="{00000000-0005-0000-0000-00005C000000}"/>
    <cellStyle name="20% - Cor4 2" xfId="94" xr:uid="{00000000-0005-0000-0000-00005D000000}"/>
    <cellStyle name="20% - Cor4 3" xfId="95" xr:uid="{00000000-0005-0000-0000-00005E000000}"/>
    <cellStyle name="20% - Cor4 4" xfId="96" xr:uid="{00000000-0005-0000-0000-00005F000000}"/>
    <cellStyle name="20% - Cor5 2" xfId="97" xr:uid="{00000000-0005-0000-0000-000060000000}"/>
    <cellStyle name="20% - Cor5 3" xfId="98" xr:uid="{00000000-0005-0000-0000-000061000000}"/>
    <cellStyle name="20% - Cor5 4" xfId="99" xr:uid="{00000000-0005-0000-0000-000062000000}"/>
    <cellStyle name="20% - Cor6 2" xfId="100" xr:uid="{00000000-0005-0000-0000-000063000000}"/>
    <cellStyle name="20% - Cor6 3" xfId="101" xr:uid="{00000000-0005-0000-0000-000064000000}"/>
    <cellStyle name="20% - Cor6 4" xfId="102" xr:uid="{00000000-0005-0000-0000-000065000000}"/>
    <cellStyle name="20% - Ênfase1" xfId="1522" xr:uid="{00000000-0005-0000-0000-000066000000}"/>
    <cellStyle name="20% - Ênfase2" xfId="1523" xr:uid="{00000000-0005-0000-0000-000067000000}"/>
    <cellStyle name="20% - Ênfase3" xfId="1524" xr:uid="{00000000-0005-0000-0000-000068000000}"/>
    <cellStyle name="20% - Ênfase4" xfId="1525" xr:uid="{00000000-0005-0000-0000-000069000000}"/>
    <cellStyle name="20% - Ênfase5" xfId="1526" xr:uid="{00000000-0005-0000-0000-00006A000000}"/>
    <cellStyle name="20% - Ênfase6" xfId="1527" xr:uid="{00000000-0005-0000-0000-00006B000000}"/>
    <cellStyle name="40% - Accent1" xfId="103" xr:uid="{00000000-0005-0000-0000-00006C000000}"/>
    <cellStyle name="40% - Accent2" xfId="104" xr:uid="{00000000-0005-0000-0000-00006D000000}"/>
    <cellStyle name="40% - Accent3" xfId="105" xr:uid="{00000000-0005-0000-0000-00006E000000}"/>
    <cellStyle name="40% - Accent4" xfId="106" xr:uid="{00000000-0005-0000-0000-00006F000000}"/>
    <cellStyle name="40% - Accent5" xfId="107" xr:uid="{00000000-0005-0000-0000-000070000000}"/>
    <cellStyle name="40% - Accent6" xfId="108" xr:uid="{00000000-0005-0000-0000-000071000000}"/>
    <cellStyle name="40% - Cor1 2" xfId="109" xr:uid="{00000000-0005-0000-0000-000072000000}"/>
    <cellStyle name="40% - Cor1 3" xfId="110" xr:uid="{00000000-0005-0000-0000-000073000000}"/>
    <cellStyle name="40% - Cor1 4" xfId="111" xr:uid="{00000000-0005-0000-0000-000074000000}"/>
    <cellStyle name="40% - Cor2 2" xfId="112" xr:uid="{00000000-0005-0000-0000-000075000000}"/>
    <cellStyle name="40% - Cor2 3" xfId="113" xr:uid="{00000000-0005-0000-0000-000076000000}"/>
    <cellStyle name="40% - Cor2 4" xfId="114" xr:uid="{00000000-0005-0000-0000-000077000000}"/>
    <cellStyle name="40% - Cor3 2" xfId="115" xr:uid="{00000000-0005-0000-0000-000078000000}"/>
    <cellStyle name="40% - Cor3 3" xfId="116" xr:uid="{00000000-0005-0000-0000-000079000000}"/>
    <cellStyle name="40% - Cor3 4" xfId="117" xr:uid="{00000000-0005-0000-0000-00007A000000}"/>
    <cellStyle name="40% - Cor4 2" xfId="118" xr:uid="{00000000-0005-0000-0000-00007B000000}"/>
    <cellStyle name="40% - Cor4 3" xfId="119" xr:uid="{00000000-0005-0000-0000-00007C000000}"/>
    <cellStyle name="40% - Cor4 4" xfId="120" xr:uid="{00000000-0005-0000-0000-00007D000000}"/>
    <cellStyle name="40% - Cor5 2" xfId="121" xr:uid="{00000000-0005-0000-0000-00007E000000}"/>
    <cellStyle name="40% - Cor5 3" xfId="122" xr:uid="{00000000-0005-0000-0000-00007F000000}"/>
    <cellStyle name="40% - Cor5 4" xfId="123" xr:uid="{00000000-0005-0000-0000-000080000000}"/>
    <cellStyle name="40% - Cor6 2" xfId="124" xr:uid="{00000000-0005-0000-0000-000081000000}"/>
    <cellStyle name="40% - Cor6 3" xfId="125" xr:uid="{00000000-0005-0000-0000-000082000000}"/>
    <cellStyle name="40% - Cor6 4" xfId="126" xr:uid="{00000000-0005-0000-0000-000083000000}"/>
    <cellStyle name="40% - Ênfase1" xfId="1528" xr:uid="{00000000-0005-0000-0000-000084000000}"/>
    <cellStyle name="40% - Ênfase2" xfId="1529" xr:uid="{00000000-0005-0000-0000-000085000000}"/>
    <cellStyle name="40% - Ênfase3" xfId="1530" xr:uid="{00000000-0005-0000-0000-000086000000}"/>
    <cellStyle name="40% - Ênfase4" xfId="1531" xr:uid="{00000000-0005-0000-0000-000087000000}"/>
    <cellStyle name="40% - Ênfase5" xfId="1532" xr:uid="{00000000-0005-0000-0000-000088000000}"/>
    <cellStyle name="40% - Ênfase6" xfId="1533" xr:uid="{00000000-0005-0000-0000-000089000000}"/>
    <cellStyle name="60% - Accent1" xfId="127" xr:uid="{00000000-0005-0000-0000-00008A000000}"/>
    <cellStyle name="60% - Accent2" xfId="128" xr:uid="{00000000-0005-0000-0000-00008B000000}"/>
    <cellStyle name="60% - Accent3" xfId="129" xr:uid="{00000000-0005-0000-0000-00008C000000}"/>
    <cellStyle name="60% - Accent4" xfId="130" xr:uid="{00000000-0005-0000-0000-00008D000000}"/>
    <cellStyle name="60% - Accent5" xfId="131" xr:uid="{00000000-0005-0000-0000-00008E000000}"/>
    <cellStyle name="60% - Accent6" xfId="132" xr:uid="{00000000-0005-0000-0000-00008F000000}"/>
    <cellStyle name="60% - Cor1 2" xfId="133" xr:uid="{00000000-0005-0000-0000-000090000000}"/>
    <cellStyle name="60% - Cor1 3" xfId="134" xr:uid="{00000000-0005-0000-0000-000091000000}"/>
    <cellStyle name="60% - Cor1 4" xfId="135" xr:uid="{00000000-0005-0000-0000-000092000000}"/>
    <cellStyle name="60% - Cor2 2" xfId="136" xr:uid="{00000000-0005-0000-0000-000093000000}"/>
    <cellStyle name="60% - Cor2 3" xfId="137" xr:uid="{00000000-0005-0000-0000-000094000000}"/>
    <cellStyle name="60% - Cor2 4" xfId="138" xr:uid="{00000000-0005-0000-0000-000095000000}"/>
    <cellStyle name="60% - Cor3 2" xfId="139" xr:uid="{00000000-0005-0000-0000-000096000000}"/>
    <cellStyle name="60% - Cor3 3" xfId="140" xr:uid="{00000000-0005-0000-0000-000097000000}"/>
    <cellStyle name="60% - Cor3 4" xfId="141" xr:uid="{00000000-0005-0000-0000-000098000000}"/>
    <cellStyle name="60% - Cor4 2" xfId="142" xr:uid="{00000000-0005-0000-0000-000099000000}"/>
    <cellStyle name="60% - Cor4 3" xfId="143" xr:uid="{00000000-0005-0000-0000-00009A000000}"/>
    <cellStyle name="60% - Cor4 4" xfId="144" xr:uid="{00000000-0005-0000-0000-00009B000000}"/>
    <cellStyle name="60% - Cor5 2" xfId="145" xr:uid="{00000000-0005-0000-0000-00009C000000}"/>
    <cellStyle name="60% - Cor5 3" xfId="146" xr:uid="{00000000-0005-0000-0000-00009D000000}"/>
    <cellStyle name="60% - Cor5 4" xfId="147" xr:uid="{00000000-0005-0000-0000-00009E000000}"/>
    <cellStyle name="60% - Cor6 2" xfId="148" xr:uid="{00000000-0005-0000-0000-00009F000000}"/>
    <cellStyle name="60% - Cor6 3" xfId="149" xr:uid="{00000000-0005-0000-0000-0000A0000000}"/>
    <cellStyle name="60% - Cor6 4" xfId="150" xr:uid="{00000000-0005-0000-0000-0000A1000000}"/>
    <cellStyle name="60% - Ênfase1" xfId="1534" xr:uid="{00000000-0005-0000-0000-0000A2000000}"/>
    <cellStyle name="60% - Ênfase2" xfId="1535" xr:uid="{00000000-0005-0000-0000-0000A3000000}"/>
    <cellStyle name="60% - Ênfase3" xfId="1536" xr:uid="{00000000-0005-0000-0000-0000A4000000}"/>
    <cellStyle name="60% - Ênfase4" xfId="1537" xr:uid="{00000000-0005-0000-0000-0000A5000000}"/>
    <cellStyle name="60% - Ênfase5" xfId="1538" xr:uid="{00000000-0005-0000-0000-0000A6000000}"/>
    <cellStyle name="60% - Ênfase6" xfId="1539" xr:uid="{00000000-0005-0000-0000-0000A7000000}"/>
    <cellStyle name="a" xfId="1540" xr:uid="{00000000-0005-0000-0000-0000A8000000}"/>
    <cellStyle name="a_Capacidade e cobertura 2004 - 2007 - PARES e POPH" xfId="1541" xr:uid="{00000000-0005-0000-0000-0000A9000000}"/>
    <cellStyle name="a_INE_DGO_TC" xfId="1542" xr:uid="{00000000-0005-0000-0000-0000AA000000}"/>
    <cellStyle name="a_Livro2" xfId="1543" xr:uid="{00000000-0005-0000-0000-0000AB000000}"/>
    <cellStyle name="a_Subsistema 2014" xfId="1544" xr:uid="{00000000-0005-0000-0000-0000AC000000}"/>
    <cellStyle name="Accent1" xfId="151" xr:uid="{00000000-0005-0000-0000-0000AD000000}"/>
    <cellStyle name="Accent1 - 20%" xfId="152" xr:uid="{00000000-0005-0000-0000-0000AE000000}"/>
    <cellStyle name="Accent1 - 40%" xfId="153" xr:uid="{00000000-0005-0000-0000-0000AF000000}"/>
    <cellStyle name="Accent1 - 60%" xfId="154" xr:uid="{00000000-0005-0000-0000-0000B0000000}"/>
    <cellStyle name="Accent1_2012-2016 Prestações Desemprego_6_Março" xfId="1545" xr:uid="{00000000-0005-0000-0000-0000B1000000}"/>
    <cellStyle name="Accent2" xfId="155" xr:uid="{00000000-0005-0000-0000-0000B2000000}"/>
    <cellStyle name="Accent2 - 20%" xfId="156" xr:uid="{00000000-0005-0000-0000-0000B3000000}"/>
    <cellStyle name="Accent2 - 40%" xfId="157" xr:uid="{00000000-0005-0000-0000-0000B4000000}"/>
    <cellStyle name="Accent2 - 60%" xfId="158" xr:uid="{00000000-0005-0000-0000-0000B5000000}"/>
    <cellStyle name="Accent2_2012-2016 Prestações Desemprego_6_Março" xfId="1546" xr:uid="{00000000-0005-0000-0000-0000B6000000}"/>
    <cellStyle name="Accent3" xfId="159" xr:uid="{00000000-0005-0000-0000-0000B7000000}"/>
    <cellStyle name="Accent3 - 20%" xfId="160" xr:uid="{00000000-0005-0000-0000-0000B8000000}"/>
    <cellStyle name="Accent3 - 40%" xfId="161" xr:uid="{00000000-0005-0000-0000-0000B9000000}"/>
    <cellStyle name="Accent3 - 60%" xfId="162" xr:uid="{00000000-0005-0000-0000-0000BA000000}"/>
    <cellStyle name="Accent3_2012-2016 Prestações Desemprego_6_Março" xfId="1547" xr:uid="{00000000-0005-0000-0000-0000BB000000}"/>
    <cellStyle name="Accent4" xfId="163" xr:uid="{00000000-0005-0000-0000-0000BC000000}"/>
    <cellStyle name="Accent4 - 20%" xfId="164" xr:uid="{00000000-0005-0000-0000-0000BD000000}"/>
    <cellStyle name="Accent4 - 40%" xfId="165" xr:uid="{00000000-0005-0000-0000-0000BE000000}"/>
    <cellStyle name="Accent4 - 60%" xfId="166" xr:uid="{00000000-0005-0000-0000-0000BF000000}"/>
    <cellStyle name="Accent4_2012-2016 Prestações Desemprego_6_Março" xfId="1548" xr:uid="{00000000-0005-0000-0000-0000C0000000}"/>
    <cellStyle name="Accent5" xfId="167" xr:uid="{00000000-0005-0000-0000-0000C1000000}"/>
    <cellStyle name="Accent5 - 20%" xfId="168" xr:uid="{00000000-0005-0000-0000-0000C2000000}"/>
    <cellStyle name="Accent5 - 40%" xfId="169" xr:uid="{00000000-0005-0000-0000-0000C3000000}"/>
    <cellStyle name="Accent5 - 60%" xfId="170" xr:uid="{00000000-0005-0000-0000-0000C4000000}"/>
    <cellStyle name="Accent5_2012-2016 Prestações Desemprego_6_Março" xfId="1549" xr:uid="{00000000-0005-0000-0000-0000C5000000}"/>
    <cellStyle name="Accent6" xfId="171" xr:uid="{00000000-0005-0000-0000-0000C6000000}"/>
    <cellStyle name="Accent6 - 20%" xfId="172" xr:uid="{00000000-0005-0000-0000-0000C7000000}"/>
    <cellStyle name="Accent6 - 40%" xfId="173" xr:uid="{00000000-0005-0000-0000-0000C8000000}"/>
    <cellStyle name="Accent6 - 60%" xfId="174" xr:uid="{00000000-0005-0000-0000-0000C9000000}"/>
    <cellStyle name="Accent6_2012-2016 Prestações Desemprego_6_Março" xfId="1550" xr:uid="{00000000-0005-0000-0000-0000CA000000}"/>
    <cellStyle name="Anos" xfId="175" xr:uid="{00000000-0005-0000-0000-0000CB000000}"/>
    <cellStyle name="Bad" xfId="176" xr:uid="{00000000-0005-0000-0000-0000CC000000}"/>
    <cellStyle name="Bom" xfId="1551" xr:uid="{00000000-0005-0000-0000-0000CD000000}"/>
    <cellStyle name="CABECALHO" xfId="934" xr:uid="{00000000-0005-0000-0000-0000CE000000}"/>
    <cellStyle name="Cabeçalho 1" xfId="1" builtinId="16"/>
    <cellStyle name="Cabeçalho 1 10" xfId="177" xr:uid="{00000000-0005-0000-0000-0000D0000000}"/>
    <cellStyle name="Cabeçalho 1 10 2" xfId="1552" xr:uid="{00000000-0005-0000-0000-0000D1000000}"/>
    <cellStyle name="Cabeçalho 1 11" xfId="178" xr:uid="{00000000-0005-0000-0000-0000D2000000}"/>
    <cellStyle name="Cabeçalho 1 11 2" xfId="1553" xr:uid="{00000000-0005-0000-0000-0000D3000000}"/>
    <cellStyle name="Cabeçalho 1 12" xfId="179" xr:uid="{00000000-0005-0000-0000-0000D4000000}"/>
    <cellStyle name="Cabeçalho 1 13" xfId="440" xr:uid="{00000000-0005-0000-0000-0000D5000000}"/>
    <cellStyle name="Cabeçalho 1 2" xfId="180" xr:uid="{00000000-0005-0000-0000-0000D6000000}"/>
    <cellStyle name="Cabeçalho 1 2 10" xfId="181" xr:uid="{00000000-0005-0000-0000-0000D7000000}"/>
    <cellStyle name="Cabeçalho 1 2 11" xfId="182" xr:uid="{00000000-0005-0000-0000-0000D8000000}"/>
    <cellStyle name="Cabeçalho 1 2 2" xfId="183" xr:uid="{00000000-0005-0000-0000-0000D9000000}"/>
    <cellStyle name="Cabeçalho 1 2 3" xfId="184" xr:uid="{00000000-0005-0000-0000-0000DA000000}"/>
    <cellStyle name="Cabeçalho 1 2 4" xfId="185" xr:uid="{00000000-0005-0000-0000-0000DB000000}"/>
    <cellStyle name="Cabeçalho 1 2 5" xfId="186" xr:uid="{00000000-0005-0000-0000-0000DC000000}"/>
    <cellStyle name="Cabeçalho 1 2 6" xfId="187" xr:uid="{00000000-0005-0000-0000-0000DD000000}"/>
    <cellStyle name="Cabeçalho 1 2 7" xfId="188" xr:uid="{00000000-0005-0000-0000-0000DE000000}"/>
    <cellStyle name="Cabeçalho 1 2 8" xfId="189" xr:uid="{00000000-0005-0000-0000-0000DF000000}"/>
    <cellStyle name="Cabeçalho 1 2 9" xfId="190" xr:uid="{00000000-0005-0000-0000-0000E0000000}"/>
    <cellStyle name="Cabeçalho 1 2_DGO" xfId="1554" xr:uid="{00000000-0005-0000-0000-0000E1000000}"/>
    <cellStyle name="Cabeçalho 1 3" xfId="191" xr:uid="{00000000-0005-0000-0000-0000E2000000}"/>
    <cellStyle name="Cabeçalho 1 4" xfId="192" xr:uid="{00000000-0005-0000-0000-0000E3000000}"/>
    <cellStyle name="Cabeçalho 1 5" xfId="193" xr:uid="{00000000-0005-0000-0000-0000E4000000}"/>
    <cellStyle name="Cabeçalho 1 5 2" xfId="1555" xr:uid="{00000000-0005-0000-0000-0000E5000000}"/>
    <cellStyle name="Cabeçalho 1 6" xfId="194" xr:uid="{00000000-0005-0000-0000-0000E6000000}"/>
    <cellStyle name="Cabeçalho 1 6 2" xfId="1556" xr:uid="{00000000-0005-0000-0000-0000E7000000}"/>
    <cellStyle name="Cabeçalho 1 7" xfId="195" xr:uid="{00000000-0005-0000-0000-0000E8000000}"/>
    <cellStyle name="Cabeçalho 1 7 2" xfId="1557" xr:uid="{00000000-0005-0000-0000-0000E9000000}"/>
    <cellStyle name="Cabeçalho 1 8" xfId="196" xr:uid="{00000000-0005-0000-0000-0000EA000000}"/>
    <cellStyle name="Cabeçalho 1 8 2" xfId="1558" xr:uid="{00000000-0005-0000-0000-0000EB000000}"/>
    <cellStyle name="Cabeçalho 1 9" xfId="197" xr:uid="{00000000-0005-0000-0000-0000EC000000}"/>
    <cellStyle name="Cabeçalho 1 9 2" xfId="1559" xr:uid="{00000000-0005-0000-0000-0000ED000000}"/>
    <cellStyle name="CABECALHO 2" xfId="935" xr:uid="{00000000-0005-0000-0000-0000EE000000}"/>
    <cellStyle name="Cabeçalho 2 10" xfId="198" xr:uid="{00000000-0005-0000-0000-0000EF000000}"/>
    <cellStyle name="Cabeçalho 2 10 2" xfId="1560" xr:uid="{00000000-0005-0000-0000-0000F0000000}"/>
    <cellStyle name="Cabeçalho 2 11" xfId="199" xr:uid="{00000000-0005-0000-0000-0000F1000000}"/>
    <cellStyle name="Cabeçalho 2 11 2" xfId="1561" xr:uid="{00000000-0005-0000-0000-0000F2000000}"/>
    <cellStyle name="Cabeçalho 2 12" xfId="1562" xr:uid="{00000000-0005-0000-0000-0000F3000000}"/>
    <cellStyle name="CABECALHO 2 2" xfId="1069" xr:uid="{00000000-0005-0000-0000-0000F4000000}"/>
    <cellStyle name="Cabeçalho 2 2" xfId="200" xr:uid="{00000000-0005-0000-0000-0000F5000000}"/>
    <cellStyle name="Cabeçalho 2 2 10" xfId="201" xr:uid="{00000000-0005-0000-0000-0000F6000000}"/>
    <cellStyle name="Cabeçalho 2 2 11" xfId="202" xr:uid="{00000000-0005-0000-0000-0000F7000000}"/>
    <cellStyle name="CABECALHO 2 2 2" xfId="1563" xr:uid="{00000000-0005-0000-0000-0000F8000000}"/>
    <cellStyle name="Cabeçalho 2 2 2" xfId="203" xr:uid="{00000000-0005-0000-0000-0000F9000000}"/>
    <cellStyle name="CABECALHO 2 2 2 2" xfId="2234" xr:uid="{00000000-0005-0000-0000-0000FA000000}"/>
    <cellStyle name="CABECALHO 2 2 3" xfId="1911" xr:uid="{00000000-0005-0000-0000-0000FB000000}"/>
    <cellStyle name="Cabeçalho 2 2 3" xfId="204" xr:uid="{00000000-0005-0000-0000-0000FC000000}"/>
    <cellStyle name="CABECALHO 2 2 3 2" xfId="2242" xr:uid="{00000000-0005-0000-0000-0000FD000000}"/>
    <cellStyle name="CABECALHO 2 2 4" xfId="1084" xr:uid="{00000000-0005-0000-0000-0000FE000000}"/>
    <cellStyle name="Cabeçalho 2 2 4" xfId="205" xr:uid="{00000000-0005-0000-0000-0000FF000000}"/>
    <cellStyle name="CABECALHO 2 2 5" xfId="1362" xr:uid="{00000000-0005-0000-0000-000000010000}"/>
    <cellStyle name="Cabeçalho 2 2 5" xfId="206" xr:uid="{00000000-0005-0000-0000-000001010000}"/>
    <cellStyle name="Cabeçalho 2 2 6" xfId="207" xr:uid="{00000000-0005-0000-0000-000002010000}"/>
    <cellStyle name="Cabeçalho 2 2 7" xfId="208" xr:uid="{00000000-0005-0000-0000-000003010000}"/>
    <cellStyle name="Cabeçalho 2 2 8" xfId="209" xr:uid="{00000000-0005-0000-0000-000004010000}"/>
    <cellStyle name="Cabeçalho 2 2 9" xfId="210" xr:uid="{00000000-0005-0000-0000-000005010000}"/>
    <cellStyle name="Cabeçalho 2 2_DGO" xfId="1564" xr:uid="{00000000-0005-0000-0000-000006010000}"/>
    <cellStyle name="CABECALHO 2 3" xfId="1565" xr:uid="{00000000-0005-0000-0000-000007010000}"/>
    <cellStyle name="Cabeçalho 2 3" xfId="211" xr:uid="{00000000-0005-0000-0000-000008010000}"/>
    <cellStyle name="CABECALHO 2 3 2" xfId="2235" xr:uid="{00000000-0005-0000-0000-000009010000}"/>
    <cellStyle name="CABECALHO 2 4" xfId="1912" xr:uid="{00000000-0005-0000-0000-00000A010000}"/>
    <cellStyle name="Cabeçalho 2 4" xfId="212" xr:uid="{00000000-0005-0000-0000-00000B010000}"/>
    <cellStyle name="CABECALHO 2 4 2" xfId="2243" xr:uid="{00000000-0005-0000-0000-00000C010000}"/>
    <cellStyle name="Cabeçalho 2 5" xfId="213" xr:uid="{00000000-0005-0000-0000-00000D010000}"/>
    <cellStyle name="Cabeçalho 2 5 2" xfId="1566" xr:uid="{00000000-0005-0000-0000-00000E010000}"/>
    <cellStyle name="Cabeçalho 2 6" xfId="214" xr:uid="{00000000-0005-0000-0000-00000F010000}"/>
    <cellStyle name="Cabeçalho 2 6 2" xfId="1567" xr:uid="{00000000-0005-0000-0000-000010010000}"/>
    <cellStyle name="Cabeçalho 2 7" xfId="215" xr:uid="{00000000-0005-0000-0000-000011010000}"/>
    <cellStyle name="Cabeçalho 2 7 2" xfId="1568" xr:uid="{00000000-0005-0000-0000-000012010000}"/>
    <cellStyle name="Cabeçalho 2 8" xfId="216" xr:uid="{00000000-0005-0000-0000-000013010000}"/>
    <cellStyle name="Cabeçalho 2 8 2" xfId="1569" xr:uid="{00000000-0005-0000-0000-000014010000}"/>
    <cellStyle name="Cabeçalho 2 9" xfId="217" xr:uid="{00000000-0005-0000-0000-000015010000}"/>
    <cellStyle name="Cabeçalho 2 9 2" xfId="1570" xr:uid="{00000000-0005-0000-0000-000016010000}"/>
    <cellStyle name="CABECALHO 3" xfId="936" xr:uid="{00000000-0005-0000-0000-000017010000}"/>
    <cellStyle name="Cabeçalho 3 10" xfId="218" xr:uid="{00000000-0005-0000-0000-000018010000}"/>
    <cellStyle name="Cabeçalho 3 10 2" xfId="1571" xr:uid="{00000000-0005-0000-0000-000019010000}"/>
    <cellStyle name="Cabeçalho 3 11" xfId="219" xr:uid="{00000000-0005-0000-0000-00001A010000}"/>
    <cellStyle name="Cabeçalho 3 11 2" xfId="1572" xr:uid="{00000000-0005-0000-0000-00001B010000}"/>
    <cellStyle name="Cabeçalho 3 12" xfId="1573" xr:uid="{00000000-0005-0000-0000-00001C010000}"/>
    <cellStyle name="CABECALHO 3 2" xfId="1070" xr:uid="{00000000-0005-0000-0000-00001D010000}"/>
    <cellStyle name="Cabeçalho 3 2" xfId="220" xr:uid="{00000000-0005-0000-0000-00001E010000}"/>
    <cellStyle name="Cabeçalho 3 2 10" xfId="221" xr:uid="{00000000-0005-0000-0000-00001F010000}"/>
    <cellStyle name="Cabeçalho 3 2 11" xfId="222" xr:uid="{00000000-0005-0000-0000-000020010000}"/>
    <cellStyle name="CABECALHO 3 2 2" xfId="1574" xr:uid="{00000000-0005-0000-0000-000021010000}"/>
    <cellStyle name="Cabeçalho 3 2 2" xfId="223" xr:uid="{00000000-0005-0000-0000-000022010000}"/>
    <cellStyle name="CABECALHO 3 2 2 2" xfId="2236" xr:uid="{00000000-0005-0000-0000-000023010000}"/>
    <cellStyle name="CABECALHO 3 2 3" xfId="1913" xr:uid="{00000000-0005-0000-0000-000024010000}"/>
    <cellStyle name="Cabeçalho 3 2 3" xfId="224" xr:uid="{00000000-0005-0000-0000-000025010000}"/>
    <cellStyle name="CABECALHO 3 2 3 2" xfId="2244" xr:uid="{00000000-0005-0000-0000-000026010000}"/>
    <cellStyle name="CABECALHO 3 2 4" xfId="1085" xr:uid="{00000000-0005-0000-0000-000027010000}"/>
    <cellStyle name="Cabeçalho 3 2 4" xfId="225" xr:uid="{00000000-0005-0000-0000-000028010000}"/>
    <cellStyle name="CABECALHO 3 2 5" xfId="1352" xr:uid="{00000000-0005-0000-0000-000029010000}"/>
    <cellStyle name="Cabeçalho 3 2 5" xfId="226" xr:uid="{00000000-0005-0000-0000-00002A010000}"/>
    <cellStyle name="Cabeçalho 3 2 6" xfId="227" xr:uid="{00000000-0005-0000-0000-00002B010000}"/>
    <cellStyle name="Cabeçalho 3 2 7" xfId="228" xr:uid="{00000000-0005-0000-0000-00002C010000}"/>
    <cellStyle name="Cabeçalho 3 2 8" xfId="229" xr:uid="{00000000-0005-0000-0000-00002D010000}"/>
    <cellStyle name="Cabeçalho 3 2 9" xfId="230" xr:uid="{00000000-0005-0000-0000-00002E010000}"/>
    <cellStyle name="Cabeçalho 3 2_DGO" xfId="1575" xr:uid="{00000000-0005-0000-0000-00002F010000}"/>
    <cellStyle name="CABECALHO 3 3" xfId="1576" xr:uid="{00000000-0005-0000-0000-000030010000}"/>
    <cellStyle name="Cabeçalho 3 3" xfId="231" xr:uid="{00000000-0005-0000-0000-000031010000}"/>
    <cellStyle name="CABECALHO 3 3 2" xfId="2237" xr:uid="{00000000-0005-0000-0000-000032010000}"/>
    <cellStyle name="CABECALHO 3 4" xfId="1914" xr:uid="{00000000-0005-0000-0000-000033010000}"/>
    <cellStyle name="Cabeçalho 3 4" xfId="232" xr:uid="{00000000-0005-0000-0000-000034010000}"/>
    <cellStyle name="CABECALHO 3 4 2" xfId="2245" xr:uid="{00000000-0005-0000-0000-000035010000}"/>
    <cellStyle name="Cabeçalho 3 5" xfId="233" xr:uid="{00000000-0005-0000-0000-000036010000}"/>
    <cellStyle name="Cabeçalho 3 5 2" xfId="1577" xr:uid="{00000000-0005-0000-0000-000037010000}"/>
    <cellStyle name="Cabeçalho 3 6" xfId="234" xr:uid="{00000000-0005-0000-0000-000038010000}"/>
    <cellStyle name="Cabeçalho 3 6 2" xfId="1578" xr:uid="{00000000-0005-0000-0000-000039010000}"/>
    <cellStyle name="Cabeçalho 3 7" xfId="235" xr:uid="{00000000-0005-0000-0000-00003A010000}"/>
    <cellStyle name="Cabeçalho 3 7 2" xfId="1579" xr:uid="{00000000-0005-0000-0000-00003B010000}"/>
    <cellStyle name="Cabeçalho 3 8" xfId="236" xr:uid="{00000000-0005-0000-0000-00003C010000}"/>
    <cellStyle name="Cabeçalho 3 8 2" xfId="1580" xr:uid="{00000000-0005-0000-0000-00003D010000}"/>
    <cellStyle name="Cabeçalho 3 9" xfId="237" xr:uid="{00000000-0005-0000-0000-00003E010000}"/>
    <cellStyle name="Cabeçalho 3 9 2" xfId="1581" xr:uid="{00000000-0005-0000-0000-00003F010000}"/>
    <cellStyle name="CABECALHO 4" xfId="937" xr:uid="{00000000-0005-0000-0000-000040010000}"/>
    <cellStyle name="Cabeçalho 4 10" xfId="238" xr:uid="{00000000-0005-0000-0000-000041010000}"/>
    <cellStyle name="Cabeçalho 4 10 2" xfId="1582" xr:uid="{00000000-0005-0000-0000-000042010000}"/>
    <cellStyle name="Cabeçalho 4 11" xfId="239" xr:uid="{00000000-0005-0000-0000-000043010000}"/>
    <cellStyle name="Cabeçalho 4 11 2" xfId="1583" xr:uid="{00000000-0005-0000-0000-000044010000}"/>
    <cellStyle name="Cabeçalho 4 12" xfId="1584" xr:uid="{00000000-0005-0000-0000-000045010000}"/>
    <cellStyle name="CABECALHO 4 2" xfId="1071" xr:uid="{00000000-0005-0000-0000-000046010000}"/>
    <cellStyle name="Cabeçalho 4 2" xfId="240" xr:uid="{00000000-0005-0000-0000-000047010000}"/>
    <cellStyle name="Cabeçalho 4 2 10" xfId="241" xr:uid="{00000000-0005-0000-0000-000048010000}"/>
    <cellStyle name="Cabeçalho 4 2 11" xfId="242" xr:uid="{00000000-0005-0000-0000-000049010000}"/>
    <cellStyle name="CABECALHO 4 2 2" xfId="1585" xr:uid="{00000000-0005-0000-0000-00004A010000}"/>
    <cellStyle name="Cabeçalho 4 2 2" xfId="243" xr:uid="{00000000-0005-0000-0000-00004B010000}"/>
    <cellStyle name="CABECALHO 4 2 2 2" xfId="2238" xr:uid="{00000000-0005-0000-0000-00004C010000}"/>
    <cellStyle name="CABECALHO 4 2 3" xfId="1915" xr:uid="{00000000-0005-0000-0000-00004D010000}"/>
    <cellStyle name="Cabeçalho 4 2 3" xfId="244" xr:uid="{00000000-0005-0000-0000-00004E010000}"/>
    <cellStyle name="CABECALHO 4 2 3 2" xfId="2246" xr:uid="{00000000-0005-0000-0000-00004F010000}"/>
    <cellStyle name="CABECALHO 4 2 4" xfId="1086" xr:uid="{00000000-0005-0000-0000-000050010000}"/>
    <cellStyle name="Cabeçalho 4 2 4" xfId="245" xr:uid="{00000000-0005-0000-0000-000051010000}"/>
    <cellStyle name="CABECALHO 4 2 5" xfId="1335" xr:uid="{00000000-0005-0000-0000-000052010000}"/>
    <cellStyle name="Cabeçalho 4 2 5" xfId="246" xr:uid="{00000000-0005-0000-0000-000053010000}"/>
    <cellStyle name="Cabeçalho 4 2 6" xfId="247" xr:uid="{00000000-0005-0000-0000-000054010000}"/>
    <cellStyle name="Cabeçalho 4 2 7" xfId="248" xr:uid="{00000000-0005-0000-0000-000055010000}"/>
    <cellStyle name="Cabeçalho 4 2 8" xfId="249" xr:uid="{00000000-0005-0000-0000-000056010000}"/>
    <cellStyle name="Cabeçalho 4 2 9" xfId="250" xr:uid="{00000000-0005-0000-0000-000057010000}"/>
    <cellStyle name="Cabeçalho 4 2_DGO" xfId="1586" xr:uid="{00000000-0005-0000-0000-000058010000}"/>
    <cellStyle name="CABECALHO 4 3" xfId="1587" xr:uid="{00000000-0005-0000-0000-000059010000}"/>
    <cellStyle name="Cabeçalho 4 3" xfId="251" xr:uid="{00000000-0005-0000-0000-00005A010000}"/>
    <cellStyle name="CABECALHO 4 3 2" xfId="2239" xr:uid="{00000000-0005-0000-0000-00005B010000}"/>
    <cellStyle name="CABECALHO 4 4" xfId="1916" xr:uid="{00000000-0005-0000-0000-00005C010000}"/>
    <cellStyle name="Cabeçalho 4 4" xfId="252" xr:uid="{00000000-0005-0000-0000-00005D010000}"/>
    <cellStyle name="CABECALHO 4 4 2" xfId="2247" xr:uid="{00000000-0005-0000-0000-00005E010000}"/>
    <cellStyle name="Cabeçalho 4 5" xfId="253" xr:uid="{00000000-0005-0000-0000-00005F010000}"/>
    <cellStyle name="Cabeçalho 4 5 2" xfId="1588" xr:uid="{00000000-0005-0000-0000-000060010000}"/>
    <cellStyle name="Cabeçalho 4 6" xfId="254" xr:uid="{00000000-0005-0000-0000-000061010000}"/>
    <cellStyle name="Cabeçalho 4 6 2" xfId="1589" xr:uid="{00000000-0005-0000-0000-000062010000}"/>
    <cellStyle name="Cabeçalho 4 7" xfId="255" xr:uid="{00000000-0005-0000-0000-000063010000}"/>
    <cellStyle name="Cabeçalho 4 7 2" xfId="1590" xr:uid="{00000000-0005-0000-0000-000064010000}"/>
    <cellStyle name="Cabeçalho 4 8" xfId="256" xr:uid="{00000000-0005-0000-0000-000065010000}"/>
    <cellStyle name="Cabeçalho 4 8 2" xfId="1591" xr:uid="{00000000-0005-0000-0000-000066010000}"/>
    <cellStyle name="Cabeçalho 4 9" xfId="257" xr:uid="{00000000-0005-0000-0000-000067010000}"/>
    <cellStyle name="Cabeçalho 4 9 2" xfId="1592" xr:uid="{00000000-0005-0000-0000-000068010000}"/>
    <cellStyle name="CABECALHO 5" xfId="1072" xr:uid="{00000000-0005-0000-0000-000069010000}"/>
    <cellStyle name="CABECALHO 5 2" xfId="1593" xr:uid="{00000000-0005-0000-0000-00006A010000}"/>
    <cellStyle name="CABECALHO 5 2 2" xfId="2240" xr:uid="{00000000-0005-0000-0000-00006B010000}"/>
    <cellStyle name="CABECALHO 5 3" xfId="1087" xr:uid="{00000000-0005-0000-0000-00006C010000}"/>
    <cellStyle name="CABECALHO 6" xfId="1594" xr:uid="{00000000-0005-0000-0000-00006D010000}"/>
    <cellStyle name="CABECALHO 6 2" xfId="2241" xr:uid="{00000000-0005-0000-0000-00006E010000}"/>
    <cellStyle name="CABECALHO 7" xfId="1917" xr:uid="{00000000-0005-0000-0000-00006F010000}"/>
    <cellStyle name="CABECALHO 7 2" xfId="2248" xr:uid="{00000000-0005-0000-0000-000070010000}"/>
    <cellStyle name="CABECALHO_3.ind_pobreza" xfId="1595" xr:uid="{00000000-0005-0000-0000-000071010000}"/>
    <cellStyle name="cal" xfId="258" xr:uid="{00000000-0005-0000-0000-000072010000}"/>
    <cellStyle name="cal 2" xfId="1596" xr:uid="{00000000-0005-0000-0000-000073010000}"/>
    <cellStyle name="Calc" xfId="259" xr:uid="{00000000-0005-0000-0000-000074010000}"/>
    <cellStyle name="Calc - Blue" xfId="260" xr:uid="{00000000-0005-0000-0000-000075010000}"/>
    <cellStyle name="Calc - Blue 2" xfId="1918" xr:uid="{00000000-0005-0000-0000-000076010000}"/>
    <cellStyle name="Calc - Green" xfId="261" xr:uid="{00000000-0005-0000-0000-000077010000}"/>
    <cellStyle name="Calc - Green 2" xfId="1919" xr:uid="{00000000-0005-0000-0000-000078010000}"/>
    <cellStyle name="Calc - Grey" xfId="262" xr:uid="{00000000-0005-0000-0000-000079010000}"/>
    <cellStyle name="Calc - Grey 2" xfId="1920" xr:uid="{00000000-0005-0000-0000-00007A010000}"/>
    <cellStyle name="Calc - White" xfId="263" xr:uid="{00000000-0005-0000-0000-00007B010000}"/>
    <cellStyle name="Calc - White 2" xfId="1921" xr:uid="{00000000-0005-0000-0000-00007C010000}"/>
    <cellStyle name="Calc 2" xfId="1922" xr:uid="{00000000-0005-0000-0000-00007D010000}"/>
    <cellStyle name="Calc Currency (0)" xfId="1597" xr:uid="{00000000-0005-0000-0000-00007E010000}"/>
    <cellStyle name="Calc Currency (2)" xfId="1598" xr:uid="{00000000-0005-0000-0000-00007F010000}"/>
    <cellStyle name="Calc Percent (0)" xfId="1599" xr:uid="{00000000-0005-0000-0000-000080010000}"/>
    <cellStyle name="Calc Percent (1)" xfId="1600" xr:uid="{00000000-0005-0000-0000-000081010000}"/>
    <cellStyle name="Calc Percent (2)" xfId="1601" xr:uid="{00000000-0005-0000-0000-000082010000}"/>
    <cellStyle name="Calc Units (0)" xfId="1602" xr:uid="{00000000-0005-0000-0000-000083010000}"/>
    <cellStyle name="Calc Units (1)" xfId="1603" xr:uid="{00000000-0005-0000-0000-000084010000}"/>
    <cellStyle name="Calc Units (2)" xfId="1604" xr:uid="{00000000-0005-0000-0000-000085010000}"/>
    <cellStyle name="Calculation" xfId="264" xr:uid="{00000000-0005-0000-0000-000086010000}"/>
    <cellStyle name="Calculation 2" xfId="265" xr:uid="{00000000-0005-0000-0000-000087010000}"/>
    <cellStyle name="Calculation 2 2" xfId="1088" xr:uid="{00000000-0005-0000-0000-000088010000}"/>
    <cellStyle name="Calculation 2 3" xfId="1089" xr:uid="{00000000-0005-0000-0000-000089010000}"/>
    <cellStyle name="Calculation 3" xfId="938" xr:uid="{00000000-0005-0000-0000-00008A010000}"/>
    <cellStyle name="Calculation 4" xfId="939" xr:uid="{00000000-0005-0000-0000-00008B010000}"/>
    <cellStyle name="Calculation 5" xfId="1090" xr:uid="{00000000-0005-0000-0000-00008C010000}"/>
    <cellStyle name="Calculation 6" xfId="1091" xr:uid="{00000000-0005-0000-0000-00008D010000}"/>
    <cellStyle name="Calculation_efeito da reposicao de subsidios em 2013 (2)" xfId="1605" xr:uid="{00000000-0005-0000-0000-00008E010000}"/>
    <cellStyle name="Cálculo 2" xfId="266" xr:uid="{00000000-0005-0000-0000-00008F010000}"/>
    <cellStyle name="Cálculo 2 2" xfId="941" xr:uid="{00000000-0005-0000-0000-000090010000}"/>
    <cellStyle name="Cálculo 2 3" xfId="942" xr:uid="{00000000-0005-0000-0000-000091010000}"/>
    <cellStyle name="Cálculo 2 4" xfId="943" xr:uid="{00000000-0005-0000-0000-000092010000}"/>
    <cellStyle name="Cálculo 2 5" xfId="940" xr:uid="{00000000-0005-0000-0000-000093010000}"/>
    <cellStyle name="Cálculo 2 6" xfId="1092" xr:uid="{00000000-0005-0000-0000-000094010000}"/>
    <cellStyle name="Cálculo 3" xfId="267" xr:uid="{00000000-0005-0000-0000-000095010000}"/>
    <cellStyle name="Cálculo 4" xfId="268" xr:uid="{00000000-0005-0000-0000-000096010000}"/>
    <cellStyle name="Célula de Verificação" xfId="1606" xr:uid="{00000000-0005-0000-0000-000097010000}"/>
    <cellStyle name="Célula Ligada 10" xfId="269" xr:uid="{00000000-0005-0000-0000-000098010000}"/>
    <cellStyle name="Célula Ligada 10 2" xfId="1607" xr:uid="{00000000-0005-0000-0000-000099010000}"/>
    <cellStyle name="Célula Ligada 11" xfId="270" xr:uid="{00000000-0005-0000-0000-00009A010000}"/>
    <cellStyle name="Célula Ligada 11 2" xfId="1608" xr:uid="{00000000-0005-0000-0000-00009B010000}"/>
    <cellStyle name="Célula Ligada 2" xfId="271" xr:uid="{00000000-0005-0000-0000-00009C010000}"/>
    <cellStyle name="Célula Ligada 2 10" xfId="272" xr:uid="{00000000-0005-0000-0000-00009D010000}"/>
    <cellStyle name="Célula Ligada 2 11" xfId="273" xr:uid="{00000000-0005-0000-0000-00009E010000}"/>
    <cellStyle name="Célula Ligada 2 2" xfId="274" xr:uid="{00000000-0005-0000-0000-00009F010000}"/>
    <cellStyle name="Célula Ligada 2 3" xfId="275" xr:uid="{00000000-0005-0000-0000-0000A0010000}"/>
    <cellStyle name="Célula Ligada 2 4" xfId="276" xr:uid="{00000000-0005-0000-0000-0000A1010000}"/>
    <cellStyle name="Célula Ligada 2 5" xfId="277" xr:uid="{00000000-0005-0000-0000-0000A2010000}"/>
    <cellStyle name="Célula Ligada 2 6" xfId="278" xr:uid="{00000000-0005-0000-0000-0000A3010000}"/>
    <cellStyle name="Célula Ligada 2 7" xfId="279" xr:uid="{00000000-0005-0000-0000-0000A4010000}"/>
    <cellStyle name="Célula Ligada 2 8" xfId="280" xr:uid="{00000000-0005-0000-0000-0000A5010000}"/>
    <cellStyle name="Célula Ligada 2 9" xfId="281" xr:uid="{00000000-0005-0000-0000-0000A6010000}"/>
    <cellStyle name="Célula Ligada 2_DGO" xfId="1609" xr:uid="{00000000-0005-0000-0000-0000A7010000}"/>
    <cellStyle name="Célula Ligada 3" xfId="282" xr:uid="{00000000-0005-0000-0000-0000A8010000}"/>
    <cellStyle name="Célula Ligada 4" xfId="283" xr:uid="{00000000-0005-0000-0000-0000A9010000}"/>
    <cellStyle name="Célula Ligada 5" xfId="284" xr:uid="{00000000-0005-0000-0000-0000AA010000}"/>
    <cellStyle name="Célula Ligada 5 2" xfId="1610" xr:uid="{00000000-0005-0000-0000-0000AB010000}"/>
    <cellStyle name="Célula Ligada 6" xfId="285" xr:uid="{00000000-0005-0000-0000-0000AC010000}"/>
    <cellStyle name="Célula Ligada 6 2" xfId="1611" xr:uid="{00000000-0005-0000-0000-0000AD010000}"/>
    <cellStyle name="Célula Ligada 7" xfId="286" xr:uid="{00000000-0005-0000-0000-0000AE010000}"/>
    <cellStyle name="Célula Ligada 7 2" xfId="1612" xr:uid="{00000000-0005-0000-0000-0000AF010000}"/>
    <cellStyle name="Célula Ligada 8" xfId="287" xr:uid="{00000000-0005-0000-0000-0000B0010000}"/>
    <cellStyle name="Célula Ligada 8 2" xfId="1613" xr:uid="{00000000-0005-0000-0000-0000B1010000}"/>
    <cellStyle name="Célula Ligada 9" xfId="288" xr:uid="{00000000-0005-0000-0000-0000B2010000}"/>
    <cellStyle name="Célula Ligada 9 2" xfId="1614" xr:uid="{00000000-0005-0000-0000-0000B3010000}"/>
    <cellStyle name="Célula Vinculada" xfId="1615" xr:uid="{00000000-0005-0000-0000-0000B4010000}"/>
    <cellStyle name="Check Cell" xfId="289" xr:uid="{00000000-0005-0000-0000-0000B5010000}"/>
    <cellStyle name="COMMA" xfId="290" xr:uid="{00000000-0005-0000-0000-0000B6010000}"/>
    <cellStyle name="Comma  - Style1" xfId="1616" xr:uid="{00000000-0005-0000-0000-0000B7010000}"/>
    <cellStyle name="Comma  - Style2" xfId="1617" xr:uid="{00000000-0005-0000-0000-0000B8010000}"/>
    <cellStyle name="Comma  - Style3" xfId="1618" xr:uid="{00000000-0005-0000-0000-0000B9010000}"/>
    <cellStyle name="Comma  - Style4" xfId="1619" xr:uid="{00000000-0005-0000-0000-0000BA010000}"/>
    <cellStyle name="Comma  - Style5" xfId="1620" xr:uid="{00000000-0005-0000-0000-0000BB010000}"/>
    <cellStyle name="Comma  - Style6" xfId="1621" xr:uid="{00000000-0005-0000-0000-0000BC010000}"/>
    <cellStyle name="Comma  - Style7" xfId="1622" xr:uid="{00000000-0005-0000-0000-0000BD010000}"/>
    <cellStyle name="Comma  - Style8" xfId="1623" xr:uid="{00000000-0005-0000-0000-0000BE010000}"/>
    <cellStyle name="Comma [0] 2" xfId="291" xr:uid="{00000000-0005-0000-0000-0000BF010000}"/>
    <cellStyle name="Comma [0] 2 2" xfId="292" xr:uid="{00000000-0005-0000-0000-0000C0010000}"/>
    <cellStyle name="Comma [0] 2 2 2" xfId="293" xr:uid="{00000000-0005-0000-0000-0000C1010000}"/>
    <cellStyle name="Comma [0] 2 2 2 10" xfId="294" xr:uid="{00000000-0005-0000-0000-0000C2010000}"/>
    <cellStyle name="Comma [0] 2 2 2 10 2" xfId="1923" xr:uid="{00000000-0005-0000-0000-0000C3010000}"/>
    <cellStyle name="Comma [0] 2 2 2 11" xfId="295" xr:uid="{00000000-0005-0000-0000-0000C4010000}"/>
    <cellStyle name="Comma [0] 2 2 2 11 2" xfId="1924" xr:uid="{00000000-0005-0000-0000-0000C5010000}"/>
    <cellStyle name="Comma [0] 2 2 2 12" xfId="296" xr:uid="{00000000-0005-0000-0000-0000C6010000}"/>
    <cellStyle name="Comma [0] 2 2 2 12 2" xfId="1925" xr:uid="{00000000-0005-0000-0000-0000C7010000}"/>
    <cellStyle name="Comma [0] 2 2 2 12 3" xfId="1093" xr:uid="{00000000-0005-0000-0000-0000C8010000}"/>
    <cellStyle name="Comma [0] 2 2 2 13" xfId="297" xr:uid="{00000000-0005-0000-0000-0000C9010000}"/>
    <cellStyle name="Comma [0] 2 2 2 13 2" xfId="1926" xr:uid="{00000000-0005-0000-0000-0000CA010000}"/>
    <cellStyle name="Comma [0] 2 2 2 13 3" xfId="1094" xr:uid="{00000000-0005-0000-0000-0000CB010000}"/>
    <cellStyle name="Comma [0] 2 2 2 14" xfId="298" xr:uid="{00000000-0005-0000-0000-0000CC010000}"/>
    <cellStyle name="Comma [0] 2 2 2 14 2" xfId="1927" xr:uid="{00000000-0005-0000-0000-0000CD010000}"/>
    <cellStyle name="Comma [0] 2 2 2 14 3" xfId="1095" xr:uid="{00000000-0005-0000-0000-0000CE010000}"/>
    <cellStyle name="Comma [0] 2 2 2 15" xfId="1928" xr:uid="{00000000-0005-0000-0000-0000CF010000}"/>
    <cellStyle name="Comma [0] 2 2 2 2" xfId="299" xr:uid="{00000000-0005-0000-0000-0000D0010000}"/>
    <cellStyle name="Comma [0] 2 2 2 2 2" xfId="1929" xr:uid="{00000000-0005-0000-0000-0000D1010000}"/>
    <cellStyle name="Comma [0] 2 2 2 3" xfId="300" xr:uid="{00000000-0005-0000-0000-0000D2010000}"/>
    <cellStyle name="Comma [0] 2 2 2 3 2" xfId="1930" xr:uid="{00000000-0005-0000-0000-0000D3010000}"/>
    <cellStyle name="Comma [0] 2 2 2 4" xfId="301" xr:uid="{00000000-0005-0000-0000-0000D4010000}"/>
    <cellStyle name="Comma [0] 2 2 2 4 2" xfId="1931" xr:uid="{00000000-0005-0000-0000-0000D5010000}"/>
    <cellStyle name="Comma [0] 2 2 2 5" xfId="302" xr:uid="{00000000-0005-0000-0000-0000D6010000}"/>
    <cellStyle name="Comma [0] 2 2 2 5 2" xfId="1932" xr:uid="{00000000-0005-0000-0000-0000D7010000}"/>
    <cellStyle name="Comma [0] 2 2 2 6" xfId="303" xr:uid="{00000000-0005-0000-0000-0000D8010000}"/>
    <cellStyle name="Comma [0] 2 2 2 6 2" xfId="1933" xr:uid="{00000000-0005-0000-0000-0000D9010000}"/>
    <cellStyle name="Comma [0] 2 2 2 7" xfId="304" xr:uid="{00000000-0005-0000-0000-0000DA010000}"/>
    <cellStyle name="Comma [0] 2 2 2 7 2" xfId="1934" xr:uid="{00000000-0005-0000-0000-0000DB010000}"/>
    <cellStyle name="Comma [0] 2 2 2 8" xfId="305" xr:uid="{00000000-0005-0000-0000-0000DC010000}"/>
    <cellStyle name="Comma [0] 2 2 2 8 2" xfId="1935" xr:uid="{00000000-0005-0000-0000-0000DD010000}"/>
    <cellStyle name="Comma [0] 2 2 2 9" xfId="306" xr:uid="{00000000-0005-0000-0000-0000DE010000}"/>
    <cellStyle name="Comma [0] 2 2 2 9 2" xfId="1936" xr:uid="{00000000-0005-0000-0000-0000DF010000}"/>
    <cellStyle name="Comma [0] 2 2 3" xfId="307" xr:uid="{00000000-0005-0000-0000-0000E0010000}"/>
    <cellStyle name="Comma [0] 2 2 3 10" xfId="308" xr:uid="{00000000-0005-0000-0000-0000E1010000}"/>
    <cellStyle name="Comma [0] 2 2 3 10 2" xfId="1937" xr:uid="{00000000-0005-0000-0000-0000E2010000}"/>
    <cellStyle name="Comma [0] 2 2 3 11" xfId="1938" xr:uid="{00000000-0005-0000-0000-0000E3010000}"/>
    <cellStyle name="Comma [0] 2 2 3 2" xfId="309" xr:uid="{00000000-0005-0000-0000-0000E4010000}"/>
    <cellStyle name="Comma [0] 2 2 3 2 2" xfId="310" xr:uid="{00000000-0005-0000-0000-0000E5010000}"/>
    <cellStyle name="Comma [0] 2 2 3 2 2 2" xfId="1939" xr:uid="{00000000-0005-0000-0000-0000E6010000}"/>
    <cellStyle name="Comma [0] 2 2 3 2 3" xfId="1940" xr:uid="{00000000-0005-0000-0000-0000E7010000}"/>
    <cellStyle name="Comma [0] 2 2 3 3" xfId="311" xr:uid="{00000000-0005-0000-0000-0000E8010000}"/>
    <cellStyle name="Comma [0] 2 2 3 3 2" xfId="1941" xr:uid="{00000000-0005-0000-0000-0000E9010000}"/>
    <cellStyle name="Comma [0] 2 2 3 4" xfId="312" xr:uid="{00000000-0005-0000-0000-0000EA010000}"/>
    <cellStyle name="Comma [0] 2 2 3 4 2" xfId="1942" xr:uid="{00000000-0005-0000-0000-0000EB010000}"/>
    <cellStyle name="Comma [0] 2 2 3 5" xfId="313" xr:uid="{00000000-0005-0000-0000-0000EC010000}"/>
    <cellStyle name="Comma [0] 2 2 3 5 2" xfId="1943" xr:uid="{00000000-0005-0000-0000-0000ED010000}"/>
    <cellStyle name="Comma [0] 2 2 3 6" xfId="314" xr:uid="{00000000-0005-0000-0000-0000EE010000}"/>
    <cellStyle name="Comma [0] 2 2 3 6 2" xfId="1944" xr:uid="{00000000-0005-0000-0000-0000EF010000}"/>
    <cellStyle name="Comma [0] 2 2 3 7" xfId="315" xr:uid="{00000000-0005-0000-0000-0000F0010000}"/>
    <cellStyle name="Comma [0] 2 2 3 7 2" xfId="1945" xr:uid="{00000000-0005-0000-0000-0000F1010000}"/>
    <cellStyle name="Comma [0] 2 2 3 8" xfId="316" xr:uid="{00000000-0005-0000-0000-0000F2010000}"/>
    <cellStyle name="Comma [0] 2 2 3 8 2" xfId="1946" xr:uid="{00000000-0005-0000-0000-0000F3010000}"/>
    <cellStyle name="Comma [0] 2 2 3 9" xfId="317" xr:uid="{00000000-0005-0000-0000-0000F4010000}"/>
    <cellStyle name="Comma [0] 2 2 3 9 2" xfId="1947" xr:uid="{00000000-0005-0000-0000-0000F5010000}"/>
    <cellStyle name="Comma [0] 2 2 4" xfId="1948" xr:uid="{00000000-0005-0000-0000-0000F6010000}"/>
    <cellStyle name="Comma [0] 2 3" xfId="1949" xr:uid="{00000000-0005-0000-0000-0000F7010000}"/>
    <cellStyle name="Comma [00]" xfId="1624" xr:uid="{00000000-0005-0000-0000-0000F8010000}"/>
    <cellStyle name="Comma [00] 2" xfId="1950" xr:uid="{00000000-0005-0000-0000-0000F9010000}"/>
    <cellStyle name="Comma 2" xfId="318" xr:uid="{00000000-0005-0000-0000-0000FA010000}"/>
    <cellStyle name="Comma 2 10" xfId="2274" xr:uid="{00000000-0005-0000-0000-0000FB010000}"/>
    <cellStyle name="Comma 2 11" xfId="2369" xr:uid="{00000000-0005-0000-0000-0000FC010000}"/>
    <cellStyle name="Comma 2 12" xfId="2404" xr:uid="{00000000-0005-0000-0000-0000FD010000}"/>
    <cellStyle name="Comma 2 13" xfId="2439" xr:uid="{00000000-0005-0000-0000-0000FE010000}"/>
    <cellStyle name="Comma 2 14" xfId="2474" xr:uid="{00000000-0005-0000-0000-0000FF010000}"/>
    <cellStyle name="Comma 2 15" xfId="2509" xr:uid="{00000000-0005-0000-0000-000000020000}"/>
    <cellStyle name="Comma 2 16" xfId="2543" xr:uid="{00000000-0005-0000-0000-000001020000}"/>
    <cellStyle name="Comma 2 17" xfId="2578" xr:uid="{00000000-0005-0000-0000-000002020000}"/>
    <cellStyle name="Comma 2 18" xfId="2614" xr:uid="{00000000-0005-0000-0000-000003020000}"/>
    <cellStyle name="Comma 2 19" xfId="2649" xr:uid="{00000000-0005-0000-0000-000019010000}"/>
    <cellStyle name="Comma 2 2" xfId="319" xr:uid="{00000000-0005-0000-0000-000004020000}"/>
    <cellStyle name="Comma 2 2 2" xfId="1098" xr:uid="{00000000-0005-0000-0000-000005020000}"/>
    <cellStyle name="Comma 2 2 3" xfId="1099" xr:uid="{00000000-0005-0000-0000-000006020000}"/>
    <cellStyle name="Comma 2 2 4" xfId="1625" xr:uid="{00000000-0005-0000-0000-000007020000}"/>
    <cellStyle name="Comma 2 2 5" xfId="1097" xr:uid="{00000000-0005-0000-0000-000008020000}"/>
    <cellStyle name="Comma 2 20" xfId="2684" xr:uid="{00000000-0005-0000-0000-000019010000}"/>
    <cellStyle name="Comma 2 21" xfId="2719" xr:uid="{00000000-0005-0000-0000-000019010000}"/>
    <cellStyle name="Comma 2 22" xfId="2752" xr:uid="{00000000-0005-0000-0000-000019010000}"/>
    <cellStyle name="Comma 2 23" xfId="2787" xr:uid="{00000000-0005-0000-0000-000019010000}"/>
    <cellStyle name="Comma 2 3" xfId="320" xr:uid="{00000000-0005-0000-0000-000009020000}"/>
    <cellStyle name="Comma 2 3 2" xfId="1101" xr:uid="{00000000-0005-0000-0000-00000A020000}"/>
    <cellStyle name="Comma 2 3 3" xfId="1102" xr:uid="{00000000-0005-0000-0000-00000B020000}"/>
    <cellStyle name="Comma 2 3 4" xfId="1626" xr:uid="{00000000-0005-0000-0000-00000C020000}"/>
    <cellStyle name="Comma 2 3 5" xfId="1100" xr:uid="{00000000-0005-0000-0000-00000D020000}"/>
    <cellStyle name="Comma 2 4" xfId="321" xr:uid="{00000000-0005-0000-0000-00000E020000}"/>
    <cellStyle name="Comma 2 4 2" xfId="1104" xr:uid="{00000000-0005-0000-0000-00000F020000}"/>
    <cellStyle name="Comma 2 4 3" xfId="1105" xr:uid="{00000000-0005-0000-0000-000010020000}"/>
    <cellStyle name="Comma 2 4 4" xfId="1627" xr:uid="{00000000-0005-0000-0000-000011020000}"/>
    <cellStyle name="Comma 2 4 5" xfId="1103" xr:uid="{00000000-0005-0000-0000-000012020000}"/>
    <cellStyle name="Comma 2 5" xfId="322" xr:uid="{00000000-0005-0000-0000-000013020000}"/>
    <cellStyle name="Comma 2 5 2" xfId="1107" xr:uid="{00000000-0005-0000-0000-000014020000}"/>
    <cellStyle name="Comma 2 5 3" xfId="1108" xr:uid="{00000000-0005-0000-0000-000015020000}"/>
    <cellStyle name="Comma 2 5 4" xfId="1628" xr:uid="{00000000-0005-0000-0000-000016020000}"/>
    <cellStyle name="Comma 2 5 5" xfId="1106" xr:uid="{00000000-0005-0000-0000-000017020000}"/>
    <cellStyle name="Comma 2 6" xfId="323" xr:uid="{00000000-0005-0000-0000-000018020000}"/>
    <cellStyle name="Comma 2 6 2" xfId="1110" xr:uid="{00000000-0005-0000-0000-000019020000}"/>
    <cellStyle name="Comma 2 6 3" xfId="1111" xr:uid="{00000000-0005-0000-0000-00001A020000}"/>
    <cellStyle name="Comma 2 6 4" xfId="1629" xr:uid="{00000000-0005-0000-0000-00001B020000}"/>
    <cellStyle name="Comma 2 6 5" xfId="1109" xr:uid="{00000000-0005-0000-0000-00001C020000}"/>
    <cellStyle name="Comma 2 7" xfId="324" xr:uid="{00000000-0005-0000-0000-00001D020000}"/>
    <cellStyle name="Comma 2 7 2" xfId="325" xr:uid="{00000000-0005-0000-0000-00001E020000}"/>
    <cellStyle name="Comma 2 7 2 10" xfId="2579" xr:uid="{00000000-0005-0000-0000-00001F020000}"/>
    <cellStyle name="Comma 2 7 2 11" xfId="2615" xr:uid="{00000000-0005-0000-0000-000020020000}"/>
    <cellStyle name="Comma 2 7 2 12" xfId="2650" xr:uid="{00000000-0005-0000-0000-000020010000}"/>
    <cellStyle name="Comma 2 7 2 13" xfId="2685" xr:uid="{00000000-0005-0000-0000-000020010000}"/>
    <cellStyle name="Comma 2 7 2 14" xfId="2720" xr:uid="{00000000-0005-0000-0000-000020010000}"/>
    <cellStyle name="Comma 2 7 2 15" xfId="2753" xr:uid="{00000000-0005-0000-0000-000020010000}"/>
    <cellStyle name="Comma 2 7 2 16" xfId="2788" xr:uid="{00000000-0005-0000-0000-000020010000}"/>
    <cellStyle name="Comma 2 7 2 2" xfId="1113" xr:uid="{00000000-0005-0000-0000-000021020000}"/>
    <cellStyle name="Comma 2 7 2 3" xfId="2275" xr:uid="{00000000-0005-0000-0000-000022020000}"/>
    <cellStyle name="Comma 2 7 2 4" xfId="2370" xr:uid="{00000000-0005-0000-0000-000023020000}"/>
    <cellStyle name="Comma 2 7 2 5" xfId="2405" xr:uid="{00000000-0005-0000-0000-000024020000}"/>
    <cellStyle name="Comma 2 7 2 6" xfId="2440" xr:uid="{00000000-0005-0000-0000-000025020000}"/>
    <cellStyle name="Comma 2 7 2 7" xfId="2475" xr:uid="{00000000-0005-0000-0000-000026020000}"/>
    <cellStyle name="Comma 2 7 2 8" xfId="2510" xr:uid="{00000000-0005-0000-0000-000027020000}"/>
    <cellStyle name="Comma 2 7 2 9" xfId="2544" xr:uid="{00000000-0005-0000-0000-000028020000}"/>
    <cellStyle name="Comma 2 7 3" xfId="326" xr:uid="{00000000-0005-0000-0000-000029020000}"/>
    <cellStyle name="Comma 2 7 3 10" xfId="2580" xr:uid="{00000000-0005-0000-0000-00002A020000}"/>
    <cellStyle name="Comma 2 7 3 11" xfId="2616" xr:uid="{00000000-0005-0000-0000-00002B020000}"/>
    <cellStyle name="Comma 2 7 3 12" xfId="2651" xr:uid="{00000000-0005-0000-0000-000021010000}"/>
    <cellStyle name="Comma 2 7 3 13" xfId="2686" xr:uid="{00000000-0005-0000-0000-000021010000}"/>
    <cellStyle name="Comma 2 7 3 14" xfId="2721" xr:uid="{00000000-0005-0000-0000-000021010000}"/>
    <cellStyle name="Comma 2 7 3 15" xfId="2754" xr:uid="{00000000-0005-0000-0000-000021010000}"/>
    <cellStyle name="Comma 2 7 3 16" xfId="2789" xr:uid="{00000000-0005-0000-0000-000021010000}"/>
    <cellStyle name="Comma 2 7 3 2" xfId="1114" xr:uid="{00000000-0005-0000-0000-00002C020000}"/>
    <cellStyle name="Comma 2 7 3 3" xfId="2276" xr:uid="{00000000-0005-0000-0000-00002D020000}"/>
    <cellStyle name="Comma 2 7 3 4" xfId="2371" xr:uid="{00000000-0005-0000-0000-00002E020000}"/>
    <cellStyle name="Comma 2 7 3 5" xfId="2406" xr:uid="{00000000-0005-0000-0000-00002F020000}"/>
    <cellStyle name="Comma 2 7 3 6" xfId="2441" xr:uid="{00000000-0005-0000-0000-000030020000}"/>
    <cellStyle name="Comma 2 7 3 7" xfId="2476" xr:uid="{00000000-0005-0000-0000-000031020000}"/>
    <cellStyle name="Comma 2 7 3 8" xfId="2511" xr:uid="{00000000-0005-0000-0000-000032020000}"/>
    <cellStyle name="Comma 2 7 3 9" xfId="2545" xr:uid="{00000000-0005-0000-0000-000033020000}"/>
    <cellStyle name="Comma 2 7 4" xfId="327" xr:uid="{00000000-0005-0000-0000-000034020000}"/>
    <cellStyle name="Comma 2 7 4 10" xfId="2581" xr:uid="{00000000-0005-0000-0000-000035020000}"/>
    <cellStyle name="Comma 2 7 4 11" xfId="2617" xr:uid="{00000000-0005-0000-0000-000036020000}"/>
    <cellStyle name="Comma 2 7 4 12" xfId="2652" xr:uid="{00000000-0005-0000-0000-000022010000}"/>
    <cellStyle name="Comma 2 7 4 13" xfId="2687" xr:uid="{00000000-0005-0000-0000-000022010000}"/>
    <cellStyle name="Comma 2 7 4 14" xfId="2722" xr:uid="{00000000-0005-0000-0000-000022010000}"/>
    <cellStyle name="Comma 2 7 4 15" xfId="2755" xr:uid="{00000000-0005-0000-0000-000022010000}"/>
    <cellStyle name="Comma 2 7 4 16" xfId="2790" xr:uid="{00000000-0005-0000-0000-000022010000}"/>
    <cellStyle name="Comma 2 7 4 2" xfId="1115" xr:uid="{00000000-0005-0000-0000-000037020000}"/>
    <cellStyle name="Comma 2 7 4 3" xfId="2277" xr:uid="{00000000-0005-0000-0000-000038020000}"/>
    <cellStyle name="Comma 2 7 4 4" xfId="2372" xr:uid="{00000000-0005-0000-0000-000039020000}"/>
    <cellStyle name="Comma 2 7 4 5" xfId="2407" xr:uid="{00000000-0005-0000-0000-00003A020000}"/>
    <cellStyle name="Comma 2 7 4 6" xfId="2442" xr:uid="{00000000-0005-0000-0000-00003B020000}"/>
    <cellStyle name="Comma 2 7 4 7" xfId="2477" xr:uid="{00000000-0005-0000-0000-00003C020000}"/>
    <cellStyle name="Comma 2 7 4 8" xfId="2512" xr:uid="{00000000-0005-0000-0000-00003D020000}"/>
    <cellStyle name="Comma 2 7 4 9" xfId="2546" xr:uid="{00000000-0005-0000-0000-00003E020000}"/>
    <cellStyle name="Comma 2 7 5" xfId="1116" xr:uid="{00000000-0005-0000-0000-00003F020000}"/>
    <cellStyle name="Comma 2 7 6" xfId="1117" xr:uid="{00000000-0005-0000-0000-000040020000}"/>
    <cellStyle name="Comma 2 7 7" xfId="1630" xr:uid="{00000000-0005-0000-0000-000041020000}"/>
    <cellStyle name="Comma 2 7 8" xfId="1112" xr:uid="{00000000-0005-0000-0000-000042020000}"/>
    <cellStyle name="Comma 2 8" xfId="328" xr:uid="{00000000-0005-0000-0000-000043020000}"/>
    <cellStyle name="Comma 2 8 2" xfId="1119" xr:uid="{00000000-0005-0000-0000-000044020000}"/>
    <cellStyle name="Comma 2 8 3" xfId="1120" xr:uid="{00000000-0005-0000-0000-000045020000}"/>
    <cellStyle name="Comma 2 8 4" xfId="1631" xr:uid="{00000000-0005-0000-0000-000046020000}"/>
    <cellStyle name="Comma 2 8 5" xfId="1118" xr:uid="{00000000-0005-0000-0000-000047020000}"/>
    <cellStyle name="Comma 2 9" xfId="1096" xr:uid="{00000000-0005-0000-0000-000048020000}"/>
    <cellStyle name="Comma 3" xfId="329" xr:uid="{00000000-0005-0000-0000-000049020000}"/>
    <cellStyle name="Comma 3 10" xfId="2513" xr:uid="{00000000-0005-0000-0000-00004A020000}"/>
    <cellStyle name="Comma 3 11" xfId="2547" xr:uid="{00000000-0005-0000-0000-00004B020000}"/>
    <cellStyle name="Comma 3 12" xfId="2582" xr:uid="{00000000-0005-0000-0000-00004C020000}"/>
    <cellStyle name="Comma 3 13" xfId="2618" xr:uid="{00000000-0005-0000-0000-00004D020000}"/>
    <cellStyle name="Comma 3 14" xfId="2653" xr:uid="{00000000-0005-0000-0000-000024010000}"/>
    <cellStyle name="Comma 3 15" xfId="2688" xr:uid="{00000000-0005-0000-0000-000024010000}"/>
    <cellStyle name="Comma 3 16" xfId="2723" xr:uid="{00000000-0005-0000-0000-000024010000}"/>
    <cellStyle name="Comma 3 17" xfId="2756" xr:uid="{00000000-0005-0000-0000-000024010000}"/>
    <cellStyle name="Comma 3 18" xfId="2791" xr:uid="{00000000-0005-0000-0000-000024010000}"/>
    <cellStyle name="Comma 3 2" xfId="330" xr:uid="{00000000-0005-0000-0000-00004E020000}"/>
    <cellStyle name="Comma 3 2 2" xfId="1951" xr:uid="{00000000-0005-0000-0000-00004F020000}"/>
    <cellStyle name="Comma 3 3" xfId="1952" xr:uid="{00000000-0005-0000-0000-000050020000}"/>
    <cellStyle name="Comma 3 4" xfId="1121" xr:uid="{00000000-0005-0000-0000-000051020000}"/>
    <cellStyle name="Comma 3 5" xfId="2278" xr:uid="{00000000-0005-0000-0000-000052020000}"/>
    <cellStyle name="Comma 3 6" xfId="2373" xr:uid="{00000000-0005-0000-0000-000053020000}"/>
    <cellStyle name="Comma 3 7" xfId="2408" xr:uid="{00000000-0005-0000-0000-000054020000}"/>
    <cellStyle name="Comma 3 8" xfId="2443" xr:uid="{00000000-0005-0000-0000-000055020000}"/>
    <cellStyle name="Comma 3 9" xfId="2478" xr:uid="{00000000-0005-0000-0000-000056020000}"/>
    <cellStyle name="Comma 8" xfId="331" xr:uid="{00000000-0005-0000-0000-000057020000}"/>
    <cellStyle name="Comma 8 10" xfId="2479" xr:uid="{00000000-0005-0000-0000-000058020000}"/>
    <cellStyle name="Comma 8 11" xfId="2514" xr:uid="{00000000-0005-0000-0000-000059020000}"/>
    <cellStyle name="Comma 8 12" xfId="2548" xr:uid="{00000000-0005-0000-0000-00005A020000}"/>
    <cellStyle name="Comma 8 13" xfId="2583" xr:uid="{00000000-0005-0000-0000-00005B020000}"/>
    <cellStyle name="Comma 8 14" xfId="2619" xr:uid="{00000000-0005-0000-0000-00005C020000}"/>
    <cellStyle name="Comma 8 15" xfId="2654" xr:uid="{00000000-0005-0000-0000-000026010000}"/>
    <cellStyle name="Comma 8 16" xfId="2689" xr:uid="{00000000-0005-0000-0000-000026010000}"/>
    <cellStyle name="Comma 8 17" xfId="2724" xr:uid="{00000000-0005-0000-0000-000026010000}"/>
    <cellStyle name="Comma 8 18" xfId="2757" xr:uid="{00000000-0005-0000-0000-000026010000}"/>
    <cellStyle name="Comma 8 19" xfId="2792" xr:uid="{00000000-0005-0000-0000-000026010000}"/>
    <cellStyle name="Comma 8 2" xfId="332" xr:uid="{00000000-0005-0000-0000-00005D020000}"/>
    <cellStyle name="Comma 8 2 10" xfId="2584" xr:uid="{00000000-0005-0000-0000-00005E020000}"/>
    <cellStyle name="Comma 8 2 11" xfId="2620" xr:uid="{00000000-0005-0000-0000-00005F020000}"/>
    <cellStyle name="Comma 8 2 12" xfId="2655" xr:uid="{00000000-0005-0000-0000-000027010000}"/>
    <cellStyle name="Comma 8 2 13" xfId="2690" xr:uid="{00000000-0005-0000-0000-000027010000}"/>
    <cellStyle name="Comma 8 2 14" xfId="2725" xr:uid="{00000000-0005-0000-0000-000027010000}"/>
    <cellStyle name="Comma 8 2 15" xfId="2758" xr:uid="{00000000-0005-0000-0000-000027010000}"/>
    <cellStyle name="Comma 8 2 16" xfId="2793" xr:uid="{00000000-0005-0000-0000-000027010000}"/>
    <cellStyle name="Comma 8 2 2" xfId="1123" xr:uid="{00000000-0005-0000-0000-000060020000}"/>
    <cellStyle name="Comma 8 2 3" xfId="2280" xr:uid="{00000000-0005-0000-0000-000061020000}"/>
    <cellStyle name="Comma 8 2 4" xfId="2375" xr:uid="{00000000-0005-0000-0000-000062020000}"/>
    <cellStyle name="Comma 8 2 5" xfId="2410" xr:uid="{00000000-0005-0000-0000-000063020000}"/>
    <cellStyle name="Comma 8 2 6" xfId="2445" xr:uid="{00000000-0005-0000-0000-000064020000}"/>
    <cellStyle name="Comma 8 2 7" xfId="2480" xr:uid="{00000000-0005-0000-0000-000065020000}"/>
    <cellStyle name="Comma 8 2 8" xfId="2515" xr:uid="{00000000-0005-0000-0000-000066020000}"/>
    <cellStyle name="Comma 8 2 9" xfId="2549" xr:uid="{00000000-0005-0000-0000-000067020000}"/>
    <cellStyle name="Comma 8 3" xfId="333" xr:uid="{00000000-0005-0000-0000-000068020000}"/>
    <cellStyle name="Comma 8 3 10" xfId="2585" xr:uid="{00000000-0005-0000-0000-000069020000}"/>
    <cellStyle name="Comma 8 3 11" xfId="2621" xr:uid="{00000000-0005-0000-0000-00006A020000}"/>
    <cellStyle name="Comma 8 3 12" xfId="2656" xr:uid="{00000000-0005-0000-0000-000028010000}"/>
    <cellStyle name="Comma 8 3 13" xfId="2691" xr:uid="{00000000-0005-0000-0000-000028010000}"/>
    <cellStyle name="Comma 8 3 14" xfId="2726" xr:uid="{00000000-0005-0000-0000-000028010000}"/>
    <cellStyle name="Comma 8 3 15" xfId="2759" xr:uid="{00000000-0005-0000-0000-000028010000}"/>
    <cellStyle name="Comma 8 3 16" xfId="2794" xr:uid="{00000000-0005-0000-0000-000028010000}"/>
    <cellStyle name="Comma 8 3 2" xfId="1124" xr:uid="{00000000-0005-0000-0000-00006B020000}"/>
    <cellStyle name="Comma 8 3 3" xfId="2281" xr:uid="{00000000-0005-0000-0000-00006C020000}"/>
    <cellStyle name="Comma 8 3 4" xfId="2376" xr:uid="{00000000-0005-0000-0000-00006D020000}"/>
    <cellStyle name="Comma 8 3 5" xfId="2411" xr:uid="{00000000-0005-0000-0000-00006E020000}"/>
    <cellStyle name="Comma 8 3 6" xfId="2446" xr:uid="{00000000-0005-0000-0000-00006F020000}"/>
    <cellStyle name="Comma 8 3 7" xfId="2481" xr:uid="{00000000-0005-0000-0000-000070020000}"/>
    <cellStyle name="Comma 8 3 8" xfId="2516" xr:uid="{00000000-0005-0000-0000-000071020000}"/>
    <cellStyle name="Comma 8 3 9" xfId="2550" xr:uid="{00000000-0005-0000-0000-000072020000}"/>
    <cellStyle name="Comma 8 4" xfId="334" xr:uid="{00000000-0005-0000-0000-000073020000}"/>
    <cellStyle name="Comma 8 4 10" xfId="2586" xr:uid="{00000000-0005-0000-0000-000074020000}"/>
    <cellStyle name="Comma 8 4 11" xfId="2622" xr:uid="{00000000-0005-0000-0000-000075020000}"/>
    <cellStyle name="Comma 8 4 12" xfId="2657" xr:uid="{00000000-0005-0000-0000-000029010000}"/>
    <cellStyle name="Comma 8 4 13" xfId="2692" xr:uid="{00000000-0005-0000-0000-000029010000}"/>
    <cellStyle name="Comma 8 4 14" xfId="2727" xr:uid="{00000000-0005-0000-0000-000029010000}"/>
    <cellStyle name="Comma 8 4 15" xfId="2760" xr:uid="{00000000-0005-0000-0000-000029010000}"/>
    <cellStyle name="Comma 8 4 16" xfId="2795" xr:uid="{00000000-0005-0000-0000-000029010000}"/>
    <cellStyle name="Comma 8 4 2" xfId="1125" xr:uid="{00000000-0005-0000-0000-000076020000}"/>
    <cellStyle name="Comma 8 4 3" xfId="2282" xr:uid="{00000000-0005-0000-0000-000077020000}"/>
    <cellStyle name="Comma 8 4 4" xfId="2377" xr:uid="{00000000-0005-0000-0000-000078020000}"/>
    <cellStyle name="Comma 8 4 5" xfId="2412" xr:uid="{00000000-0005-0000-0000-000079020000}"/>
    <cellStyle name="Comma 8 4 6" xfId="2447" xr:uid="{00000000-0005-0000-0000-00007A020000}"/>
    <cellStyle name="Comma 8 4 7" xfId="2482" xr:uid="{00000000-0005-0000-0000-00007B020000}"/>
    <cellStyle name="Comma 8 4 8" xfId="2517" xr:uid="{00000000-0005-0000-0000-00007C020000}"/>
    <cellStyle name="Comma 8 4 9" xfId="2551" xr:uid="{00000000-0005-0000-0000-00007D020000}"/>
    <cellStyle name="Comma 8 5" xfId="1122" xr:uid="{00000000-0005-0000-0000-00007E020000}"/>
    <cellStyle name="Comma 8 6" xfId="2279" xr:uid="{00000000-0005-0000-0000-00007F020000}"/>
    <cellStyle name="Comma 8 7" xfId="2374" xr:uid="{00000000-0005-0000-0000-000080020000}"/>
    <cellStyle name="Comma 8 8" xfId="2409" xr:uid="{00000000-0005-0000-0000-000081020000}"/>
    <cellStyle name="Comma 8 9" xfId="2444" xr:uid="{00000000-0005-0000-0000-000082020000}"/>
    <cellStyle name="COMMA_Serviço por económica 2014_20131212" xfId="1632" xr:uid="{00000000-0005-0000-0000-000083020000}"/>
    <cellStyle name="Comma0" xfId="335" xr:uid="{00000000-0005-0000-0000-000084020000}"/>
    <cellStyle name="Comma0 2" xfId="1953" xr:uid="{00000000-0005-0000-0000-000085020000}"/>
    <cellStyle name="Cor1 2" xfId="336" xr:uid="{00000000-0005-0000-0000-000086020000}"/>
    <cellStyle name="Cor1 3" xfId="337" xr:uid="{00000000-0005-0000-0000-000087020000}"/>
    <cellStyle name="Cor1 4" xfId="338" xr:uid="{00000000-0005-0000-0000-000088020000}"/>
    <cellStyle name="Cor2 2" xfId="339" xr:uid="{00000000-0005-0000-0000-000089020000}"/>
    <cellStyle name="Cor2 3" xfId="340" xr:uid="{00000000-0005-0000-0000-00008A020000}"/>
    <cellStyle name="Cor2 4" xfId="341" xr:uid="{00000000-0005-0000-0000-00008B020000}"/>
    <cellStyle name="Cor3 2" xfId="342" xr:uid="{00000000-0005-0000-0000-00008C020000}"/>
    <cellStyle name="Cor3 3" xfId="343" xr:uid="{00000000-0005-0000-0000-00008D020000}"/>
    <cellStyle name="Cor3 4" xfId="344" xr:uid="{00000000-0005-0000-0000-00008E020000}"/>
    <cellStyle name="Cor4 2" xfId="345" xr:uid="{00000000-0005-0000-0000-00008F020000}"/>
    <cellStyle name="Cor4 3" xfId="346" xr:uid="{00000000-0005-0000-0000-000090020000}"/>
    <cellStyle name="Cor4 4" xfId="347" xr:uid="{00000000-0005-0000-0000-000091020000}"/>
    <cellStyle name="Cor5 2" xfId="348" xr:uid="{00000000-0005-0000-0000-000092020000}"/>
    <cellStyle name="Cor5 3" xfId="349" xr:uid="{00000000-0005-0000-0000-000093020000}"/>
    <cellStyle name="Cor5 4" xfId="350" xr:uid="{00000000-0005-0000-0000-000094020000}"/>
    <cellStyle name="Cor6 2" xfId="351" xr:uid="{00000000-0005-0000-0000-000095020000}"/>
    <cellStyle name="Cor6 3" xfId="352" xr:uid="{00000000-0005-0000-0000-000096020000}"/>
    <cellStyle name="Cor6 4" xfId="353" xr:uid="{00000000-0005-0000-0000-000097020000}"/>
    <cellStyle name="Correcto 10" xfId="354" xr:uid="{00000000-0005-0000-0000-000098020000}"/>
    <cellStyle name="Correcto 10 2" xfId="1633" xr:uid="{00000000-0005-0000-0000-000099020000}"/>
    <cellStyle name="Correcto 11" xfId="355" xr:uid="{00000000-0005-0000-0000-00009A020000}"/>
    <cellStyle name="Correcto 11 2" xfId="1634" xr:uid="{00000000-0005-0000-0000-00009B020000}"/>
    <cellStyle name="Correcto 2" xfId="356" xr:uid="{00000000-0005-0000-0000-00009C020000}"/>
    <cellStyle name="Correcto 2 10" xfId="357" xr:uid="{00000000-0005-0000-0000-00009D020000}"/>
    <cellStyle name="Correcto 2 11" xfId="358" xr:uid="{00000000-0005-0000-0000-00009E020000}"/>
    <cellStyle name="Correcto 2 12" xfId="944" xr:uid="{00000000-0005-0000-0000-00009F020000}"/>
    <cellStyle name="Correcto 2 2" xfId="359" xr:uid="{00000000-0005-0000-0000-0000A0020000}"/>
    <cellStyle name="Correcto 2 3" xfId="360" xr:uid="{00000000-0005-0000-0000-0000A1020000}"/>
    <cellStyle name="Correcto 2 4" xfId="361" xr:uid="{00000000-0005-0000-0000-0000A2020000}"/>
    <cellStyle name="Correcto 2 5" xfId="362" xr:uid="{00000000-0005-0000-0000-0000A3020000}"/>
    <cellStyle name="Correcto 2 6" xfId="363" xr:uid="{00000000-0005-0000-0000-0000A4020000}"/>
    <cellStyle name="Correcto 2 7" xfId="364" xr:uid="{00000000-0005-0000-0000-0000A5020000}"/>
    <cellStyle name="Correcto 2 8" xfId="365" xr:uid="{00000000-0005-0000-0000-0000A6020000}"/>
    <cellStyle name="Correcto 2 9" xfId="366" xr:uid="{00000000-0005-0000-0000-0000A7020000}"/>
    <cellStyle name="Correcto 2_DGO" xfId="1635" xr:uid="{00000000-0005-0000-0000-0000A8020000}"/>
    <cellStyle name="Correcto 3" xfId="367" xr:uid="{00000000-0005-0000-0000-0000A9020000}"/>
    <cellStyle name="Correcto 4" xfId="368" xr:uid="{00000000-0005-0000-0000-0000AA020000}"/>
    <cellStyle name="Correcto 5" xfId="369" xr:uid="{00000000-0005-0000-0000-0000AB020000}"/>
    <cellStyle name="Correcto 5 2" xfId="1636" xr:uid="{00000000-0005-0000-0000-0000AC020000}"/>
    <cellStyle name="Correcto 6" xfId="370" xr:uid="{00000000-0005-0000-0000-0000AD020000}"/>
    <cellStyle name="Correcto 6 2" xfId="1637" xr:uid="{00000000-0005-0000-0000-0000AE020000}"/>
    <cellStyle name="Correcto 7" xfId="371" xr:uid="{00000000-0005-0000-0000-0000AF020000}"/>
    <cellStyle name="Correcto 7 2" xfId="1638" xr:uid="{00000000-0005-0000-0000-0000B0020000}"/>
    <cellStyle name="Correcto 8" xfId="372" xr:uid="{00000000-0005-0000-0000-0000B1020000}"/>
    <cellStyle name="Correcto 8 2" xfId="1639" xr:uid="{00000000-0005-0000-0000-0000B2020000}"/>
    <cellStyle name="Correcto 9" xfId="373" xr:uid="{00000000-0005-0000-0000-0000B3020000}"/>
    <cellStyle name="Correcto 9 2" xfId="1640" xr:uid="{00000000-0005-0000-0000-0000B4020000}"/>
    <cellStyle name="Correto" xfId="2" builtinId="26"/>
    <cellStyle name="CURRENCY" xfId="374" xr:uid="{00000000-0005-0000-0000-0000B6020000}"/>
    <cellStyle name="Currency [00]" xfId="1641" xr:uid="{00000000-0005-0000-0000-0000B7020000}"/>
    <cellStyle name="Currency [00] 2" xfId="1954" xr:uid="{00000000-0005-0000-0000-0000B8020000}"/>
    <cellStyle name="Currency [2]" xfId="375" xr:uid="{00000000-0005-0000-0000-0000B9020000}"/>
    <cellStyle name="Currency [2] 2" xfId="1955" xr:uid="{00000000-0005-0000-0000-0000BA020000}"/>
    <cellStyle name="Currency 2" xfId="376" xr:uid="{00000000-0005-0000-0000-0000BB020000}"/>
    <cellStyle name="Currency 2 10" xfId="1126" xr:uid="{00000000-0005-0000-0000-0000BC020000}"/>
    <cellStyle name="Currency 2 11" xfId="1642" xr:uid="{00000000-0005-0000-0000-0000BD020000}"/>
    <cellStyle name="Currency 2 2" xfId="377" xr:uid="{00000000-0005-0000-0000-0000BE020000}"/>
    <cellStyle name="Currency 2 2 2" xfId="1127" xr:uid="{00000000-0005-0000-0000-0000BF020000}"/>
    <cellStyle name="Currency 2 2 3" xfId="1128" xr:uid="{00000000-0005-0000-0000-0000C0020000}"/>
    <cellStyle name="Currency 2 2 4" xfId="1643" xr:uid="{00000000-0005-0000-0000-0000C1020000}"/>
    <cellStyle name="Currency 2 3" xfId="378" xr:uid="{00000000-0005-0000-0000-0000C2020000}"/>
    <cellStyle name="Currency 2 3 2" xfId="1129" xr:uid="{00000000-0005-0000-0000-0000C3020000}"/>
    <cellStyle name="Currency 2 3 3" xfId="1130" xr:uid="{00000000-0005-0000-0000-0000C4020000}"/>
    <cellStyle name="Currency 2 3 4" xfId="1644" xr:uid="{00000000-0005-0000-0000-0000C5020000}"/>
    <cellStyle name="Currency 2 4" xfId="379" xr:uid="{00000000-0005-0000-0000-0000C6020000}"/>
    <cellStyle name="Currency 2 4 2" xfId="1131" xr:uid="{00000000-0005-0000-0000-0000C7020000}"/>
    <cellStyle name="Currency 2 4 3" xfId="1132" xr:uid="{00000000-0005-0000-0000-0000C8020000}"/>
    <cellStyle name="Currency 2 4 4" xfId="1645" xr:uid="{00000000-0005-0000-0000-0000C9020000}"/>
    <cellStyle name="Currency 2 5" xfId="380" xr:uid="{00000000-0005-0000-0000-0000CA020000}"/>
    <cellStyle name="Currency 2 5 2" xfId="1133" xr:uid="{00000000-0005-0000-0000-0000CB020000}"/>
    <cellStyle name="Currency 2 5 3" xfId="1134" xr:uid="{00000000-0005-0000-0000-0000CC020000}"/>
    <cellStyle name="Currency 2 5 4" xfId="1646" xr:uid="{00000000-0005-0000-0000-0000CD020000}"/>
    <cellStyle name="Currency 2 6" xfId="381" xr:uid="{00000000-0005-0000-0000-0000CE020000}"/>
    <cellStyle name="Currency 2 6 2" xfId="1135" xr:uid="{00000000-0005-0000-0000-0000CF020000}"/>
    <cellStyle name="Currency 2 6 3" xfId="1136" xr:uid="{00000000-0005-0000-0000-0000D0020000}"/>
    <cellStyle name="Currency 2 6 4" xfId="1647" xr:uid="{00000000-0005-0000-0000-0000D1020000}"/>
    <cellStyle name="Currency 2 7" xfId="382" xr:uid="{00000000-0005-0000-0000-0000D2020000}"/>
    <cellStyle name="Currency 2 7 2" xfId="1137" xr:uid="{00000000-0005-0000-0000-0000D3020000}"/>
    <cellStyle name="Currency 2 7 3" xfId="1138" xr:uid="{00000000-0005-0000-0000-0000D4020000}"/>
    <cellStyle name="Currency 2 7 4" xfId="1648" xr:uid="{00000000-0005-0000-0000-0000D5020000}"/>
    <cellStyle name="Currency 2 8" xfId="383" xr:uid="{00000000-0005-0000-0000-0000D6020000}"/>
    <cellStyle name="Currency 2 8 2" xfId="1139" xr:uid="{00000000-0005-0000-0000-0000D7020000}"/>
    <cellStyle name="Currency 2 8 3" xfId="1140" xr:uid="{00000000-0005-0000-0000-0000D8020000}"/>
    <cellStyle name="Currency 2 8 4" xfId="1649" xr:uid="{00000000-0005-0000-0000-0000D9020000}"/>
    <cellStyle name="Currency 2 9" xfId="1141" xr:uid="{00000000-0005-0000-0000-0000DA020000}"/>
    <cellStyle name="Currency0" xfId="384" xr:uid="{00000000-0005-0000-0000-0000DB020000}"/>
    <cellStyle name="Currency0 2" xfId="1956" xr:uid="{00000000-0005-0000-0000-0000DC020000}"/>
    <cellStyle name="DATE" xfId="385" xr:uid="{00000000-0005-0000-0000-0000DD020000}"/>
    <cellStyle name="Date [mmm-yy]" xfId="386" xr:uid="{00000000-0005-0000-0000-0000DE020000}"/>
    <cellStyle name="Date 2" xfId="945" xr:uid="{00000000-0005-0000-0000-0000DF020000}"/>
    <cellStyle name="Date Short" xfId="1650" xr:uid="{00000000-0005-0000-0000-0000E0020000}"/>
    <cellStyle name="Date_Copiar de Saldos" xfId="1957" xr:uid="{00000000-0005-0000-0000-0000E1020000}"/>
    <cellStyle name="dsf" xfId="387" xr:uid="{00000000-0005-0000-0000-0000E2020000}"/>
    <cellStyle name="dsf 2" xfId="1142" xr:uid="{00000000-0005-0000-0000-0000E3020000}"/>
    <cellStyle name="dsf 2 2" xfId="1202" xr:uid="{00000000-0005-0000-0000-0000E4020000}"/>
    <cellStyle name="dsf 3" xfId="1203" xr:uid="{00000000-0005-0000-0000-0000E5020000}"/>
    <cellStyle name="Emphasis 1" xfId="388" xr:uid="{00000000-0005-0000-0000-0000E6020000}"/>
    <cellStyle name="Emphasis 2" xfId="389" xr:uid="{00000000-0005-0000-0000-0000E7020000}"/>
    <cellStyle name="Emphasis 3" xfId="390" xr:uid="{00000000-0005-0000-0000-0000E8020000}"/>
    <cellStyle name="Ênfase1" xfId="1651" xr:uid="{00000000-0005-0000-0000-0000E9020000}"/>
    <cellStyle name="Ênfase2" xfId="1652" xr:uid="{00000000-0005-0000-0000-0000EA020000}"/>
    <cellStyle name="Ênfase3" xfId="1653" xr:uid="{00000000-0005-0000-0000-0000EB020000}"/>
    <cellStyle name="Ênfase4" xfId="1654" xr:uid="{00000000-0005-0000-0000-0000EC020000}"/>
    <cellStyle name="Ênfase5" xfId="1655" xr:uid="{00000000-0005-0000-0000-0000ED020000}"/>
    <cellStyle name="Ênfase6" xfId="1656" xr:uid="{00000000-0005-0000-0000-0000EE020000}"/>
    <cellStyle name="Enter Currency (0)" xfId="1657" xr:uid="{00000000-0005-0000-0000-0000EF020000}"/>
    <cellStyle name="Enter Currency (2)" xfId="1658" xr:uid="{00000000-0005-0000-0000-0000F0020000}"/>
    <cellStyle name="Enter Units (0)" xfId="1659" xr:uid="{00000000-0005-0000-0000-0000F1020000}"/>
    <cellStyle name="Enter Units (1)" xfId="1660" xr:uid="{00000000-0005-0000-0000-0000F2020000}"/>
    <cellStyle name="Enter Units (2)" xfId="1661" xr:uid="{00000000-0005-0000-0000-0000F3020000}"/>
    <cellStyle name="Entrada 10" xfId="391" xr:uid="{00000000-0005-0000-0000-0000F4020000}"/>
    <cellStyle name="Entrada 10 2" xfId="1662" xr:uid="{00000000-0005-0000-0000-0000F5020000}"/>
    <cellStyle name="Entrada 11" xfId="392" xr:uid="{00000000-0005-0000-0000-0000F6020000}"/>
    <cellStyle name="Entrada 11 2" xfId="1663" xr:uid="{00000000-0005-0000-0000-0000F7020000}"/>
    <cellStyle name="Entrada 2" xfId="393" xr:uid="{00000000-0005-0000-0000-0000F8020000}"/>
    <cellStyle name="Entrada 2 10" xfId="394" xr:uid="{00000000-0005-0000-0000-0000F9020000}"/>
    <cellStyle name="Entrada 2 11" xfId="395" xr:uid="{00000000-0005-0000-0000-0000FA020000}"/>
    <cellStyle name="Entrada 2 12" xfId="946" xr:uid="{00000000-0005-0000-0000-0000FB020000}"/>
    <cellStyle name="Entrada 2 13" xfId="1143" xr:uid="{00000000-0005-0000-0000-0000FC020000}"/>
    <cellStyle name="Entrada 2 2" xfId="396" xr:uid="{00000000-0005-0000-0000-0000FD020000}"/>
    <cellStyle name="Entrada 2 2 2" xfId="947" xr:uid="{00000000-0005-0000-0000-0000FE020000}"/>
    <cellStyle name="Entrada 2 3" xfId="397" xr:uid="{00000000-0005-0000-0000-0000FF020000}"/>
    <cellStyle name="Entrada 2 3 2" xfId="948" xr:uid="{00000000-0005-0000-0000-000000030000}"/>
    <cellStyle name="Entrada 2 4" xfId="398" xr:uid="{00000000-0005-0000-0000-000001030000}"/>
    <cellStyle name="Entrada 2 4 2" xfId="949" xr:uid="{00000000-0005-0000-0000-000002030000}"/>
    <cellStyle name="Entrada 2 5" xfId="399" xr:uid="{00000000-0005-0000-0000-000003030000}"/>
    <cellStyle name="Entrada 2 6" xfId="400" xr:uid="{00000000-0005-0000-0000-000004030000}"/>
    <cellStyle name="Entrada 2 7" xfId="401" xr:uid="{00000000-0005-0000-0000-000005030000}"/>
    <cellStyle name="Entrada 2 8" xfId="402" xr:uid="{00000000-0005-0000-0000-000006030000}"/>
    <cellStyle name="Entrada 2 9" xfId="403" xr:uid="{00000000-0005-0000-0000-000007030000}"/>
    <cellStyle name="Entrada 2_DGO" xfId="1664" xr:uid="{00000000-0005-0000-0000-000008030000}"/>
    <cellStyle name="Entrada 3" xfId="404" xr:uid="{00000000-0005-0000-0000-000009030000}"/>
    <cellStyle name="Entrada 4" xfId="405" xr:uid="{00000000-0005-0000-0000-00000A030000}"/>
    <cellStyle name="Entrada 5" xfId="406" xr:uid="{00000000-0005-0000-0000-00000B030000}"/>
    <cellStyle name="Entrada 5 2" xfId="1665" xr:uid="{00000000-0005-0000-0000-00000C030000}"/>
    <cellStyle name="Entrada 6" xfId="407" xr:uid="{00000000-0005-0000-0000-00000D030000}"/>
    <cellStyle name="Entrada 6 2" xfId="1666" xr:uid="{00000000-0005-0000-0000-00000E030000}"/>
    <cellStyle name="Entrada 7" xfId="408" xr:uid="{00000000-0005-0000-0000-00000F030000}"/>
    <cellStyle name="Entrada 7 2" xfId="1667" xr:uid="{00000000-0005-0000-0000-000010030000}"/>
    <cellStyle name="Entrada 8" xfId="409" xr:uid="{00000000-0005-0000-0000-000011030000}"/>
    <cellStyle name="Entrada 8 2" xfId="1668" xr:uid="{00000000-0005-0000-0000-000012030000}"/>
    <cellStyle name="Entrada 9" xfId="410" xr:uid="{00000000-0005-0000-0000-000013030000}"/>
    <cellStyle name="Entrada 9 2" xfId="1669" xr:uid="{00000000-0005-0000-0000-000014030000}"/>
    <cellStyle name="Estilo 1" xfId="411" xr:uid="{00000000-0005-0000-0000-000015030000}"/>
    <cellStyle name="Estilo 1 10" xfId="412" xr:uid="{00000000-0005-0000-0000-000016030000}"/>
    <cellStyle name="Estilo 1 10 2" xfId="1958" xr:uid="{00000000-0005-0000-0000-000017030000}"/>
    <cellStyle name="Estilo 1 11" xfId="413" xr:uid="{00000000-0005-0000-0000-000018030000}"/>
    <cellStyle name="Estilo 1 11 2" xfId="1959" xr:uid="{00000000-0005-0000-0000-000019030000}"/>
    <cellStyle name="Estilo 1 12" xfId="414" xr:uid="{00000000-0005-0000-0000-00001A030000}"/>
    <cellStyle name="Estilo 1 12 2" xfId="1960" xr:uid="{00000000-0005-0000-0000-00001B030000}"/>
    <cellStyle name="Estilo 1 13" xfId="950" xr:uid="{00000000-0005-0000-0000-00001C030000}"/>
    <cellStyle name="Estilo 1 13 2" xfId="1961" xr:uid="{00000000-0005-0000-0000-00001D030000}"/>
    <cellStyle name="Estilo 1 2" xfId="415" xr:uid="{00000000-0005-0000-0000-00001E030000}"/>
    <cellStyle name="Estilo 1 2 2" xfId="1962" xr:uid="{00000000-0005-0000-0000-00001F030000}"/>
    <cellStyle name="Estilo 1 3" xfId="416" xr:uid="{00000000-0005-0000-0000-000020030000}"/>
    <cellStyle name="Estilo 1 3 2" xfId="1963" xr:uid="{00000000-0005-0000-0000-000021030000}"/>
    <cellStyle name="Estilo 1 4" xfId="417" xr:uid="{00000000-0005-0000-0000-000022030000}"/>
    <cellStyle name="Estilo 1 4 2" xfId="1964" xr:uid="{00000000-0005-0000-0000-000023030000}"/>
    <cellStyle name="Estilo 1 5" xfId="418" xr:uid="{00000000-0005-0000-0000-000024030000}"/>
    <cellStyle name="Estilo 1 5 2" xfId="1965" xr:uid="{00000000-0005-0000-0000-000025030000}"/>
    <cellStyle name="Estilo 1 6" xfId="419" xr:uid="{00000000-0005-0000-0000-000026030000}"/>
    <cellStyle name="Estilo 1 6 2" xfId="1966" xr:uid="{00000000-0005-0000-0000-000027030000}"/>
    <cellStyle name="Estilo 1 7" xfId="420" xr:uid="{00000000-0005-0000-0000-000028030000}"/>
    <cellStyle name="Estilo 1 7 2" xfId="1967" xr:uid="{00000000-0005-0000-0000-000029030000}"/>
    <cellStyle name="Estilo 1 8" xfId="421" xr:uid="{00000000-0005-0000-0000-00002A030000}"/>
    <cellStyle name="Estilo 1 8 2" xfId="1968" xr:uid="{00000000-0005-0000-0000-00002B030000}"/>
    <cellStyle name="Estilo 1 9" xfId="422" xr:uid="{00000000-0005-0000-0000-00002C030000}"/>
    <cellStyle name="Estilo 1 9 2" xfId="1969" xr:uid="{00000000-0005-0000-0000-00002D030000}"/>
    <cellStyle name="Estilo 1_Livro1" xfId="1670" xr:uid="{00000000-0005-0000-0000-00002E030000}"/>
    <cellStyle name="Euro" xfId="423" xr:uid="{00000000-0005-0000-0000-00002F030000}"/>
    <cellStyle name="Euro 2" xfId="424" xr:uid="{00000000-0005-0000-0000-000030030000}"/>
    <cellStyle name="Euro 2 10" xfId="2324" xr:uid="{00000000-0005-0000-0000-000031030000}"/>
    <cellStyle name="Euro 2 11" xfId="2336" xr:uid="{00000000-0005-0000-0000-000032030000}"/>
    <cellStyle name="Euro 2 12" xfId="2347" xr:uid="{00000000-0005-0000-0000-000033030000}"/>
    <cellStyle name="Euro 2 13" xfId="2358" xr:uid="{00000000-0005-0000-0000-000034030000}"/>
    <cellStyle name="Euro 2 14" xfId="2378" xr:uid="{00000000-0005-0000-0000-000035030000}"/>
    <cellStyle name="Euro 2 15" xfId="2413" xr:uid="{00000000-0005-0000-0000-000036030000}"/>
    <cellStyle name="Euro 2 16" xfId="2448" xr:uid="{00000000-0005-0000-0000-000037030000}"/>
    <cellStyle name="Euro 2 17" xfId="2483" xr:uid="{00000000-0005-0000-0000-000038030000}"/>
    <cellStyle name="Euro 2 18" xfId="2518" xr:uid="{00000000-0005-0000-0000-000039030000}"/>
    <cellStyle name="Euro 2 19" xfId="2552" xr:uid="{00000000-0005-0000-0000-00003A030000}"/>
    <cellStyle name="Euro 2 2" xfId="425" xr:uid="{00000000-0005-0000-0000-00003B030000}"/>
    <cellStyle name="Euro 2 2 10" xfId="2359" xr:uid="{00000000-0005-0000-0000-00003C030000}"/>
    <cellStyle name="Euro 2 2 11" xfId="2379" xr:uid="{00000000-0005-0000-0000-00003D030000}"/>
    <cellStyle name="Euro 2 2 12" xfId="2414" xr:uid="{00000000-0005-0000-0000-00003E030000}"/>
    <cellStyle name="Euro 2 2 13" xfId="2449" xr:uid="{00000000-0005-0000-0000-00003F030000}"/>
    <cellStyle name="Euro 2 2 14" xfId="2484" xr:uid="{00000000-0005-0000-0000-000040030000}"/>
    <cellStyle name="Euro 2 2 15" xfId="2519" xr:uid="{00000000-0005-0000-0000-000041030000}"/>
    <cellStyle name="Euro 2 2 16" xfId="2553" xr:uid="{00000000-0005-0000-0000-000042030000}"/>
    <cellStyle name="Euro 2 2 17" xfId="2588" xr:uid="{00000000-0005-0000-0000-000043030000}"/>
    <cellStyle name="Euro 2 2 18" xfId="2624" xr:uid="{00000000-0005-0000-0000-000044030000}"/>
    <cellStyle name="Euro 2 2 19" xfId="2659" xr:uid="{00000000-0005-0000-0000-000084010000}"/>
    <cellStyle name="Euro 2 2 2" xfId="1144" xr:uid="{00000000-0005-0000-0000-000045030000}"/>
    <cellStyle name="Euro 2 2 20" xfId="2694" xr:uid="{00000000-0005-0000-0000-000084010000}"/>
    <cellStyle name="Euro 2 2 21" xfId="2729" xr:uid="{00000000-0005-0000-0000-000084010000}"/>
    <cellStyle name="Euro 2 2 22" xfId="2762" xr:uid="{00000000-0005-0000-0000-000084010000}"/>
    <cellStyle name="Euro 2 2 23" xfId="2797" xr:uid="{00000000-0005-0000-0000-000084010000}"/>
    <cellStyle name="Euro 2 2 3" xfId="2251" xr:uid="{00000000-0005-0000-0000-000046030000}"/>
    <cellStyle name="Euro 2 2 4" xfId="2264" xr:uid="{00000000-0005-0000-0000-000047030000}"/>
    <cellStyle name="Euro 2 2 5" xfId="2284" xr:uid="{00000000-0005-0000-0000-000048030000}"/>
    <cellStyle name="Euro 2 2 6" xfId="2311" xr:uid="{00000000-0005-0000-0000-000049030000}"/>
    <cellStyle name="Euro 2 2 7" xfId="2325" xr:uid="{00000000-0005-0000-0000-00004A030000}"/>
    <cellStyle name="Euro 2 2 8" xfId="2337" xr:uid="{00000000-0005-0000-0000-00004B030000}"/>
    <cellStyle name="Euro 2 2 9" xfId="2348" xr:uid="{00000000-0005-0000-0000-00004C030000}"/>
    <cellStyle name="Euro 2 20" xfId="2587" xr:uid="{00000000-0005-0000-0000-00004D030000}"/>
    <cellStyle name="Euro 2 21" xfId="2623" xr:uid="{00000000-0005-0000-0000-00004E030000}"/>
    <cellStyle name="Euro 2 22" xfId="2658" xr:uid="{00000000-0005-0000-0000-000083010000}"/>
    <cellStyle name="Euro 2 23" xfId="2693" xr:uid="{00000000-0005-0000-0000-000083010000}"/>
    <cellStyle name="Euro 2 24" xfId="2728" xr:uid="{00000000-0005-0000-0000-000083010000}"/>
    <cellStyle name="Euro 2 25" xfId="2761" xr:uid="{00000000-0005-0000-0000-000083010000}"/>
    <cellStyle name="Euro 2 26" xfId="2796" xr:uid="{00000000-0005-0000-0000-000083010000}"/>
    <cellStyle name="Euro 2 3" xfId="426" xr:uid="{00000000-0005-0000-0000-00004F030000}"/>
    <cellStyle name="Euro 2 3 2" xfId="1970" xr:uid="{00000000-0005-0000-0000-000050030000}"/>
    <cellStyle name="Euro 2 4" xfId="427" xr:uid="{00000000-0005-0000-0000-000051030000}"/>
    <cellStyle name="Euro 2 4 2" xfId="1971" xr:uid="{00000000-0005-0000-0000-000052030000}"/>
    <cellStyle name="Euro 2 5" xfId="951" xr:uid="{00000000-0005-0000-0000-000053030000}"/>
    <cellStyle name="Euro 2 6" xfId="2250" xr:uid="{00000000-0005-0000-0000-000054030000}"/>
    <cellStyle name="Euro 2 7" xfId="2263" xr:uid="{00000000-0005-0000-0000-000055030000}"/>
    <cellStyle name="Euro 2 8" xfId="2283" xr:uid="{00000000-0005-0000-0000-000056030000}"/>
    <cellStyle name="Euro 2 9" xfId="2310" xr:uid="{00000000-0005-0000-0000-000057030000}"/>
    <cellStyle name="Euro 3" xfId="428" xr:uid="{00000000-0005-0000-0000-000058030000}"/>
    <cellStyle name="Euro 3 2" xfId="1972" xr:uid="{00000000-0005-0000-0000-000059030000}"/>
    <cellStyle name="Euro 4" xfId="429" xr:uid="{00000000-0005-0000-0000-00005A030000}"/>
    <cellStyle name="Euro 4 2" xfId="1973" xr:uid="{00000000-0005-0000-0000-00005B030000}"/>
    <cellStyle name="Euro 5" xfId="430" xr:uid="{00000000-0005-0000-0000-00005C030000}"/>
    <cellStyle name="Euro 5 2" xfId="1974" xr:uid="{00000000-0005-0000-0000-00005D030000}"/>
    <cellStyle name="Euro 6" xfId="431" xr:uid="{00000000-0005-0000-0000-00005E030000}"/>
    <cellStyle name="Euro 6 2" xfId="1975" xr:uid="{00000000-0005-0000-0000-00005F030000}"/>
    <cellStyle name="Euro_07_05_22 SEMENTES COLZA ROMÉNIA" xfId="432" xr:uid="{00000000-0005-0000-0000-000060030000}"/>
    <cellStyle name="Exception" xfId="433" xr:uid="{00000000-0005-0000-0000-000061030000}"/>
    <cellStyle name="Explanatory Text" xfId="434" xr:uid="{00000000-0005-0000-0000-000062030000}"/>
    <cellStyle name="Feeder Field" xfId="435" xr:uid="{00000000-0005-0000-0000-000063030000}"/>
    <cellStyle name="FIXED" xfId="436" xr:uid="{00000000-0005-0000-0000-000064030000}"/>
    <cellStyle name="Fixed 2" xfId="952" xr:uid="{00000000-0005-0000-0000-000065030000}"/>
    <cellStyle name="Good" xfId="437" xr:uid="{00000000-0005-0000-0000-000066030000}"/>
    <cellStyle name="Good 2" xfId="953" xr:uid="{00000000-0005-0000-0000-000067030000}"/>
    <cellStyle name="Grey" xfId="438" xr:uid="{00000000-0005-0000-0000-000068030000}"/>
    <cellStyle name="Grey 2" xfId="1976" xr:uid="{00000000-0005-0000-0000-000069030000}"/>
    <cellStyle name="Greyed out" xfId="439" xr:uid="{00000000-0005-0000-0000-00006A030000}"/>
    <cellStyle name="Header1" xfId="1671" xr:uid="{00000000-0005-0000-0000-00006B030000}"/>
    <cellStyle name="Header2" xfId="1672" xr:uid="{00000000-0005-0000-0000-00006C030000}"/>
    <cellStyle name="Heading 1" xfId="954" xr:uid="{00000000-0005-0000-0000-00006D030000}"/>
    <cellStyle name="Heading 1 2" xfId="1145" xr:uid="{00000000-0005-0000-0000-00006E030000}"/>
    <cellStyle name="Heading 2" xfId="441" xr:uid="{00000000-0005-0000-0000-00006F030000}"/>
    <cellStyle name="Heading 2 2" xfId="955" xr:uid="{00000000-0005-0000-0000-000070030000}"/>
    <cellStyle name="Heading 3" xfId="442" xr:uid="{00000000-0005-0000-0000-000071030000}"/>
    <cellStyle name="Heading 3 2" xfId="956" xr:uid="{00000000-0005-0000-0000-000072030000}"/>
    <cellStyle name="Heading 4" xfId="443" xr:uid="{00000000-0005-0000-0000-000073030000}"/>
    <cellStyle name="Heading 4 2" xfId="957" xr:uid="{00000000-0005-0000-0000-000074030000}"/>
    <cellStyle name="HEADING1" xfId="444" xr:uid="{00000000-0005-0000-0000-000075030000}"/>
    <cellStyle name="Heading1 2" xfId="958" xr:uid="{00000000-0005-0000-0000-000076030000}"/>
    <cellStyle name="HEADING2" xfId="445" xr:uid="{00000000-0005-0000-0000-000077030000}"/>
    <cellStyle name="Heading2 2" xfId="959" xr:uid="{00000000-0005-0000-0000-000078030000}"/>
    <cellStyle name="Hiperligação" xfId="2308" builtinId="8"/>
    <cellStyle name="Hiperligação 2" xfId="446" xr:uid="{00000000-0005-0000-0000-00007A030000}"/>
    <cellStyle name="Hiperligação 2 2" xfId="447" xr:uid="{00000000-0005-0000-0000-00007B030000}"/>
    <cellStyle name="Hiperligação 2 2 2" xfId="960" xr:uid="{00000000-0005-0000-0000-00007C030000}"/>
    <cellStyle name="Hiperligação 2 3" xfId="961" xr:uid="{00000000-0005-0000-0000-00007D030000}"/>
    <cellStyle name="Hiperligação 2 3 2" xfId="1673" xr:uid="{00000000-0005-0000-0000-00007E030000}"/>
    <cellStyle name="Hiperligação 2 4" xfId="962" xr:uid="{00000000-0005-0000-0000-00007F030000}"/>
    <cellStyle name="Hiperligação 2 4 2" xfId="1674" xr:uid="{00000000-0005-0000-0000-000080030000}"/>
    <cellStyle name="Hiperligação 2 5" xfId="963" xr:uid="{00000000-0005-0000-0000-000081030000}"/>
    <cellStyle name="Hiperligação 2 5 2" xfId="1675" xr:uid="{00000000-0005-0000-0000-000082030000}"/>
    <cellStyle name="Hiperligação 2 6" xfId="964" xr:uid="{00000000-0005-0000-0000-000083030000}"/>
    <cellStyle name="Hiperligação 2 6 2" xfId="1676" xr:uid="{00000000-0005-0000-0000-000084030000}"/>
    <cellStyle name="Hiperligação 2 7" xfId="965" xr:uid="{00000000-0005-0000-0000-000085030000}"/>
    <cellStyle name="Hiperligação 2 7 2" xfId="1677" xr:uid="{00000000-0005-0000-0000-000086030000}"/>
    <cellStyle name="Hiperligação 3" xfId="448" xr:uid="{00000000-0005-0000-0000-000087030000}"/>
    <cellStyle name="Hiperligação 3 2" xfId="1678" xr:uid="{00000000-0005-0000-0000-000088030000}"/>
    <cellStyle name="Hiperligação 4" xfId="449" xr:uid="{00000000-0005-0000-0000-000089030000}"/>
    <cellStyle name="Hiperligação 4 2" xfId="1679" xr:uid="{00000000-0005-0000-0000-00008A030000}"/>
    <cellStyle name="Hyperlink 2" xfId="450" xr:uid="{00000000-0005-0000-0000-00008B030000}"/>
    <cellStyle name="Hyperlink 2 2" xfId="1680" xr:uid="{00000000-0005-0000-0000-00008C030000}"/>
    <cellStyle name="Hyperlink_3.ind_pobreza" xfId="1681" xr:uid="{00000000-0005-0000-0000-00008D030000}"/>
    <cellStyle name="Incorrecto 2" xfId="451" xr:uid="{00000000-0005-0000-0000-00008E030000}"/>
    <cellStyle name="Incorrecto 3" xfId="452" xr:uid="{00000000-0005-0000-0000-00008F030000}"/>
    <cellStyle name="Incorrecto 4" xfId="453" xr:uid="{00000000-0005-0000-0000-000090030000}"/>
    <cellStyle name="Incorreto 2" xfId="1682" xr:uid="{00000000-0005-0000-0000-000091030000}"/>
    <cellStyle name="Input" xfId="454" xr:uid="{00000000-0005-0000-0000-000092030000}"/>
    <cellStyle name="Input [yellow]" xfId="1683" xr:uid="{00000000-0005-0000-0000-000093030000}"/>
    <cellStyle name="Input [yellow] 2" xfId="1977" xr:uid="{00000000-0005-0000-0000-000094030000}"/>
    <cellStyle name="Input 1" xfId="455" xr:uid="{00000000-0005-0000-0000-000095030000}"/>
    <cellStyle name="Input 2" xfId="456" xr:uid="{00000000-0005-0000-0000-000096030000}"/>
    <cellStyle name="Input 2 2" xfId="967" xr:uid="{00000000-0005-0000-0000-000097030000}"/>
    <cellStyle name="Input 2 2 2" xfId="1146" xr:uid="{00000000-0005-0000-0000-000098030000}"/>
    <cellStyle name="Input 2 3" xfId="1147" xr:uid="{00000000-0005-0000-0000-000099030000}"/>
    <cellStyle name="Input 3" xfId="968" xr:uid="{00000000-0005-0000-0000-00009A030000}"/>
    <cellStyle name="Input 4" xfId="969" xr:uid="{00000000-0005-0000-0000-00009B030000}"/>
    <cellStyle name="Input 5" xfId="966" xr:uid="{00000000-0005-0000-0000-00009C030000}"/>
    <cellStyle name="Input 5 2" xfId="1148" xr:uid="{00000000-0005-0000-0000-00009D030000}"/>
    <cellStyle name="Input 6" xfId="1149" xr:uid="{00000000-0005-0000-0000-00009E030000}"/>
    <cellStyle name="Input Date" xfId="457" xr:uid="{00000000-0005-0000-0000-00009F030000}"/>
    <cellStyle name="Input Date 2" xfId="1978" xr:uid="{00000000-0005-0000-0000-0000A0030000}"/>
    <cellStyle name="Input Normal" xfId="458" xr:uid="{00000000-0005-0000-0000-0000A1030000}"/>
    <cellStyle name="Input Normal 2" xfId="1979" xr:uid="{00000000-0005-0000-0000-0000A2030000}"/>
    <cellStyle name="Input Percent" xfId="459" xr:uid="{00000000-0005-0000-0000-0000A3030000}"/>
    <cellStyle name="Input Percent [2]" xfId="460" xr:uid="{00000000-0005-0000-0000-0000A4030000}"/>
    <cellStyle name="Input Percent [2] 2" xfId="1980" xr:uid="{00000000-0005-0000-0000-0000A5030000}"/>
    <cellStyle name="Input Percent 2" xfId="1981" xr:uid="{00000000-0005-0000-0000-0000A6030000}"/>
    <cellStyle name="Input_baselimpa_para_nuno" xfId="1684" xr:uid="{00000000-0005-0000-0000-0000A7030000}"/>
    <cellStyle name="LineBottom2" xfId="970" xr:uid="{00000000-0005-0000-0000-0000A8030000}"/>
    <cellStyle name="Link Currency (0)" xfId="1685" xr:uid="{00000000-0005-0000-0000-0000A9030000}"/>
    <cellStyle name="Link Currency (2)" xfId="1686" xr:uid="{00000000-0005-0000-0000-0000AA030000}"/>
    <cellStyle name="Link Units (0)" xfId="1687" xr:uid="{00000000-0005-0000-0000-0000AB030000}"/>
    <cellStyle name="Link Units (1)" xfId="1688" xr:uid="{00000000-0005-0000-0000-0000AC030000}"/>
    <cellStyle name="Link Units (2)" xfId="1689" xr:uid="{00000000-0005-0000-0000-0000AD030000}"/>
    <cellStyle name="Linked Cell" xfId="461" xr:uid="{00000000-0005-0000-0000-0000AE030000}"/>
    <cellStyle name="Linked Cell 2" xfId="971" xr:uid="{00000000-0005-0000-0000-0000AF030000}"/>
    <cellStyle name="Millares_CALDERA.XLC" xfId="462" xr:uid="{00000000-0005-0000-0000-0000B0030000}"/>
    <cellStyle name="Moeda 2" xfId="463" xr:uid="{00000000-0005-0000-0000-0000B1030000}"/>
    <cellStyle name="Moeda 2 2" xfId="464" xr:uid="{00000000-0005-0000-0000-0000B2030000}"/>
    <cellStyle name="Moeda 2 2 10" xfId="2326" xr:uid="{00000000-0005-0000-0000-0000B3030000}"/>
    <cellStyle name="Moeda 2 2 11" xfId="2338" xr:uid="{00000000-0005-0000-0000-0000B4030000}"/>
    <cellStyle name="Moeda 2 2 12" xfId="2349" xr:uid="{00000000-0005-0000-0000-0000B5030000}"/>
    <cellStyle name="Moeda 2 2 13" xfId="2360" xr:uid="{00000000-0005-0000-0000-0000B6030000}"/>
    <cellStyle name="Moeda 2 2 14" xfId="2380" xr:uid="{00000000-0005-0000-0000-0000B7030000}"/>
    <cellStyle name="Moeda 2 2 15" xfId="2415" xr:uid="{00000000-0005-0000-0000-0000B8030000}"/>
    <cellStyle name="Moeda 2 2 16" xfId="2450" xr:uid="{00000000-0005-0000-0000-0000B9030000}"/>
    <cellStyle name="Moeda 2 2 17" xfId="2485" xr:uid="{00000000-0005-0000-0000-0000BA030000}"/>
    <cellStyle name="Moeda 2 2 18" xfId="2520" xr:uid="{00000000-0005-0000-0000-0000BB030000}"/>
    <cellStyle name="Moeda 2 2 19" xfId="2554" xr:uid="{00000000-0005-0000-0000-0000BC030000}"/>
    <cellStyle name="Moeda 2 2 2" xfId="1151" xr:uid="{00000000-0005-0000-0000-0000BD030000}"/>
    <cellStyle name="Moeda 2 2 20" xfId="2589" xr:uid="{00000000-0005-0000-0000-0000BE030000}"/>
    <cellStyle name="Moeda 2 2 21" xfId="2625" xr:uid="{00000000-0005-0000-0000-0000BF030000}"/>
    <cellStyle name="Moeda 2 2 22" xfId="2660" xr:uid="{00000000-0005-0000-0000-0000AB010000}"/>
    <cellStyle name="Moeda 2 2 23" xfId="2695" xr:uid="{00000000-0005-0000-0000-0000AB010000}"/>
    <cellStyle name="Moeda 2 2 24" xfId="2730" xr:uid="{00000000-0005-0000-0000-0000AB010000}"/>
    <cellStyle name="Moeda 2 2 25" xfId="2763" xr:uid="{00000000-0005-0000-0000-0000AB010000}"/>
    <cellStyle name="Moeda 2 2 26" xfId="2798" xr:uid="{00000000-0005-0000-0000-0000AB010000}"/>
    <cellStyle name="Moeda 2 2 3" xfId="1152" xr:uid="{00000000-0005-0000-0000-0000C0030000}"/>
    <cellStyle name="Moeda 2 2 4" xfId="1690" xr:uid="{00000000-0005-0000-0000-0000C1030000}"/>
    <cellStyle name="Moeda 2 2 5" xfId="1150" xr:uid="{00000000-0005-0000-0000-0000C2030000}"/>
    <cellStyle name="Moeda 2 2 6" xfId="2252" xr:uid="{00000000-0005-0000-0000-0000C3030000}"/>
    <cellStyle name="Moeda 2 2 7" xfId="2265" xr:uid="{00000000-0005-0000-0000-0000C4030000}"/>
    <cellStyle name="Moeda 2 2 8" xfId="2285" xr:uid="{00000000-0005-0000-0000-0000C5030000}"/>
    <cellStyle name="Moeda 2 2 9" xfId="2312" xr:uid="{00000000-0005-0000-0000-0000C6030000}"/>
    <cellStyle name="Moeda 2 3" xfId="1982" xr:uid="{00000000-0005-0000-0000-0000C7030000}"/>
    <cellStyle name="Moeda 3" xfId="465" xr:uid="{00000000-0005-0000-0000-0000C8030000}"/>
    <cellStyle name="Moeda 3 10" xfId="2327" xr:uid="{00000000-0005-0000-0000-0000C9030000}"/>
    <cellStyle name="Moeda 3 11" xfId="2339" xr:uid="{00000000-0005-0000-0000-0000CA030000}"/>
    <cellStyle name="Moeda 3 12" xfId="2350" xr:uid="{00000000-0005-0000-0000-0000CB030000}"/>
    <cellStyle name="Moeda 3 13" xfId="2361" xr:uid="{00000000-0005-0000-0000-0000CC030000}"/>
    <cellStyle name="Moeda 3 14" xfId="2381" xr:uid="{00000000-0005-0000-0000-0000CD030000}"/>
    <cellStyle name="Moeda 3 15" xfId="2416" xr:uid="{00000000-0005-0000-0000-0000CE030000}"/>
    <cellStyle name="Moeda 3 16" xfId="2451" xr:uid="{00000000-0005-0000-0000-0000CF030000}"/>
    <cellStyle name="Moeda 3 17" xfId="2486" xr:uid="{00000000-0005-0000-0000-0000D0030000}"/>
    <cellStyle name="Moeda 3 18" xfId="2521" xr:uid="{00000000-0005-0000-0000-0000D1030000}"/>
    <cellStyle name="Moeda 3 19" xfId="2555" xr:uid="{00000000-0005-0000-0000-0000D2030000}"/>
    <cellStyle name="Moeda 3 2" xfId="1154" xr:uid="{00000000-0005-0000-0000-0000D3030000}"/>
    <cellStyle name="Moeda 3 20" xfId="2590" xr:uid="{00000000-0005-0000-0000-0000D4030000}"/>
    <cellStyle name="Moeda 3 21" xfId="2626" xr:uid="{00000000-0005-0000-0000-0000D5030000}"/>
    <cellStyle name="Moeda 3 22" xfId="2661" xr:uid="{00000000-0005-0000-0000-0000AC010000}"/>
    <cellStyle name="Moeda 3 23" xfId="2696" xr:uid="{00000000-0005-0000-0000-0000AC010000}"/>
    <cellStyle name="Moeda 3 24" xfId="2731" xr:uid="{00000000-0005-0000-0000-0000AC010000}"/>
    <cellStyle name="Moeda 3 25" xfId="2764" xr:uid="{00000000-0005-0000-0000-0000AC010000}"/>
    <cellStyle name="Moeda 3 26" xfId="2799" xr:uid="{00000000-0005-0000-0000-0000AC010000}"/>
    <cellStyle name="Moeda 3 3" xfId="1155" xr:uid="{00000000-0005-0000-0000-0000D6030000}"/>
    <cellStyle name="Moeda 3 4" xfId="1691" xr:uid="{00000000-0005-0000-0000-0000D7030000}"/>
    <cellStyle name="Moeda 3 5" xfId="1153" xr:uid="{00000000-0005-0000-0000-0000D8030000}"/>
    <cellStyle name="Moeda 3 6" xfId="2253" xr:uid="{00000000-0005-0000-0000-0000D9030000}"/>
    <cellStyle name="Moeda 3 7" xfId="2266" xr:uid="{00000000-0005-0000-0000-0000DA030000}"/>
    <cellStyle name="Moeda 3 8" xfId="2286" xr:uid="{00000000-0005-0000-0000-0000DB030000}"/>
    <cellStyle name="Moeda 3 9" xfId="2313" xr:uid="{00000000-0005-0000-0000-0000DC030000}"/>
    <cellStyle name="Moeda 6" xfId="466" xr:uid="{00000000-0005-0000-0000-0000DD030000}"/>
    <cellStyle name="Moeda 6 10" xfId="2351" xr:uid="{00000000-0005-0000-0000-0000DE030000}"/>
    <cellStyle name="Moeda 6 11" xfId="2362" xr:uid="{00000000-0005-0000-0000-0000DF030000}"/>
    <cellStyle name="Moeda 6 12" xfId="2382" xr:uid="{00000000-0005-0000-0000-0000E0030000}"/>
    <cellStyle name="Moeda 6 13" xfId="2417" xr:uid="{00000000-0005-0000-0000-0000E1030000}"/>
    <cellStyle name="Moeda 6 14" xfId="2452" xr:uid="{00000000-0005-0000-0000-0000E2030000}"/>
    <cellStyle name="Moeda 6 15" xfId="2487" xr:uid="{00000000-0005-0000-0000-0000E3030000}"/>
    <cellStyle name="Moeda 6 16" xfId="2522" xr:uid="{00000000-0005-0000-0000-0000E4030000}"/>
    <cellStyle name="Moeda 6 17" xfId="2556" xr:uid="{00000000-0005-0000-0000-0000E5030000}"/>
    <cellStyle name="Moeda 6 18" xfId="2591" xr:uid="{00000000-0005-0000-0000-0000E6030000}"/>
    <cellStyle name="Moeda 6 19" xfId="2627" xr:uid="{00000000-0005-0000-0000-0000E7030000}"/>
    <cellStyle name="Moeda 6 2" xfId="1983" xr:uid="{00000000-0005-0000-0000-0000E8030000}"/>
    <cellStyle name="Moeda 6 20" xfId="2662" xr:uid="{00000000-0005-0000-0000-0000AD010000}"/>
    <cellStyle name="Moeda 6 21" xfId="2697" xr:uid="{00000000-0005-0000-0000-0000AD010000}"/>
    <cellStyle name="Moeda 6 22" xfId="2732" xr:uid="{00000000-0005-0000-0000-0000AD010000}"/>
    <cellStyle name="Moeda 6 23" xfId="2765" xr:uid="{00000000-0005-0000-0000-0000AD010000}"/>
    <cellStyle name="Moeda 6 24" xfId="2800" xr:uid="{00000000-0005-0000-0000-0000AD010000}"/>
    <cellStyle name="Moeda 6 3" xfId="1156" xr:uid="{00000000-0005-0000-0000-0000E9030000}"/>
    <cellStyle name="Moeda 6 4" xfId="2254" xr:uid="{00000000-0005-0000-0000-0000EA030000}"/>
    <cellStyle name="Moeda 6 5" xfId="2267" xr:uid="{00000000-0005-0000-0000-0000EB030000}"/>
    <cellStyle name="Moeda 6 6" xfId="2287" xr:uid="{00000000-0005-0000-0000-0000EC030000}"/>
    <cellStyle name="Moeda 6 7" xfId="2314" xr:uid="{00000000-0005-0000-0000-0000ED030000}"/>
    <cellStyle name="Moeda 6 8" xfId="2328" xr:uid="{00000000-0005-0000-0000-0000EE030000}"/>
    <cellStyle name="Moeda 6 9" xfId="2340" xr:uid="{00000000-0005-0000-0000-0000EF030000}"/>
    <cellStyle name="Moeda 7" xfId="467" xr:uid="{00000000-0005-0000-0000-0000F0030000}"/>
    <cellStyle name="Moeda 7 10" xfId="2352" xr:uid="{00000000-0005-0000-0000-0000F1030000}"/>
    <cellStyle name="Moeda 7 11" xfId="2363" xr:uid="{00000000-0005-0000-0000-0000F2030000}"/>
    <cellStyle name="Moeda 7 12" xfId="2383" xr:uid="{00000000-0005-0000-0000-0000F3030000}"/>
    <cellStyle name="Moeda 7 13" xfId="2418" xr:uid="{00000000-0005-0000-0000-0000F4030000}"/>
    <cellStyle name="Moeda 7 14" xfId="2453" xr:uid="{00000000-0005-0000-0000-0000F5030000}"/>
    <cellStyle name="Moeda 7 15" xfId="2488" xr:uid="{00000000-0005-0000-0000-0000F6030000}"/>
    <cellStyle name="Moeda 7 16" xfId="2523" xr:uid="{00000000-0005-0000-0000-0000F7030000}"/>
    <cellStyle name="Moeda 7 17" xfId="2557" xr:uid="{00000000-0005-0000-0000-0000F8030000}"/>
    <cellStyle name="Moeda 7 18" xfId="2592" xr:uid="{00000000-0005-0000-0000-0000F9030000}"/>
    <cellStyle name="Moeda 7 19" xfId="2628" xr:uid="{00000000-0005-0000-0000-0000FA030000}"/>
    <cellStyle name="Moeda 7 2" xfId="1984" xr:uid="{00000000-0005-0000-0000-0000FB030000}"/>
    <cellStyle name="Moeda 7 20" xfId="2663" xr:uid="{00000000-0005-0000-0000-0000AE010000}"/>
    <cellStyle name="Moeda 7 21" xfId="2698" xr:uid="{00000000-0005-0000-0000-0000AE010000}"/>
    <cellStyle name="Moeda 7 22" xfId="2733" xr:uid="{00000000-0005-0000-0000-0000AE010000}"/>
    <cellStyle name="Moeda 7 23" xfId="2766" xr:uid="{00000000-0005-0000-0000-0000AE010000}"/>
    <cellStyle name="Moeda 7 24" xfId="2801" xr:uid="{00000000-0005-0000-0000-0000AE010000}"/>
    <cellStyle name="Moeda 7 3" xfId="1157" xr:uid="{00000000-0005-0000-0000-0000FC030000}"/>
    <cellStyle name="Moeda 7 4" xfId="2255" xr:uid="{00000000-0005-0000-0000-0000FD030000}"/>
    <cellStyle name="Moeda 7 5" xfId="2268" xr:uid="{00000000-0005-0000-0000-0000FE030000}"/>
    <cellStyle name="Moeda 7 6" xfId="2288" xr:uid="{00000000-0005-0000-0000-0000FF030000}"/>
    <cellStyle name="Moeda 7 7" xfId="2315" xr:uid="{00000000-0005-0000-0000-000000040000}"/>
    <cellStyle name="Moeda 7 8" xfId="2329" xr:uid="{00000000-0005-0000-0000-000001040000}"/>
    <cellStyle name="Moeda 7 9" xfId="2341" xr:uid="{00000000-0005-0000-0000-000002040000}"/>
    <cellStyle name="Moeda 8" xfId="1470" xr:uid="{00000000-0005-0000-0000-000003040000}"/>
    <cellStyle name="Moeda 9" xfId="468" xr:uid="{00000000-0005-0000-0000-000004040000}"/>
    <cellStyle name="Moeda 9 10" xfId="2353" xr:uid="{00000000-0005-0000-0000-000005040000}"/>
    <cellStyle name="Moeda 9 11" xfId="2364" xr:uid="{00000000-0005-0000-0000-000006040000}"/>
    <cellStyle name="Moeda 9 12" xfId="2384" xr:uid="{00000000-0005-0000-0000-000007040000}"/>
    <cellStyle name="Moeda 9 13" xfId="2419" xr:uid="{00000000-0005-0000-0000-000008040000}"/>
    <cellStyle name="Moeda 9 14" xfId="2454" xr:uid="{00000000-0005-0000-0000-000009040000}"/>
    <cellStyle name="Moeda 9 15" xfId="2489" xr:uid="{00000000-0005-0000-0000-00000A040000}"/>
    <cellStyle name="Moeda 9 16" xfId="2524" xr:uid="{00000000-0005-0000-0000-00000B040000}"/>
    <cellStyle name="Moeda 9 17" xfId="2558" xr:uid="{00000000-0005-0000-0000-00000C040000}"/>
    <cellStyle name="Moeda 9 18" xfId="2593" xr:uid="{00000000-0005-0000-0000-00000D040000}"/>
    <cellStyle name="Moeda 9 19" xfId="2629" xr:uid="{00000000-0005-0000-0000-00000E040000}"/>
    <cellStyle name="Moeda 9 2" xfId="1985" xr:uid="{00000000-0005-0000-0000-00000F040000}"/>
    <cellStyle name="Moeda 9 20" xfId="2664" xr:uid="{00000000-0005-0000-0000-0000AF010000}"/>
    <cellStyle name="Moeda 9 21" xfId="2699" xr:uid="{00000000-0005-0000-0000-0000AF010000}"/>
    <cellStyle name="Moeda 9 22" xfId="2734" xr:uid="{00000000-0005-0000-0000-0000AF010000}"/>
    <cellStyle name="Moeda 9 23" xfId="2767" xr:uid="{00000000-0005-0000-0000-0000AF010000}"/>
    <cellStyle name="Moeda 9 24" xfId="2802" xr:uid="{00000000-0005-0000-0000-0000AF010000}"/>
    <cellStyle name="Moeda 9 3" xfId="1158" xr:uid="{00000000-0005-0000-0000-000010040000}"/>
    <cellStyle name="Moeda 9 4" xfId="2256" xr:uid="{00000000-0005-0000-0000-000011040000}"/>
    <cellStyle name="Moeda 9 5" xfId="2269" xr:uid="{00000000-0005-0000-0000-000012040000}"/>
    <cellStyle name="Moeda 9 6" xfId="2289" xr:uid="{00000000-0005-0000-0000-000013040000}"/>
    <cellStyle name="Moeda 9 7" xfId="2316" xr:uid="{00000000-0005-0000-0000-000014040000}"/>
    <cellStyle name="Moeda 9 8" xfId="2330" xr:uid="{00000000-0005-0000-0000-000015040000}"/>
    <cellStyle name="Moeda 9 9" xfId="2342" xr:uid="{00000000-0005-0000-0000-000016040000}"/>
    <cellStyle name="Moneda_CALDERA.XLC" xfId="469" xr:uid="{00000000-0005-0000-0000-000017040000}"/>
    <cellStyle name="montantes" xfId="470" xr:uid="{00000000-0005-0000-0000-000018040000}"/>
    <cellStyle name="montantes 2" xfId="1986" xr:uid="{00000000-0005-0000-0000-000019040000}"/>
    <cellStyle name="Named Range" xfId="471" xr:uid="{00000000-0005-0000-0000-00001A040000}"/>
    <cellStyle name="Named Range Tag" xfId="472" xr:uid="{00000000-0005-0000-0000-00001B040000}"/>
    <cellStyle name="Neutra" xfId="1692" xr:uid="{00000000-0005-0000-0000-00001C040000}"/>
    <cellStyle name="Neutral" xfId="473" xr:uid="{00000000-0005-0000-0000-00001D040000}"/>
    <cellStyle name="Neutro 2" xfId="474" xr:uid="{00000000-0005-0000-0000-00001E040000}"/>
    <cellStyle name="Neutro 2 2" xfId="972" xr:uid="{00000000-0005-0000-0000-00001F040000}"/>
    <cellStyle name="Neutro 3" xfId="475" xr:uid="{00000000-0005-0000-0000-000020040000}"/>
    <cellStyle name="Neutro 4" xfId="476" xr:uid="{00000000-0005-0000-0000-000021040000}"/>
    <cellStyle name="No-definido" xfId="1693" xr:uid="{00000000-0005-0000-0000-000022040000}"/>
    <cellStyle name="No-definido 2" xfId="1987" xr:uid="{00000000-0005-0000-0000-000023040000}"/>
    <cellStyle name="Normal" xfId="0" builtinId="0"/>
    <cellStyle name="Normal - Style1" xfId="477" xr:uid="{00000000-0005-0000-0000-000025040000}"/>
    <cellStyle name="Normal [1]" xfId="478" xr:uid="{00000000-0005-0000-0000-000026040000}"/>
    <cellStyle name="Normal [1] 2" xfId="1988" xr:uid="{00000000-0005-0000-0000-000027040000}"/>
    <cellStyle name="Normal [2]" xfId="479" xr:uid="{00000000-0005-0000-0000-000028040000}"/>
    <cellStyle name="Normal [2] 2" xfId="1989" xr:uid="{00000000-0005-0000-0000-000029040000}"/>
    <cellStyle name="Normal [3]" xfId="480" xr:uid="{00000000-0005-0000-0000-00002A040000}"/>
    <cellStyle name="Normal [3] 2" xfId="1990" xr:uid="{00000000-0005-0000-0000-00002B040000}"/>
    <cellStyle name="Normal 10" xfId="481" xr:uid="{00000000-0005-0000-0000-00002C040000}"/>
    <cellStyle name="Normal 10 10" xfId="482" xr:uid="{00000000-0005-0000-0000-00002D040000}"/>
    <cellStyle name="Normal 10 10 2" xfId="1991" xr:uid="{00000000-0005-0000-0000-00002E040000}"/>
    <cellStyle name="Normal 10 11" xfId="483" xr:uid="{00000000-0005-0000-0000-00002F040000}"/>
    <cellStyle name="Normal 10 11 2" xfId="1992" xr:uid="{00000000-0005-0000-0000-000030040000}"/>
    <cellStyle name="Normal 10 12" xfId="484" xr:uid="{00000000-0005-0000-0000-000031040000}"/>
    <cellStyle name="Normal 10 12 2" xfId="1159" xr:uid="{00000000-0005-0000-0000-000032040000}"/>
    <cellStyle name="Normal 10 12 3" xfId="1160" xr:uid="{00000000-0005-0000-0000-000033040000}"/>
    <cellStyle name="Normal 10 12 4" xfId="1694" xr:uid="{00000000-0005-0000-0000-000034040000}"/>
    <cellStyle name="Normal 10 13" xfId="485" xr:uid="{00000000-0005-0000-0000-000035040000}"/>
    <cellStyle name="Normal 10 13 2" xfId="1161" xr:uid="{00000000-0005-0000-0000-000036040000}"/>
    <cellStyle name="Normal 10 13 3" xfId="1162" xr:uid="{00000000-0005-0000-0000-000037040000}"/>
    <cellStyle name="Normal 10 13 4" xfId="1695" xr:uid="{00000000-0005-0000-0000-000038040000}"/>
    <cellStyle name="Normal 10 14" xfId="1163" xr:uid="{00000000-0005-0000-0000-000039040000}"/>
    <cellStyle name="Normal 10 14 2" xfId="1164" xr:uid="{00000000-0005-0000-0000-00003A040000}"/>
    <cellStyle name="Normal 10 15" xfId="1165" xr:uid="{00000000-0005-0000-0000-00003B040000}"/>
    <cellStyle name="Normal 10 16" xfId="1696" xr:uid="{00000000-0005-0000-0000-00003C040000}"/>
    <cellStyle name="Normal 10 2" xfId="486" xr:uid="{00000000-0005-0000-0000-00003D040000}"/>
    <cellStyle name="Normal 10 2 2" xfId="1993" xr:uid="{00000000-0005-0000-0000-00003E040000}"/>
    <cellStyle name="Normal 10 3" xfId="487" xr:uid="{00000000-0005-0000-0000-00003F040000}"/>
    <cellStyle name="Normal 10 3 2" xfId="1166" xr:uid="{00000000-0005-0000-0000-000040040000}"/>
    <cellStyle name="Normal 10 3 3" xfId="1167" xr:uid="{00000000-0005-0000-0000-000041040000}"/>
    <cellStyle name="Normal 10 3 4" xfId="1697" xr:uid="{00000000-0005-0000-0000-000042040000}"/>
    <cellStyle name="Normal 10 4" xfId="18" xr:uid="{00000000-0005-0000-0000-000043040000}"/>
    <cellStyle name="Normal 10 4 2" xfId="1994" xr:uid="{00000000-0005-0000-0000-000044040000}"/>
    <cellStyle name="Normal 10 5" xfId="488" xr:uid="{00000000-0005-0000-0000-000045040000}"/>
    <cellStyle name="Normal 10 5 2" xfId="1995" xr:uid="{00000000-0005-0000-0000-000046040000}"/>
    <cellStyle name="Normal 10 6" xfId="489" xr:uid="{00000000-0005-0000-0000-000047040000}"/>
    <cellStyle name="Normal 10 6 2" xfId="1996" xr:uid="{00000000-0005-0000-0000-000048040000}"/>
    <cellStyle name="Normal 10 7" xfId="490" xr:uid="{00000000-0005-0000-0000-000049040000}"/>
    <cellStyle name="Normal 10 7 2" xfId="1997" xr:uid="{00000000-0005-0000-0000-00004A040000}"/>
    <cellStyle name="Normal 10 8" xfId="491" xr:uid="{00000000-0005-0000-0000-00004B040000}"/>
    <cellStyle name="Normal 10 8 2" xfId="1998" xr:uid="{00000000-0005-0000-0000-00004C040000}"/>
    <cellStyle name="Normal 10 9" xfId="492" xr:uid="{00000000-0005-0000-0000-00004D040000}"/>
    <cellStyle name="Normal 10 9 2" xfId="1999" xr:uid="{00000000-0005-0000-0000-00004E040000}"/>
    <cellStyle name="Normal 10_DGO" xfId="1698" xr:uid="{00000000-0005-0000-0000-00004F040000}"/>
    <cellStyle name="Normal 100" xfId="2354" xr:uid="{00000000-0005-0000-0000-000050040000}"/>
    <cellStyle name="Normal 101" xfId="2355" xr:uid="{00000000-0005-0000-0000-000051040000}"/>
    <cellStyle name="Normal 102" xfId="2356" xr:uid="{00000000-0005-0000-0000-000052040000}"/>
    <cellStyle name="Normal 103" xfId="2357" xr:uid="{00000000-0005-0000-0000-000053040000}"/>
    <cellStyle name="Normal 104" xfId="2365" xr:uid="{00000000-0005-0000-0000-000054040000}"/>
    <cellStyle name="Normal 105" xfId="2366" xr:uid="{00000000-0005-0000-0000-000055040000}"/>
    <cellStyle name="Normal 106" xfId="2367" xr:uid="{00000000-0005-0000-0000-000056040000}"/>
    <cellStyle name="Normal 107" xfId="2368" xr:uid="{00000000-0005-0000-0000-000057040000}"/>
    <cellStyle name="Normal 108" xfId="2400" xr:uid="{00000000-0005-0000-0000-000058040000}"/>
    <cellStyle name="Normal 109" xfId="2401" xr:uid="{00000000-0005-0000-0000-000059040000}"/>
    <cellStyle name="Normal 11" xfId="493" xr:uid="{00000000-0005-0000-0000-00005A040000}"/>
    <cellStyle name="Normal 11 2" xfId="22" xr:uid="{00000000-0005-0000-0000-00005B040000}"/>
    <cellStyle name="Normal 11 2 2" xfId="1052" xr:uid="{00000000-0005-0000-0000-00005C040000}"/>
    <cellStyle name="Normal 11 2 2 2" xfId="2000" xr:uid="{00000000-0005-0000-0000-00005D040000}"/>
    <cellStyle name="Normal 11 3" xfId="494" xr:uid="{00000000-0005-0000-0000-00005E040000}"/>
    <cellStyle name="Normal 11 4" xfId="495" xr:uid="{00000000-0005-0000-0000-00005F040000}"/>
    <cellStyle name="Normal 11 4 2" xfId="2001" xr:uid="{00000000-0005-0000-0000-000060040000}"/>
    <cellStyle name="Normal 11 5" xfId="496" xr:uid="{00000000-0005-0000-0000-000061040000}"/>
    <cellStyle name="Normal 11 5 2" xfId="2002" xr:uid="{00000000-0005-0000-0000-000062040000}"/>
    <cellStyle name="Normal 11 6" xfId="1168" xr:uid="{00000000-0005-0000-0000-000063040000}"/>
    <cellStyle name="Normal 11 6 2" xfId="1169" xr:uid="{00000000-0005-0000-0000-000064040000}"/>
    <cellStyle name="Normal 11 7" xfId="1170" xr:uid="{00000000-0005-0000-0000-000065040000}"/>
    <cellStyle name="Normal 11 8" xfId="1699" xr:uid="{00000000-0005-0000-0000-000066040000}"/>
    <cellStyle name="Normal 11_DGO" xfId="1700" xr:uid="{00000000-0005-0000-0000-000067040000}"/>
    <cellStyle name="Normal 110" xfId="2402" xr:uid="{00000000-0005-0000-0000-000068040000}"/>
    <cellStyle name="Normal 111" xfId="2403" xr:uid="{00000000-0005-0000-0000-000069040000}"/>
    <cellStyle name="Normal 112" xfId="2435" xr:uid="{00000000-0005-0000-0000-00006A040000}"/>
    <cellStyle name="Normal 113" xfId="2436" xr:uid="{00000000-0005-0000-0000-00006B040000}"/>
    <cellStyle name="Normal 114" xfId="2437" xr:uid="{00000000-0005-0000-0000-00006C040000}"/>
    <cellStyle name="Normal 115" xfId="2438" xr:uid="{00000000-0005-0000-0000-00006D040000}"/>
    <cellStyle name="Normal 116" xfId="2470" xr:uid="{00000000-0005-0000-0000-00006E040000}"/>
    <cellStyle name="Normal 117" xfId="2471" xr:uid="{00000000-0005-0000-0000-00006F040000}"/>
    <cellStyle name="Normal 118" xfId="2472" xr:uid="{00000000-0005-0000-0000-000070040000}"/>
    <cellStyle name="Normal 119" xfId="2473" xr:uid="{00000000-0005-0000-0000-000071040000}"/>
    <cellStyle name="Normal 12" xfId="497" xr:uid="{00000000-0005-0000-0000-000072040000}"/>
    <cellStyle name="Normal 12 2" xfId="498" xr:uid="{00000000-0005-0000-0000-000073040000}"/>
    <cellStyle name="Normal 12 2 2" xfId="1171" xr:uid="{00000000-0005-0000-0000-000074040000}"/>
    <cellStyle name="Normal 12 2 3" xfId="1172" xr:uid="{00000000-0005-0000-0000-000075040000}"/>
    <cellStyle name="Normal 12 2 4" xfId="1701" xr:uid="{00000000-0005-0000-0000-000076040000}"/>
    <cellStyle name="Normal 12 3" xfId="499" xr:uid="{00000000-0005-0000-0000-000077040000}"/>
    <cellStyle name="Normal 12 3 2" xfId="1173" xr:uid="{00000000-0005-0000-0000-000078040000}"/>
    <cellStyle name="Normal 12 3 3" xfId="1174" xr:uid="{00000000-0005-0000-0000-000079040000}"/>
    <cellStyle name="Normal 12 3 4" xfId="1702" xr:uid="{00000000-0005-0000-0000-00007A040000}"/>
    <cellStyle name="Normal 12 4" xfId="8" xr:uid="{00000000-0005-0000-0000-00007B040000}"/>
    <cellStyle name="Normal 12 4 2" xfId="1175" xr:uid="{00000000-0005-0000-0000-00007C040000}"/>
    <cellStyle name="Normal 12 4 2 2" xfId="1176" xr:uid="{00000000-0005-0000-0000-00007D040000}"/>
    <cellStyle name="Normal 12 4 2 3" xfId="41" xr:uid="{00000000-0005-0000-0000-00007E040000}"/>
    <cellStyle name="Normal 12 4 3" xfId="1177" xr:uid="{00000000-0005-0000-0000-00007F040000}"/>
    <cellStyle name="Normal 12 4 4" xfId="1459" xr:uid="{00000000-0005-0000-0000-000080040000}"/>
    <cellStyle name="Normal 12 4 4 2" xfId="1477" xr:uid="{00000000-0005-0000-0000-000081040000}"/>
    <cellStyle name="Normal 12 4 5" xfId="1476" xr:uid="{00000000-0005-0000-0000-000082040000}"/>
    <cellStyle name="Normal 12 4 6" xfId="1703" xr:uid="{00000000-0005-0000-0000-000083040000}"/>
    <cellStyle name="Normal 12 5" xfId="1053" xr:uid="{00000000-0005-0000-0000-000084040000}"/>
    <cellStyle name="Normal 12 5 2" xfId="1178" xr:uid="{00000000-0005-0000-0000-000085040000}"/>
    <cellStyle name="Normal 12 6" xfId="1179" xr:uid="{00000000-0005-0000-0000-000086040000}"/>
    <cellStyle name="Normal 12 7" xfId="1704" xr:uid="{00000000-0005-0000-0000-000087040000}"/>
    <cellStyle name="Normal 12_DGO" xfId="1705" xr:uid="{00000000-0005-0000-0000-000088040000}"/>
    <cellStyle name="Normal 120" xfId="2505" xr:uid="{00000000-0005-0000-0000-000089040000}"/>
    <cellStyle name="Normal 121" xfId="2506" xr:uid="{00000000-0005-0000-0000-00008A040000}"/>
    <cellStyle name="Normal 122" xfId="2507" xr:uid="{00000000-0005-0000-0000-00008B040000}"/>
    <cellStyle name="Normal 123" xfId="2508" xr:uid="{00000000-0005-0000-0000-00008C040000}"/>
    <cellStyle name="Normal 124" xfId="2540" xr:uid="{00000000-0005-0000-0000-00008D040000}"/>
    <cellStyle name="Normal 125" xfId="2541" xr:uid="{00000000-0005-0000-0000-00008E040000}"/>
    <cellStyle name="Normal 126" xfId="2542" xr:uid="{00000000-0005-0000-0000-00008F040000}"/>
    <cellStyle name="Normal 127" xfId="2574" xr:uid="{00000000-0005-0000-0000-000090040000}"/>
    <cellStyle name="Normal 128" xfId="2575" xr:uid="{00000000-0005-0000-0000-000091040000}"/>
    <cellStyle name="Normal 129" xfId="2576" xr:uid="{00000000-0005-0000-0000-000092040000}"/>
    <cellStyle name="Normal 13" xfId="500" xr:uid="{00000000-0005-0000-0000-000093040000}"/>
    <cellStyle name="Normal 13 2" xfId="1054" xr:uid="{00000000-0005-0000-0000-000094040000}"/>
    <cellStyle name="Normal 13 2 2" xfId="1181" xr:uid="{00000000-0005-0000-0000-000095040000}"/>
    <cellStyle name="Normal 13 2 3" xfId="1180" xr:uid="{00000000-0005-0000-0000-000096040000}"/>
    <cellStyle name="Normal 13 3" xfId="1182" xr:uid="{00000000-0005-0000-0000-000097040000}"/>
    <cellStyle name="Normal 13 4" xfId="1706" xr:uid="{00000000-0005-0000-0000-000098040000}"/>
    <cellStyle name="Normal 130" xfId="2577" xr:uid="{00000000-0005-0000-0000-000099040000}"/>
    <cellStyle name="Normal 131" xfId="2609" xr:uid="{00000000-0005-0000-0000-00009A040000}"/>
    <cellStyle name="Normal 132" xfId="2610" xr:uid="{00000000-0005-0000-0000-00009B040000}"/>
    <cellStyle name="Normal 133" xfId="2611" xr:uid="{00000000-0005-0000-0000-00009C040000}"/>
    <cellStyle name="Normal 134" xfId="2613" xr:uid="{00000000-0005-0000-0000-00009D040000}"/>
    <cellStyle name="Normal 135" xfId="2645" xr:uid="{00000000-0005-0000-0000-00009E040000}"/>
    <cellStyle name="Normal 136" xfId="2646" xr:uid="{00000000-0005-0000-0000-00009F040000}"/>
    <cellStyle name="Normal 137" xfId="2647" xr:uid="{00000000-0005-0000-0000-0000A0040000}"/>
    <cellStyle name="Normal 138" xfId="2648" xr:uid="{00000000-0005-0000-0000-00009B0A0000}"/>
    <cellStyle name="Normal 139" xfId="2680" xr:uid="{00000000-0005-0000-0000-0000AB0A0000}"/>
    <cellStyle name="Normal 14" xfId="24" xr:uid="{00000000-0005-0000-0000-0000A1040000}"/>
    <cellStyle name="Normal 14 2" xfId="1055" xr:uid="{00000000-0005-0000-0000-0000A2040000}"/>
    <cellStyle name="Normal 14 2 2" xfId="1707" xr:uid="{00000000-0005-0000-0000-0000A3040000}"/>
    <cellStyle name="Normal 14 2 3" xfId="1183" xr:uid="{00000000-0005-0000-0000-0000A4040000}"/>
    <cellStyle name="Normal 14 3" xfId="1184" xr:uid="{00000000-0005-0000-0000-0000A5040000}"/>
    <cellStyle name="Normal 14 4" xfId="1708" xr:uid="{00000000-0005-0000-0000-0000A6040000}"/>
    <cellStyle name="Normal 14_DGO" xfId="1709" xr:uid="{00000000-0005-0000-0000-0000A7040000}"/>
    <cellStyle name="Normal 140" xfId="2681" xr:uid="{00000000-0005-0000-0000-0000AC0A0000}"/>
    <cellStyle name="Normal 141" xfId="2682" xr:uid="{00000000-0005-0000-0000-0000AD0A0000}"/>
    <cellStyle name="Normal 142" xfId="2683" xr:uid="{00000000-0005-0000-0000-0000BE0A0000}"/>
    <cellStyle name="Normal 143" xfId="2715" xr:uid="{00000000-0005-0000-0000-0000CE0A0000}"/>
    <cellStyle name="Normal 144" xfId="2716" xr:uid="{00000000-0005-0000-0000-0000CF0A0000}"/>
    <cellStyle name="Normal 145" xfId="2717" xr:uid="{00000000-0005-0000-0000-0000D00A0000}"/>
    <cellStyle name="Normal 146" xfId="2718" xr:uid="{00000000-0005-0000-0000-0000E10A0000}"/>
    <cellStyle name="Normal 147" xfId="2750" xr:uid="{00000000-0005-0000-0000-0000F10A0000}"/>
    <cellStyle name="Normal 148" xfId="2751" xr:uid="{00000000-0005-0000-0000-0000020B0000}"/>
    <cellStyle name="Normal 149" xfId="2783" xr:uid="{00000000-0005-0000-0000-0000120B0000}"/>
    <cellStyle name="Normal 15" xfId="9" xr:uid="{00000000-0005-0000-0000-0000A8040000}"/>
    <cellStyle name="Normal 15 2" xfId="15" xr:uid="{00000000-0005-0000-0000-0000A9040000}"/>
    <cellStyle name="Normal 15 3" xfId="1056" xr:uid="{00000000-0005-0000-0000-0000AA040000}"/>
    <cellStyle name="Normal 150" xfId="2784" xr:uid="{00000000-0005-0000-0000-0000130B0000}"/>
    <cellStyle name="Normal 151" xfId="2785" xr:uid="{00000000-0005-0000-0000-0000140B0000}"/>
    <cellStyle name="Normal 152" xfId="2786" xr:uid="{00000000-0005-0000-0000-0000250B0000}"/>
    <cellStyle name="Normal 153" xfId="2818" xr:uid="{00000000-0005-0000-0000-0000350B0000}"/>
    <cellStyle name="Normal 154" xfId="2819" xr:uid="{00000000-0005-0000-0000-0000360B0000}"/>
    <cellStyle name="Normal 155" xfId="2820" xr:uid="{00000000-0005-0000-0000-0000370B0000}"/>
    <cellStyle name="Normal 16" xfId="501" xr:uid="{00000000-0005-0000-0000-0000AB040000}"/>
    <cellStyle name="Normal 16 2" xfId="502" xr:uid="{00000000-0005-0000-0000-0000AC040000}"/>
    <cellStyle name="Normal 16 2 2" xfId="1185" xr:uid="{00000000-0005-0000-0000-0000AD040000}"/>
    <cellStyle name="Normal 16 2 3" xfId="1186" xr:uid="{00000000-0005-0000-0000-0000AE040000}"/>
    <cellStyle name="Normal 16 2 4" xfId="1710" xr:uid="{00000000-0005-0000-0000-0000AF040000}"/>
    <cellStyle name="Normal 16 3" xfId="2003" xr:uid="{00000000-0005-0000-0000-0000B0040000}"/>
    <cellStyle name="Normal 17" xfId="503" xr:uid="{00000000-0005-0000-0000-0000B1040000}"/>
    <cellStyle name="Normal 17 2" xfId="1057" xr:uid="{00000000-0005-0000-0000-0000B2040000}"/>
    <cellStyle name="Normal 17 2 2" xfId="1187" xr:uid="{00000000-0005-0000-0000-0000B3040000}"/>
    <cellStyle name="Normal 17 3" xfId="1188" xr:uid="{00000000-0005-0000-0000-0000B4040000}"/>
    <cellStyle name="Normal 17 4" xfId="1711" xr:uid="{00000000-0005-0000-0000-0000B5040000}"/>
    <cellStyle name="Normal 18" xfId="504" xr:uid="{00000000-0005-0000-0000-0000B6040000}"/>
    <cellStyle name="Normal 18 2" xfId="1058" xr:uid="{00000000-0005-0000-0000-0000B7040000}"/>
    <cellStyle name="Normal 18 2 2" xfId="1189" xr:uid="{00000000-0005-0000-0000-0000B8040000}"/>
    <cellStyle name="Normal 18 3" xfId="1190" xr:uid="{00000000-0005-0000-0000-0000B9040000}"/>
    <cellStyle name="Normal 18 4" xfId="1712" xr:uid="{00000000-0005-0000-0000-0000BA040000}"/>
    <cellStyle name="Normal 19" xfId="505" xr:uid="{00000000-0005-0000-0000-0000BB040000}"/>
    <cellStyle name="Normal 19 2" xfId="506" xr:uid="{00000000-0005-0000-0000-0000BC040000}"/>
    <cellStyle name="Normal 19 2 2" xfId="1191" xr:uid="{00000000-0005-0000-0000-0000BD040000}"/>
    <cellStyle name="Normal 19 2 3" xfId="1192" xr:uid="{00000000-0005-0000-0000-0000BE040000}"/>
    <cellStyle name="Normal 19 2 4" xfId="1713" xr:uid="{00000000-0005-0000-0000-0000BF040000}"/>
    <cellStyle name="Normal 19 3" xfId="1059" xr:uid="{00000000-0005-0000-0000-0000C0040000}"/>
    <cellStyle name="Normal 19 3 2" xfId="1193" xr:uid="{00000000-0005-0000-0000-0000C1040000}"/>
    <cellStyle name="Normal 19 4" xfId="1194" xr:uid="{00000000-0005-0000-0000-0000C2040000}"/>
    <cellStyle name="Normal 19 5" xfId="1714" xr:uid="{00000000-0005-0000-0000-0000C3040000}"/>
    <cellStyle name="Normal 19_DGO" xfId="1715" xr:uid="{00000000-0005-0000-0000-0000C4040000}"/>
    <cellStyle name="Normal 2" xfId="7" xr:uid="{00000000-0005-0000-0000-0000C5040000}"/>
    <cellStyle name="Normal 2 10" xfId="27" xr:uid="{00000000-0005-0000-0000-0000C6040000}"/>
    <cellStyle name="Normal 2 10 2" xfId="507" xr:uid="{00000000-0005-0000-0000-0000C7040000}"/>
    <cellStyle name="Normal 2 10 3" xfId="2004" xr:uid="{00000000-0005-0000-0000-0000C8040000}"/>
    <cellStyle name="Normal 2 11" xfId="508" xr:uid="{00000000-0005-0000-0000-0000C9040000}"/>
    <cellStyle name="Normal 2 11 2" xfId="509" xr:uid="{00000000-0005-0000-0000-0000CA040000}"/>
    <cellStyle name="Normal 2 11 3" xfId="2005" xr:uid="{00000000-0005-0000-0000-0000CB040000}"/>
    <cellStyle name="Normal 2 12" xfId="510" xr:uid="{00000000-0005-0000-0000-0000CC040000}"/>
    <cellStyle name="Normal 2 12 2" xfId="511" xr:uid="{00000000-0005-0000-0000-0000CD040000}"/>
    <cellStyle name="Normal 2 12 3" xfId="512" xr:uid="{00000000-0005-0000-0000-0000CE040000}"/>
    <cellStyle name="Normal 2 12 3 2" xfId="2006" xr:uid="{00000000-0005-0000-0000-0000CF040000}"/>
    <cellStyle name="Normal 2 12 4" xfId="2007" xr:uid="{00000000-0005-0000-0000-0000D0040000}"/>
    <cellStyle name="Normal 2 13" xfId="513" xr:uid="{00000000-0005-0000-0000-0000D1040000}"/>
    <cellStyle name="Normal 2 13 2" xfId="514" xr:uid="{00000000-0005-0000-0000-0000D2040000}"/>
    <cellStyle name="Normal 2 13 3" xfId="2008" xr:uid="{00000000-0005-0000-0000-0000D3040000}"/>
    <cellStyle name="Normal 2 14" xfId="515" xr:uid="{00000000-0005-0000-0000-0000D4040000}"/>
    <cellStyle name="Normal 2 14 2" xfId="516" xr:uid="{00000000-0005-0000-0000-0000D5040000}"/>
    <cellStyle name="Normal 2 14 3" xfId="2009" xr:uid="{00000000-0005-0000-0000-0000D6040000}"/>
    <cellStyle name="Normal 2 15" xfId="517" xr:uid="{00000000-0005-0000-0000-0000D7040000}"/>
    <cellStyle name="Normal 2 15 2" xfId="518" xr:uid="{00000000-0005-0000-0000-0000D8040000}"/>
    <cellStyle name="Normal 2 15 3" xfId="2010" xr:uid="{00000000-0005-0000-0000-0000D9040000}"/>
    <cellStyle name="Normal 2 16" xfId="519" xr:uid="{00000000-0005-0000-0000-0000DA040000}"/>
    <cellStyle name="Normal 2 16 2" xfId="520" xr:uid="{00000000-0005-0000-0000-0000DB040000}"/>
    <cellStyle name="Normal 2 16 3" xfId="2011" xr:uid="{00000000-0005-0000-0000-0000DC040000}"/>
    <cellStyle name="Normal 2 17" xfId="521" xr:uid="{00000000-0005-0000-0000-0000DD040000}"/>
    <cellStyle name="Normal 2 17 2" xfId="522" xr:uid="{00000000-0005-0000-0000-0000DE040000}"/>
    <cellStyle name="Normal 2 17 3" xfId="2012" xr:uid="{00000000-0005-0000-0000-0000DF040000}"/>
    <cellStyle name="Normal 2 18" xfId="523" xr:uid="{00000000-0005-0000-0000-0000E0040000}"/>
    <cellStyle name="Normal 2 18 2" xfId="2013" xr:uid="{00000000-0005-0000-0000-0000E1040000}"/>
    <cellStyle name="Normal 2 19" xfId="524" xr:uid="{00000000-0005-0000-0000-0000E2040000}"/>
    <cellStyle name="Normal 2 2" xfId="12" xr:uid="{00000000-0005-0000-0000-0000E3040000}"/>
    <cellStyle name="Normal 2 2 10" xfId="525" xr:uid="{00000000-0005-0000-0000-0000E4040000}"/>
    <cellStyle name="Normal 2 2 11" xfId="526" xr:uid="{00000000-0005-0000-0000-0000E5040000}"/>
    <cellStyle name="Normal 2 2 12" xfId="527" xr:uid="{00000000-0005-0000-0000-0000E6040000}"/>
    <cellStyle name="Normal 2 2 12 2" xfId="2014" xr:uid="{00000000-0005-0000-0000-0000E7040000}"/>
    <cellStyle name="Normal 2 2 13" xfId="1471" xr:uid="{00000000-0005-0000-0000-0000E8040000}"/>
    <cellStyle name="Normal 2 2 2" xfId="528" xr:uid="{00000000-0005-0000-0000-0000E9040000}"/>
    <cellStyle name="Normal 2 2 2 2" xfId="529" xr:uid="{00000000-0005-0000-0000-0000EA040000}"/>
    <cellStyle name="Normal 2 2 2 2 2" xfId="530" xr:uid="{00000000-0005-0000-0000-0000EB040000}"/>
    <cellStyle name="Normal 2 2 2 2 3" xfId="531" xr:uid="{00000000-0005-0000-0000-0000EC040000}"/>
    <cellStyle name="Normal 2 2 2 2 4" xfId="532" xr:uid="{00000000-0005-0000-0000-0000ED040000}"/>
    <cellStyle name="Normal 2 2 2 2 5" xfId="974" xr:uid="{00000000-0005-0000-0000-0000EE040000}"/>
    <cellStyle name="Normal 2 2 2 2 5 2" xfId="1195" xr:uid="{00000000-0005-0000-0000-0000EF040000}"/>
    <cellStyle name="Normal 2 2 2 2 6" xfId="1196" xr:uid="{00000000-0005-0000-0000-0000F0040000}"/>
    <cellStyle name="Normal 2 2 2 2 7" xfId="1716" xr:uid="{00000000-0005-0000-0000-0000F1040000}"/>
    <cellStyle name="Normal 2 2 2 2_DGO" xfId="1717" xr:uid="{00000000-0005-0000-0000-0000F2040000}"/>
    <cellStyle name="Normal 2 2 2 3" xfId="533" xr:uid="{00000000-0005-0000-0000-0000F3040000}"/>
    <cellStyle name="Normal 2 2 2 3 2" xfId="975" xr:uid="{00000000-0005-0000-0000-0000F4040000}"/>
    <cellStyle name="Normal 2 2 2 3 2 2" xfId="1197" xr:uid="{00000000-0005-0000-0000-0000F5040000}"/>
    <cellStyle name="Normal 2 2 2 3 3" xfId="1198" xr:uid="{00000000-0005-0000-0000-0000F6040000}"/>
    <cellStyle name="Normal 2 2 2 3 4" xfId="1718" xr:uid="{00000000-0005-0000-0000-0000F7040000}"/>
    <cellStyle name="Normal 2 2 2 4" xfId="534" xr:uid="{00000000-0005-0000-0000-0000F8040000}"/>
    <cellStyle name="Normal 2 2 2 4 2" xfId="976" xr:uid="{00000000-0005-0000-0000-0000F9040000}"/>
    <cellStyle name="Normal 2 2 2 4 2 2" xfId="1199" xr:uid="{00000000-0005-0000-0000-0000FA040000}"/>
    <cellStyle name="Normal 2 2 2 4 3" xfId="1200" xr:uid="{00000000-0005-0000-0000-0000FB040000}"/>
    <cellStyle name="Normal 2 2 2 4 4" xfId="1719" xr:uid="{00000000-0005-0000-0000-0000FC040000}"/>
    <cellStyle name="Normal 2 2 2 5" xfId="977" xr:uid="{00000000-0005-0000-0000-0000FD040000}"/>
    <cellStyle name="Normal 2 2 2 6" xfId="978" xr:uid="{00000000-0005-0000-0000-0000FE040000}"/>
    <cellStyle name="Normal 2 2 2 7" xfId="979" xr:uid="{00000000-0005-0000-0000-0000FF040000}"/>
    <cellStyle name="Normal 2 2 2 8" xfId="973" xr:uid="{00000000-0005-0000-0000-000000050000}"/>
    <cellStyle name="Normal 2 2 3" xfId="535" xr:uid="{00000000-0005-0000-0000-000001050000}"/>
    <cellStyle name="Normal 2 2 3 2" xfId="536" xr:uid="{00000000-0005-0000-0000-000002050000}"/>
    <cellStyle name="Normal 2 2 3 2 2" xfId="980" xr:uid="{00000000-0005-0000-0000-000003050000}"/>
    <cellStyle name="Normal 2 2 3 3" xfId="537" xr:uid="{00000000-0005-0000-0000-000004050000}"/>
    <cellStyle name="Normal 2 2 3 3 2" xfId="981" xr:uid="{00000000-0005-0000-0000-000005050000}"/>
    <cellStyle name="Normal 2 2 3 4" xfId="982" xr:uid="{00000000-0005-0000-0000-000006050000}"/>
    <cellStyle name="Normal 2 2 3 4 2" xfId="2015" xr:uid="{00000000-0005-0000-0000-000007050000}"/>
    <cellStyle name="Normal 2 2 3 5" xfId="983" xr:uid="{00000000-0005-0000-0000-000008050000}"/>
    <cellStyle name="Normal 2 2 3 5 2" xfId="2016" xr:uid="{00000000-0005-0000-0000-000009050000}"/>
    <cellStyle name="Normal 2 2 3 6" xfId="984" xr:uid="{00000000-0005-0000-0000-00000A050000}"/>
    <cellStyle name="Normal 2 2 3 6 2" xfId="2017" xr:uid="{00000000-0005-0000-0000-00000B050000}"/>
    <cellStyle name="Normal 2 2 3 7" xfId="985" xr:uid="{00000000-0005-0000-0000-00000C050000}"/>
    <cellStyle name="Normal 2 2 3 7 2" xfId="2018" xr:uid="{00000000-0005-0000-0000-00000D050000}"/>
    <cellStyle name="Normal 2 2 3 8" xfId="2019" xr:uid="{00000000-0005-0000-0000-00000E050000}"/>
    <cellStyle name="Normal 2 2 4" xfId="538" xr:uid="{00000000-0005-0000-0000-00000F050000}"/>
    <cellStyle name="Normal 2 2 5" xfId="539" xr:uid="{00000000-0005-0000-0000-000010050000}"/>
    <cellStyle name="Normal 2 2 6" xfId="540" xr:uid="{00000000-0005-0000-0000-000011050000}"/>
    <cellStyle name="Normal 2 2 7" xfId="541" xr:uid="{00000000-0005-0000-0000-000012050000}"/>
    <cellStyle name="Normal 2 2 8" xfId="542" xr:uid="{00000000-0005-0000-0000-000013050000}"/>
    <cellStyle name="Normal 2 2 9" xfId="543" xr:uid="{00000000-0005-0000-0000-000014050000}"/>
    <cellStyle name="Normal 2 20" xfId="1201" xr:uid="{00000000-0005-0000-0000-000015050000}"/>
    <cellStyle name="Normal 2 20 2" xfId="2020" xr:uid="{00000000-0005-0000-0000-000016050000}"/>
    <cellStyle name="Normal 2 3" xfId="16" xr:uid="{00000000-0005-0000-0000-000017050000}"/>
    <cellStyle name="Normal 2 3 2" xfId="29" xr:uid="{00000000-0005-0000-0000-000018050000}"/>
    <cellStyle name="Normal 2 3 2 2" xfId="987" xr:uid="{00000000-0005-0000-0000-000019050000}"/>
    <cellStyle name="Normal 2 3 2 2 2" xfId="2021" xr:uid="{00000000-0005-0000-0000-00001A050000}"/>
    <cellStyle name="Normal 2 3 2 3" xfId="988" xr:uid="{00000000-0005-0000-0000-00001B050000}"/>
    <cellStyle name="Normal 2 3 2 3 2" xfId="2022" xr:uid="{00000000-0005-0000-0000-00001C050000}"/>
    <cellStyle name="Normal 2 3 2 4" xfId="989" xr:uid="{00000000-0005-0000-0000-00001D050000}"/>
    <cellStyle name="Normal 2 3 2 4 2" xfId="2023" xr:uid="{00000000-0005-0000-0000-00001E050000}"/>
    <cellStyle name="Normal 2 3 2 5" xfId="990" xr:uid="{00000000-0005-0000-0000-00001F050000}"/>
    <cellStyle name="Normal 2 3 2 5 2" xfId="2024" xr:uid="{00000000-0005-0000-0000-000020050000}"/>
    <cellStyle name="Normal 2 3 2 6" xfId="991" xr:uid="{00000000-0005-0000-0000-000021050000}"/>
    <cellStyle name="Normal 2 3 2 6 2" xfId="2025" xr:uid="{00000000-0005-0000-0000-000022050000}"/>
    <cellStyle name="Normal 2 3 2 7" xfId="992" xr:uid="{00000000-0005-0000-0000-000023050000}"/>
    <cellStyle name="Normal 2 3 2 7 2" xfId="2026" xr:uid="{00000000-0005-0000-0000-000024050000}"/>
    <cellStyle name="Normal 2 3 2 8" xfId="986" xr:uid="{00000000-0005-0000-0000-000025050000}"/>
    <cellStyle name="Normal 2 3 2 8 2" xfId="2027" xr:uid="{00000000-0005-0000-0000-000026050000}"/>
    <cellStyle name="Normal 2 3 3" xfId="544" xr:uid="{00000000-0005-0000-0000-000027050000}"/>
    <cellStyle name="Normal 2 3 3 2" xfId="2028" xr:uid="{00000000-0005-0000-0000-000028050000}"/>
    <cellStyle name="Normal 2 3 4" xfId="993" xr:uid="{00000000-0005-0000-0000-000029050000}"/>
    <cellStyle name="Normal 2 3 5" xfId="994" xr:uid="{00000000-0005-0000-0000-00002A050000}"/>
    <cellStyle name="Normal 2 3 6" xfId="995" xr:uid="{00000000-0005-0000-0000-00002B050000}"/>
    <cellStyle name="Normal 2 3 7" xfId="996" xr:uid="{00000000-0005-0000-0000-00002C050000}"/>
    <cellStyle name="Normal 2 3 8" xfId="997" xr:uid="{00000000-0005-0000-0000-00002D050000}"/>
    <cellStyle name="Normal 2 4" xfId="545" xr:uid="{00000000-0005-0000-0000-00002E050000}"/>
    <cellStyle name="Normal 2 4 2" xfId="546" xr:uid="{00000000-0005-0000-0000-00002F050000}"/>
    <cellStyle name="Normal 2 4 2 2" xfId="2029" xr:uid="{00000000-0005-0000-0000-000030050000}"/>
    <cellStyle name="Normal 2 4 3" xfId="547" xr:uid="{00000000-0005-0000-0000-000031050000}"/>
    <cellStyle name="Normal 2 4 4" xfId="2030" xr:uid="{00000000-0005-0000-0000-000032050000}"/>
    <cellStyle name="Normal 2 5" xfId="548" xr:uid="{00000000-0005-0000-0000-000033050000}"/>
    <cellStyle name="Normal 2 5 2" xfId="549" xr:uid="{00000000-0005-0000-0000-000034050000}"/>
    <cellStyle name="Normal 2 5 3" xfId="999" xr:uid="{00000000-0005-0000-0000-000035050000}"/>
    <cellStyle name="Normal 2 5 3 2" xfId="1204" xr:uid="{00000000-0005-0000-0000-000036050000}"/>
    <cellStyle name="Normal 2 5 4" xfId="1205" xr:uid="{00000000-0005-0000-0000-000037050000}"/>
    <cellStyle name="Normal 2 5_DGO" xfId="1720" xr:uid="{00000000-0005-0000-0000-000038050000}"/>
    <cellStyle name="Normal 2 6" xfId="550" xr:uid="{00000000-0005-0000-0000-000039050000}"/>
    <cellStyle name="Normal 2 6 2" xfId="551" xr:uid="{00000000-0005-0000-0000-00003A050000}"/>
    <cellStyle name="Normal 2 6 3" xfId="1000" xr:uid="{00000000-0005-0000-0000-00003B050000}"/>
    <cellStyle name="Normal 2 7" xfId="552" xr:uid="{00000000-0005-0000-0000-00003C050000}"/>
    <cellStyle name="Normal 2 7 2" xfId="553" xr:uid="{00000000-0005-0000-0000-00003D050000}"/>
    <cellStyle name="Normal 2 7 3" xfId="1001" xr:uid="{00000000-0005-0000-0000-00003E050000}"/>
    <cellStyle name="Normal 2 7 3 2" xfId="2031" xr:uid="{00000000-0005-0000-0000-00003F050000}"/>
    <cellStyle name="Normal 2 8" xfId="554" xr:uid="{00000000-0005-0000-0000-000040050000}"/>
    <cellStyle name="Normal 2 8 2" xfId="555" xr:uid="{00000000-0005-0000-0000-000041050000}"/>
    <cellStyle name="Normal 2 8 3" xfId="2032" xr:uid="{00000000-0005-0000-0000-000042050000}"/>
    <cellStyle name="Normal 2 9" xfId="556" xr:uid="{00000000-0005-0000-0000-000043050000}"/>
    <cellStyle name="Normal 2 9 2" xfId="557" xr:uid="{00000000-0005-0000-0000-000044050000}"/>
    <cellStyle name="Normal 2 9 3" xfId="2033" xr:uid="{00000000-0005-0000-0000-000045050000}"/>
    <cellStyle name="Normal 2_2012-2016 Prestações Desemprego_6_Março" xfId="1721" xr:uid="{00000000-0005-0000-0000-000046050000}"/>
    <cellStyle name="Normal 20" xfId="558" xr:uid="{00000000-0005-0000-0000-000047050000}"/>
    <cellStyle name="Normal 20 2" xfId="559" xr:uid="{00000000-0005-0000-0000-000048050000}"/>
    <cellStyle name="Normal 20 2 2" xfId="1206" xr:uid="{00000000-0005-0000-0000-000049050000}"/>
    <cellStyle name="Normal 20 2 3" xfId="1207" xr:uid="{00000000-0005-0000-0000-00004A050000}"/>
    <cellStyle name="Normal 20 2 4" xfId="1722" xr:uid="{00000000-0005-0000-0000-00004B050000}"/>
    <cellStyle name="Normal 20 3" xfId="1060" xr:uid="{00000000-0005-0000-0000-00004C050000}"/>
    <cellStyle name="Normal 20 3 2" xfId="1208" xr:uid="{00000000-0005-0000-0000-00004D050000}"/>
    <cellStyle name="Normal 20 4" xfId="1209" xr:uid="{00000000-0005-0000-0000-00004E050000}"/>
    <cellStyle name="Normal 20 5" xfId="1723" xr:uid="{00000000-0005-0000-0000-00004F050000}"/>
    <cellStyle name="Normal 20_DGO" xfId="1724" xr:uid="{00000000-0005-0000-0000-000050050000}"/>
    <cellStyle name="Normal 21" xfId="560" xr:uid="{00000000-0005-0000-0000-000051050000}"/>
    <cellStyle name="Normal 21 2" xfId="1061" xr:uid="{00000000-0005-0000-0000-000052050000}"/>
    <cellStyle name="Normal 21 2 2" xfId="1210" xr:uid="{00000000-0005-0000-0000-000053050000}"/>
    <cellStyle name="Normal 21 3" xfId="1211" xr:uid="{00000000-0005-0000-0000-000054050000}"/>
    <cellStyle name="Normal 21 4" xfId="1725" xr:uid="{00000000-0005-0000-0000-000055050000}"/>
    <cellStyle name="Normal 22" xfId="561" xr:uid="{00000000-0005-0000-0000-000056050000}"/>
    <cellStyle name="Normal 22 2" xfId="1062" xr:uid="{00000000-0005-0000-0000-000057050000}"/>
    <cellStyle name="Normal 22 2 2" xfId="2034" xr:uid="{00000000-0005-0000-0000-000058050000}"/>
    <cellStyle name="Normal 23" xfId="562" xr:uid="{00000000-0005-0000-0000-000059050000}"/>
    <cellStyle name="Normal 23 2" xfId="1063" xr:uid="{00000000-0005-0000-0000-00005A050000}"/>
    <cellStyle name="Normal 24" xfId="563" xr:uid="{00000000-0005-0000-0000-00005B050000}"/>
    <cellStyle name="Normal 24 2" xfId="1079" xr:uid="{00000000-0005-0000-0000-00005C050000}"/>
    <cellStyle name="Normal 24 2 2" xfId="2035" xr:uid="{00000000-0005-0000-0000-00005D050000}"/>
    <cellStyle name="Normal 25" xfId="564" xr:uid="{00000000-0005-0000-0000-00005E050000}"/>
    <cellStyle name="Normal 25 2" xfId="2036" xr:uid="{00000000-0005-0000-0000-00005F050000}"/>
    <cellStyle name="Normal 26" xfId="565" xr:uid="{00000000-0005-0000-0000-000060050000}"/>
    <cellStyle name="Normal 26 2" xfId="2037" xr:uid="{00000000-0005-0000-0000-000061050000}"/>
    <cellStyle name="Normal 27" xfId="566" xr:uid="{00000000-0005-0000-0000-000062050000}"/>
    <cellStyle name="Normal 27 2" xfId="2038" xr:uid="{00000000-0005-0000-0000-000063050000}"/>
    <cellStyle name="Normal 28" xfId="567" xr:uid="{00000000-0005-0000-0000-000064050000}"/>
    <cellStyle name="Normal 28 2" xfId="1003" xr:uid="{00000000-0005-0000-0000-000065050000}"/>
    <cellStyle name="Normal 28 2 2" xfId="1212" xr:uid="{00000000-0005-0000-0000-000066050000}"/>
    <cellStyle name="Normal 28 2 3" xfId="1726" xr:uid="{00000000-0005-0000-0000-000067050000}"/>
    <cellStyle name="Normal 28 3" xfId="1002" xr:uid="{00000000-0005-0000-0000-000068050000}"/>
    <cellStyle name="Normal 28 3 2" xfId="2039" xr:uid="{00000000-0005-0000-0000-000069050000}"/>
    <cellStyle name="Normal 29" xfId="568" xr:uid="{00000000-0005-0000-0000-00006A050000}"/>
    <cellStyle name="Normal 29 2" xfId="2040" xr:uid="{00000000-0005-0000-0000-00006B050000}"/>
    <cellStyle name="Normal 3" xfId="569" xr:uid="{00000000-0005-0000-0000-00006C050000}"/>
    <cellStyle name="Normal 3 10" xfId="570" xr:uid="{00000000-0005-0000-0000-00006D050000}"/>
    <cellStyle name="Normal 3 11" xfId="571" xr:uid="{00000000-0005-0000-0000-00006E050000}"/>
    <cellStyle name="Normal 3 12" xfId="572" xr:uid="{00000000-0005-0000-0000-00006F050000}"/>
    <cellStyle name="Normal 3 13" xfId="573" xr:uid="{00000000-0005-0000-0000-000070050000}"/>
    <cellStyle name="Normal 3 14" xfId="574" xr:uid="{00000000-0005-0000-0000-000071050000}"/>
    <cellStyle name="Normal 3 15" xfId="575" xr:uid="{00000000-0005-0000-0000-000072050000}"/>
    <cellStyle name="Normal 3 15 2" xfId="1213" xr:uid="{00000000-0005-0000-0000-000073050000}"/>
    <cellStyle name="Normal 3 15 3" xfId="1214" xr:uid="{00000000-0005-0000-0000-000074050000}"/>
    <cellStyle name="Normal 3 15 4" xfId="1727" xr:uid="{00000000-0005-0000-0000-000075050000}"/>
    <cellStyle name="Normal 3 16" xfId="2041" xr:uid="{00000000-0005-0000-0000-000076050000}"/>
    <cellStyle name="Normal 3 17" xfId="2320" xr:uid="{00000000-0005-0000-0000-000077050000}"/>
    <cellStyle name="Normal 3 2" xfId="576" xr:uid="{00000000-0005-0000-0000-000078050000}"/>
    <cellStyle name="Normal 3 2 10" xfId="1215" xr:uid="{00000000-0005-0000-0000-000079050000}"/>
    <cellStyle name="Normal 3 2 11" xfId="1216" xr:uid="{00000000-0005-0000-0000-00007A050000}"/>
    <cellStyle name="Normal 3 2 2" xfId="577" xr:uid="{00000000-0005-0000-0000-00007B050000}"/>
    <cellStyle name="Normal 3 2 2 2" xfId="578" xr:uid="{00000000-0005-0000-0000-00007C050000}"/>
    <cellStyle name="Normal 3 2 2 2 2" xfId="579" xr:uid="{00000000-0005-0000-0000-00007D050000}"/>
    <cellStyle name="Normal 3 2 2 2 2 2" xfId="1217" xr:uid="{00000000-0005-0000-0000-00007E050000}"/>
    <cellStyle name="Normal 3 2 2 2 2 3" xfId="1218" xr:uid="{00000000-0005-0000-0000-00007F050000}"/>
    <cellStyle name="Normal 3 2 2 2 2 4" xfId="1728" xr:uid="{00000000-0005-0000-0000-000080050000}"/>
    <cellStyle name="Normal 3 2 2 2 3" xfId="1219" xr:uid="{00000000-0005-0000-0000-000081050000}"/>
    <cellStyle name="Normal 3 2 2 2 4" xfId="1220" xr:uid="{00000000-0005-0000-0000-000082050000}"/>
    <cellStyle name="Normal 3 2 2 2 5" xfId="1729" xr:uid="{00000000-0005-0000-0000-000083050000}"/>
    <cellStyle name="Normal 3 2 2 2_DGO" xfId="1730" xr:uid="{00000000-0005-0000-0000-000084050000}"/>
    <cellStyle name="Normal 3 2 2 3" xfId="580" xr:uid="{00000000-0005-0000-0000-000085050000}"/>
    <cellStyle name="Normal 3 2 2 3 2" xfId="581" xr:uid="{00000000-0005-0000-0000-000086050000}"/>
    <cellStyle name="Normal 3 2 2 3 2 2" xfId="1221" xr:uid="{00000000-0005-0000-0000-000087050000}"/>
    <cellStyle name="Normal 3 2 2 3 2 3" xfId="1222" xr:uid="{00000000-0005-0000-0000-000088050000}"/>
    <cellStyle name="Normal 3 2 2 3 2 4" xfId="1731" xr:uid="{00000000-0005-0000-0000-000089050000}"/>
    <cellStyle name="Normal 3 2 2 3_DGO" xfId="1732" xr:uid="{00000000-0005-0000-0000-00008A050000}"/>
    <cellStyle name="Normal 3 2 2 4" xfId="582" xr:uid="{00000000-0005-0000-0000-00008B050000}"/>
    <cellStyle name="Normal 3 2 2 4 2" xfId="1223" xr:uid="{00000000-0005-0000-0000-00008C050000}"/>
    <cellStyle name="Normal 3 2 2 4 3" xfId="1224" xr:uid="{00000000-0005-0000-0000-00008D050000}"/>
    <cellStyle name="Normal 3 2 2 4 4" xfId="1733" xr:uid="{00000000-0005-0000-0000-00008E050000}"/>
    <cellStyle name="Normal 3 2 2 5" xfId="583" xr:uid="{00000000-0005-0000-0000-00008F050000}"/>
    <cellStyle name="Normal 3 2 2 6" xfId="1225" xr:uid="{00000000-0005-0000-0000-000090050000}"/>
    <cellStyle name="Normal 3 2 2 7" xfId="1226" xr:uid="{00000000-0005-0000-0000-000091050000}"/>
    <cellStyle name="Normal 3 2 2_DGO" xfId="1734" xr:uid="{00000000-0005-0000-0000-000092050000}"/>
    <cellStyle name="Normal 3 2 3" xfId="19" xr:uid="{00000000-0005-0000-0000-000093050000}"/>
    <cellStyle name="Normal 3 2 3 10" xfId="1735" xr:uid="{00000000-0005-0000-0000-000094050000}"/>
    <cellStyle name="Normal 3 2 3 2" xfId="584" xr:uid="{00000000-0005-0000-0000-000095050000}"/>
    <cellStyle name="Normal 3 2 3 2 2" xfId="585" xr:uid="{00000000-0005-0000-0000-000096050000}"/>
    <cellStyle name="Normal 3 2 3 2 2 2" xfId="1227" xr:uid="{00000000-0005-0000-0000-000097050000}"/>
    <cellStyle name="Normal 3 2 3 2 2 3" xfId="1228" xr:uid="{00000000-0005-0000-0000-000098050000}"/>
    <cellStyle name="Normal 3 2 3 2 2 4" xfId="1736" xr:uid="{00000000-0005-0000-0000-000099050000}"/>
    <cellStyle name="Normal 3 2 3 2 3" xfId="1229" xr:uid="{00000000-0005-0000-0000-00009A050000}"/>
    <cellStyle name="Normal 3 2 3 2 3 2" xfId="1230" xr:uid="{00000000-0005-0000-0000-00009B050000}"/>
    <cellStyle name="Normal 3 2 3 2 4" xfId="1231" xr:uid="{00000000-0005-0000-0000-00009C050000}"/>
    <cellStyle name="Normal 3 2 3 2 5" xfId="1737" xr:uid="{00000000-0005-0000-0000-00009D050000}"/>
    <cellStyle name="Normal 3 2 3 2_DGO" xfId="1738" xr:uid="{00000000-0005-0000-0000-00009E050000}"/>
    <cellStyle name="Normal 3 2 3 3" xfId="586" xr:uid="{00000000-0005-0000-0000-00009F050000}"/>
    <cellStyle name="Normal 3 2 3 3 2" xfId="587" xr:uid="{00000000-0005-0000-0000-0000A0050000}"/>
    <cellStyle name="Normal 3 2 3 3 2 2" xfId="1232" xr:uid="{00000000-0005-0000-0000-0000A1050000}"/>
    <cellStyle name="Normal 3 2 3 3 2 3" xfId="1233" xr:uid="{00000000-0005-0000-0000-0000A2050000}"/>
    <cellStyle name="Normal 3 2 3 3 2 4" xfId="1739" xr:uid="{00000000-0005-0000-0000-0000A3050000}"/>
    <cellStyle name="Normal 3 2 3 3 3" xfId="1234" xr:uid="{00000000-0005-0000-0000-0000A4050000}"/>
    <cellStyle name="Normal 3 2 3 3 4" xfId="1235" xr:uid="{00000000-0005-0000-0000-0000A5050000}"/>
    <cellStyle name="Normal 3 2 3 3 5" xfId="1740" xr:uid="{00000000-0005-0000-0000-0000A6050000}"/>
    <cellStyle name="Normal 3 2 3 3_DGO" xfId="1741" xr:uid="{00000000-0005-0000-0000-0000A7050000}"/>
    <cellStyle name="Normal 3 2 3 4" xfId="588" xr:uid="{00000000-0005-0000-0000-0000A8050000}"/>
    <cellStyle name="Normal 3 2 3 4 2" xfId="589" xr:uid="{00000000-0005-0000-0000-0000A9050000}"/>
    <cellStyle name="Normal 3 2 3 4 2 2" xfId="1236" xr:uid="{00000000-0005-0000-0000-0000AA050000}"/>
    <cellStyle name="Normal 3 2 3 4 2 3" xfId="1237" xr:uid="{00000000-0005-0000-0000-0000AB050000}"/>
    <cellStyle name="Normal 3 2 3 4 2 4" xfId="1742" xr:uid="{00000000-0005-0000-0000-0000AC050000}"/>
    <cellStyle name="Normal 3 2 3 4 3" xfId="590" xr:uid="{00000000-0005-0000-0000-0000AD050000}"/>
    <cellStyle name="Normal 3 2 3 4 3 2" xfId="591" xr:uid="{00000000-0005-0000-0000-0000AE050000}"/>
    <cellStyle name="Normal 3 2 3 4 3 2 2" xfId="1238" xr:uid="{00000000-0005-0000-0000-0000AF050000}"/>
    <cellStyle name="Normal 3 2 3 4 3 2 3" xfId="1239" xr:uid="{00000000-0005-0000-0000-0000B0050000}"/>
    <cellStyle name="Normal 3 2 3 4 3 2 4" xfId="1743" xr:uid="{00000000-0005-0000-0000-0000B1050000}"/>
    <cellStyle name="Normal 3 2 3 4 3 3" xfId="1240" xr:uid="{00000000-0005-0000-0000-0000B2050000}"/>
    <cellStyle name="Normal 3 2 3 4 3 4" xfId="1241" xr:uid="{00000000-0005-0000-0000-0000B3050000}"/>
    <cellStyle name="Normal 3 2 3 4 3 5" xfId="1744" xr:uid="{00000000-0005-0000-0000-0000B4050000}"/>
    <cellStyle name="Normal 3 2 3 4 3_DGO" xfId="1745" xr:uid="{00000000-0005-0000-0000-0000B5050000}"/>
    <cellStyle name="Normal 3 2 3 4 4" xfId="1242" xr:uid="{00000000-0005-0000-0000-0000B6050000}"/>
    <cellStyle name="Normal 3 2 3 4 5" xfId="1243" xr:uid="{00000000-0005-0000-0000-0000B7050000}"/>
    <cellStyle name="Normal 3 2 3 4 6" xfId="1746" xr:uid="{00000000-0005-0000-0000-0000B8050000}"/>
    <cellStyle name="Normal 3 2 3 4_DGO" xfId="1747" xr:uid="{00000000-0005-0000-0000-0000B9050000}"/>
    <cellStyle name="Normal 3 2 3 5" xfId="592" xr:uid="{00000000-0005-0000-0000-0000BA050000}"/>
    <cellStyle name="Normal 3 2 3 5 2" xfId="593" xr:uid="{00000000-0005-0000-0000-0000BB050000}"/>
    <cellStyle name="Normal 3 2 3 5 2 2" xfId="1244" xr:uid="{00000000-0005-0000-0000-0000BC050000}"/>
    <cellStyle name="Normal 3 2 3 5 2 3" xfId="1245" xr:uid="{00000000-0005-0000-0000-0000BD050000}"/>
    <cellStyle name="Normal 3 2 3 5 2 4" xfId="1748" xr:uid="{00000000-0005-0000-0000-0000BE050000}"/>
    <cellStyle name="Normal 3 2 3 5 3" xfId="594" xr:uid="{00000000-0005-0000-0000-0000BF050000}"/>
    <cellStyle name="Normal 3 2 3 5 3 2" xfId="1246" xr:uid="{00000000-0005-0000-0000-0000C0050000}"/>
    <cellStyle name="Normal 3 2 3 5 3 3" xfId="1247" xr:uid="{00000000-0005-0000-0000-0000C1050000}"/>
    <cellStyle name="Normal 3 2 3 5 3 4" xfId="1749" xr:uid="{00000000-0005-0000-0000-0000C2050000}"/>
    <cellStyle name="Normal 3 2 3 5 4" xfId="1248" xr:uid="{00000000-0005-0000-0000-0000C3050000}"/>
    <cellStyle name="Normal 3 2 3 5 4 2" xfId="1249" xr:uid="{00000000-0005-0000-0000-0000C4050000}"/>
    <cellStyle name="Normal 3 2 3 5 5" xfId="1250" xr:uid="{00000000-0005-0000-0000-0000C5050000}"/>
    <cellStyle name="Normal 3 2 3 5 6" xfId="1750" xr:uid="{00000000-0005-0000-0000-0000C6050000}"/>
    <cellStyle name="Normal 3 2 3 5_DGO" xfId="1751" xr:uid="{00000000-0005-0000-0000-0000C7050000}"/>
    <cellStyle name="Normal 3 2 3 6" xfId="25" xr:uid="{00000000-0005-0000-0000-0000C8050000}"/>
    <cellStyle name="Normal 3 2 3 6 2" xfId="1251" xr:uid="{00000000-0005-0000-0000-0000C9050000}"/>
    <cellStyle name="Normal 3 2 3 6 2 2" xfId="1752" xr:uid="{00000000-0005-0000-0000-0000CA050000}"/>
    <cellStyle name="Normal 3 2 3 6 3" xfId="1252" xr:uid="{00000000-0005-0000-0000-0000CB050000}"/>
    <cellStyle name="Normal 3 2 3 6 4" xfId="1753" xr:uid="{00000000-0005-0000-0000-0000CC050000}"/>
    <cellStyle name="Normal 3 2 3 6_DGO" xfId="1754" xr:uid="{00000000-0005-0000-0000-0000CD050000}"/>
    <cellStyle name="Normal 3 2 3 7" xfId="20" xr:uid="{00000000-0005-0000-0000-0000CE050000}"/>
    <cellStyle name="Normal 3 2 3 7 2" xfId="1253" xr:uid="{00000000-0005-0000-0000-0000CF050000}"/>
    <cellStyle name="Normal 3 2 3 7 3" xfId="1254" xr:uid="{00000000-0005-0000-0000-0000D0050000}"/>
    <cellStyle name="Normal 3 2 3 7 4" xfId="1443" xr:uid="{00000000-0005-0000-0000-0000D1050000}"/>
    <cellStyle name="Normal 3 2 3 7 5" xfId="1446" xr:uid="{00000000-0005-0000-0000-0000D2050000}"/>
    <cellStyle name="Normal 3 2 3 7 5 2" xfId="1448" xr:uid="{00000000-0005-0000-0000-0000D3050000}"/>
    <cellStyle name="Normal 3 2 3 7 6" xfId="1452" xr:uid="{00000000-0005-0000-0000-0000D4050000}"/>
    <cellStyle name="Normal 3 2 3 7 7" xfId="1455" xr:uid="{00000000-0005-0000-0000-0000D5050000}"/>
    <cellStyle name="Normal 3 2 3 7 8" xfId="1755" xr:uid="{00000000-0005-0000-0000-0000D6050000}"/>
    <cellStyle name="Normal 3 2 3 8" xfId="1255" xr:uid="{00000000-0005-0000-0000-0000D7050000}"/>
    <cellStyle name="Normal 3 2 3 8 2" xfId="1256" xr:uid="{00000000-0005-0000-0000-0000D8050000}"/>
    <cellStyle name="Normal 3 2 3 9" xfId="1257" xr:uid="{00000000-0005-0000-0000-0000D9050000}"/>
    <cellStyle name="Normal 3 2 3_DGO" xfId="1756" xr:uid="{00000000-0005-0000-0000-0000DA050000}"/>
    <cellStyle name="Normal 3 2 4" xfId="595" xr:uid="{00000000-0005-0000-0000-0000DB050000}"/>
    <cellStyle name="Normal 3 2 4 2" xfId="596" xr:uid="{00000000-0005-0000-0000-0000DC050000}"/>
    <cellStyle name="Normal 3 2 4 2 2" xfId="597" xr:uid="{00000000-0005-0000-0000-0000DD050000}"/>
    <cellStyle name="Normal 3 2 4 2 2 2" xfId="1258" xr:uid="{00000000-0005-0000-0000-0000DE050000}"/>
    <cellStyle name="Normal 3 2 4 2 2 3" xfId="1259" xr:uid="{00000000-0005-0000-0000-0000DF050000}"/>
    <cellStyle name="Normal 3 2 4 2 2 4" xfId="1757" xr:uid="{00000000-0005-0000-0000-0000E0050000}"/>
    <cellStyle name="Normal 3 2 4 2 3" xfId="1260" xr:uid="{00000000-0005-0000-0000-0000E1050000}"/>
    <cellStyle name="Normal 3 2 4 2 4" xfId="1261" xr:uid="{00000000-0005-0000-0000-0000E2050000}"/>
    <cellStyle name="Normal 3 2 4 2 5" xfId="1758" xr:uid="{00000000-0005-0000-0000-0000E3050000}"/>
    <cellStyle name="Normal 3 2 4 2_DGO" xfId="1759" xr:uid="{00000000-0005-0000-0000-0000E4050000}"/>
    <cellStyle name="Normal 3 2 4 3" xfId="598" xr:uid="{00000000-0005-0000-0000-0000E5050000}"/>
    <cellStyle name="Normal 3 2 4 3 2" xfId="599" xr:uid="{00000000-0005-0000-0000-0000E6050000}"/>
    <cellStyle name="Normal 3 2 4 3 2 2" xfId="1262" xr:uid="{00000000-0005-0000-0000-0000E7050000}"/>
    <cellStyle name="Normal 3 2 4 3 2 3" xfId="1263" xr:uid="{00000000-0005-0000-0000-0000E8050000}"/>
    <cellStyle name="Normal 3 2 4 3 2 4" xfId="1760" xr:uid="{00000000-0005-0000-0000-0000E9050000}"/>
    <cellStyle name="Normal 3 2 4 3 3" xfId="1264" xr:uid="{00000000-0005-0000-0000-0000EA050000}"/>
    <cellStyle name="Normal 3 2 4 3 4" xfId="1265" xr:uid="{00000000-0005-0000-0000-0000EB050000}"/>
    <cellStyle name="Normal 3 2 4 3 5" xfId="1761" xr:uid="{00000000-0005-0000-0000-0000EC050000}"/>
    <cellStyle name="Normal 3 2 4 3_DGO" xfId="1762" xr:uid="{00000000-0005-0000-0000-0000ED050000}"/>
    <cellStyle name="Normal 3 2 4 4" xfId="600" xr:uid="{00000000-0005-0000-0000-0000EE050000}"/>
    <cellStyle name="Normal 3 2 4 4 2" xfId="1266" xr:uid="{00000000-0005-0000-0000-0000EF050000}"/>
    <cellStyle name="Normal 3 2 4 4 3" xfId="1267" xr:uid="{00000000-0005-0000-0000-0000F0050000}"/>
    <cellStyle name="Normal 3 2 4 4 4" xfId="1763" xr:uid="{00000000-0005-0000-0000-0000F1050000}"/>
    <cellStyle name="Normal 3 2 4 5" xfId="1268" xr:uid="{00000000-0005-0000-0000-0000F2050000}"/>
    <cellStyle name="Normal 3 2 4 5 2" xfId="1269" xr:uid="{00000000-0005-0000-0000-0000F3050000}"/>
    <cellStyle name="Normal 3 2 4 6" xfId="1270" xr:uid="{00000000-0005-0000-0000-0000F4050000}"/>
    <cellStyle name="Normal 3 2 4 7" xfId="1764" xr:uid="{00000000-0005-0000-0000-0000F5050000}"/>
    <cellStyle name="Normal 3 2 4_DGO" xfId="1765" xr:uid="{00000000-0005-0000-0000-0000F6050000}"/>
    <cellStyle name="Normal 3 2 5" xfId="601" xr:uid="{00000000-0005-0000-0000-0000F7050000}"/>
    <cellStyle name="Normal 3 2 5 2" xfId="602" xr:uid="{00000000-0005-0000-0000-0000F8050000}"/>
    <cellStyle name="Normal 3 2 5 2 2" xfId="1271" xr:uid="{00000000-0005-0000-0000-0000F9050000}"/>
    <cellStyle name="Normal 3 2 5 2 3" xfId="1272" xr:uid="{00000000-0005-0000-0000-0000FA050000}"/>
    <cellStyle name="Normal 3 2 5 2 4" xfId="1766" xr:uid="{00000000-0005-0000-0000-0000FB050000}"/>
    <cellStyle name="Normal 3 2 5 3" xfId="603" xr:uid="{00000000-0005-0000-0000-0000FC050000}"/>
    <cellStyle name="Normal 3 2 5 4" xfId="1273" xr:uid="{00000000-0005-0000-0000-0000FD050000}"/>
    <cellStyle name="Normal 3 2 5 4 2" xfId="1274" xr:uid="{00000000-0005-0000-0000-0000FE050000}"/>
    <cellStyle name="Normal 3 2 5 5" xfId="1275" xr:uid="{00000000-0005-0000-0000-0000FF050000}"/>
    <cellStyle name="Normal 3 2 5_DGO" xfId="1767" xr:uid="{00000000-0005-0000-0000-000000060000}"/>
    <cellStyle name="Normal 3 2 6" xfId="604" xr:uid="{00000000-0005-0000-0000-000001060000}"/>
    <cellStyle name="Normal 3 2 6 2" xfId="605" xr:uid="{00000000-0005-0000-0000-000002060000}"/>
    <cellStyle name="Normal 3 2 6 2 2" xfId="1276" xr:uid="{00000000-0005-0000-0000-000003060000}"/>
    <cellStyle name="Normal 3 2 6 2 3" xfId="1277" xr:uid="{00000000-0005-0000-0000-000004060000}"/>
    <cellStyle name="Normal 3 2 6 2 4" xfId="1768" xr:uid="{00000000-0005-0000-0000-000005060000}"/>
    <cellStyle name="Normal 3 2 6 3" xfId="1278" xr:uid="{00000000-0005-0000-0000-000006060000}"/>
    <cellStyle name="Normal 3 2 6 4" xfId="1279" xr:uid="{00000000-0005-0000-0000-000007060000}"/>
    <cellStyle name="Normal 3 2 6 5" xfId="1769" xr:uid="{00000000-0005-0000-0000-000008060000}"/>
    <cellStyle name="Normal 3 2 6_DGO" xfId="1770" xr:uid="{00000000-0005-0000-0000-000009060000}"/>
    <cellStyle name="Normal 3 2 7" xfId="606" xr:uid="{00000000-0005-0000-0000-00000A060000}"/>
    <cellStyle name="Normal 3 2 7 2" xfId="1280" xr:uid="{00000000-0005-0000-0000-00000B060000}"/>
    <cellStyle name="Normal 3 2 7 3" xfId="1281" xr:uid="{00000000-0005-0000-0000-00000C060000}"/>
    <cellStyle name="Normal 3 2 7 4" xfId="1771" xr:uid="{00000000-0005-0000-0000-00000D060000}"/>
    <cellStyle name="Normal 3 2 8" xfId="607" xr:uid="{00000000-0005-0000-0000-00000E060000}"/>
    <cellStyle name="Normal 3 2 8 2" xfId="608" xr:uid="{00000000-0005-0000-0000-00000F060000}"/>
    <cellStyle name="Normal 3 2 8 2 2" xfId="1282" xr:uid="{00000000-0005-0000-0000-000010060000}"/>
    <cellStyle name="Normal 3 2 8 2 3" xfId="1283" xr:uid="{00000000-0005-0000-0000-000011060000}"/>
    <cellStyle name="Normal 3 2 8 2 4" xfId="1772" xr:uid="{00000000-0005-0000-0000-000012060000}"/>
    <cellStyle name="Normal 3 2 8 3" xfId="1284" xr:uid="{00000000-0005-0000-0000-000013060000}"/>
    <cellStyle name="Normal 3 2 8 4" xfId="1285" xr:uid="{00000000-0005-0000-0000-000014060000}"/>
    <cellStyle name="Normal 3 2 8 5" xfId="1773" xr:uid="{00000000-0005-0000-0000-000015060000}"/>
    <cellStyle name="Normal 3 2 8_DGO" xfId="1774" xr:uid="{00000000-0005-0000-0000-000016060000}"/>
    <cellStyle name="Normal 3 2 9" xfId="609" xr:uid="{00000000-0005-0000-0000-000017060000}"/>
    <cellStyle name="Normal 3 2 9 2" xfId="1286" xr:uid="{00000000-0005-0000-0000-000018060000}"/>
    <cellStyle name="Normal 3 2 9 3" xfId="1287" xr:uid="{00000000-0005-0000-0000-000019060000}"/>
    <cellStyle name="Normal 3 2 9 4" xfId="1775" xr:uid="{00000000-0005-0000-0000-00001A060000}"/>
    <cellStyle name="Normal 3 2_DGO" xfId="1776" xr:uid="{00000000-0005-0000-0000-00001B060000}"/>
    <cellStyle name="Normal 3 3" xfId="14" xr:uid="{00000000-0005-0000-0000-00001C060000}"/>
    <cellStyle name="Normal 3 3 2" xfId="1004" xr:uid="{00000000-0005-0000-0000-00001D060000}"/>
    <cellStyle name="Normal 3 4" xfId="610" xr:uid="{00000000-0005-0000-0000-00001E060000}"/>
    <cellStyle name="Normal 3 5" xfId="611" xr:uid="{00000000-0005-0000-0000-00001F060000}"/>
    <cellStyle name="Normal 3 6" xfId="612" xr:uid="{00000000-0005-0000-0000-000020060000}"/>
    <cellStyle name="Normal 3 6 2" xfId="1073" xr:uid="{00000000-0005-0000-0000-000021060000}"/>
    <cellStyle name="Normal 3 6 2 2" xfId="2042" xr:uid="{00000000-0005-0000-0000-000022060000}"/>
    <cellStyle name="Normal 3 7" xfId="613" xr:uid="{00000000-0005-0000-0000-000023060000}"/>
    <cellStyle name="Normal 3 8" xfId="614" xr:uid="{00000000-0005-0000-0000-000024060000}"/>
    <cellStyle name="Normal 3 9" xfId="615" xr:uid="{00000000-0005-0000-0000-000025060000}"/>
    <cellStyle name="Normal 3_Xl0000003" xfId="616" xr:uid="{00000000-0005-0000-0000-000026060000}"/>
    <cellStyle name="Normal 30" xfId="617" xr:uid="{00000000-0005-0000-0000-000027060000}"/>
    <cellStyle name="Normal 30 2" xfId="2043" xr:uid="{00000000-0005-0000-0000-000028060000}"/>
    <cellStyle name="Normal 31" xfId="618" xr:uid="{00000000-0005-0000-0000-000029060000}"/>
    <cellStyle name="Normal 31 2" xfId="2044" xr:uid="{00000000-0005-0000-0000-00002A060000}"/>
    <cellStyle name="Normal 32" xfId="619" xr:uid="{00000000-0005-0000-0000-00002B060000}"/>
    <cellStyle name="Normal 32 2" xfId="2045" xr:uid="{00000000-0005-0000-0000-00002C060000}"/>
    <cellStyle name="Normal 33" xfId="620" xr:uid="{00000000-0005-0000-0000-00002D060000}"/>
    <cellStyle name="Normal 33 2" xfId="2046" xr:uid="{00000000-0005-0000-0000-00002E060000}"/>
    <cellStyle name="Normal 34" xfId="621" xr:uid="{00000000-0005-0000-0000-00002F060000}"/>
    <cellStyle name="Normal 34 2" xfId="2047" xr:uid="{00000000-0005-0000-0000-000030060000}"/>
    <cellStyle name="Normal 35" xfId="622" xr:uid="{00000000-0005-0000-0000-000031060000}"/>
    <cellStyle name="Normal 35 2" xfId="2048" xr:uid="{00000000-0005-0000-0000-000032060000}"/>
    <cellStyle name="Normal 36" xfId="623" xr:uid="{00000000-0005-0000-0000-000033060000}"/>
    <cellStyle name="Normal 36 2" xfId="2049" xr:uid="{00000000-0005-0000-0000-000034060000}"/>
    <cellStyle name="Normal 37" xfId="624" xr:uid="{00000000-0005-0000-0000-000035060000}"/>
    <cellStyle name="Normal 37 2" xfId="2050" xr:uid="{00000000-0005-0000-0000-000036060000}"/>
    <cellStyle name="Normal 38" xfId="625" xr:uid="{00000000-0005-0000-0000-000037060000}"/>
    <cellStyle name="Normal 38 2" xfId="2051" xr:uid="{00000000-0005-0000-0000-000038060000}"/>
    <cellStyle name="Normal 39" xfId="626" xr:uid="{00000000-0005-0000-0000-000039060000}"/>
    <cellStyle name="Normal 39 2" xfId="2052" xr:uid="{00000000-0005-0000-0000-00003A060000}"/>
    <cellStyle name="Normal 4" xfId="627" xr:uid="{00000000-0005-0000-0000-00003B060000}"/>
    <cellStyle name="Normal 4 10" xfId="628" xr:uid="{00000000-0005-0000-0000-00003C060000}"/>
    <cellStyle name="Normal 4 10 2" xfId="2053" xr:uid="{00000000-0005-0000-0000-00003D060000}"/>
    <cellStyle name="Normal 4 2" xfId="10" xr:uid="{00000000-0005-0000-0000-00003E060000}"/>
    <cellStyle name="Normal 4 2 2" xfId="1007" xr:uid="{00000000-0005-0000-0000-00003F060000}"/>
    <cellStyle name="Normal 4 3" xfId="629" xr:uid="{00000000-0005-0000-0000-000040060000}"/>
    <cellStyle name="Normal 4 3 2" xfId="1008" xr:uid="{00000000-0005-0000-0000-000041060000}"/>
    <cellStyle name="Normal 4 3 2 2" xfId="1288" xr:uid="{00000000-0005-0000-0000-000042060000}"/>
    <cellStyle name="Normal 4 3 3" xfId="1289" xr:uid="{00000000-0005-0000-0000-000043060000}"/>
    <cellStyle name="Normal 4 3 4" xfId="1777" xr:uid="{00000000-0005-0000-0000-000044060000}"/>
    <cellStyle name="Normal 4 4" xfId="630" xr:uid="{00000000-0005-0000-0000-000045060000}"/>
    <cellStyle name="Normal 4 4 2" xfId="2054" xr:uid="{00000000-0005-0000-0000-000046060000}"/>
    <cellStyle name="Normal 4 5" xfId="631" xr:uid="{00000000-0005-0000-0000-000047060000}"/>
    <cellStyle name="Normal 4 5 2" xfId="2055" xr:uid="{00000000-0005-0000-0000-000048060000}"/>
    <cellStyle name="Normal 4 6" xfId="632" xr:uid="{00000000-0005-0000-0000-000049060000}"/>
    <cellStyle name="Normal 4 6 2" xfId="2056" xr:uid="{00000000-0005-0000-0000-00004A060000}"/>
    <cellStyle name="Normal 4 7" xfId="633" xr:uid="{00000000-0005-0000-0000-00004B060000}"/>
    <cellStyle name="Normal 4 7 2" xfId="2057" xr:uid="{00000000-0005-0000-0000-00004C060000}"/>
    <cellStyle name="Normal 4 8" xfId="634" xr:uid="{00000000-0005-0000-0000-00004D060000}"/>
    <cellStyle name="Normal 4 8 2" xfId="2058" xr:uid="{00000000-0005-0000-0000-00004E060000}"/>
    <cellStyle name="Normal 4 9" xfId="635" xr:uid="{00000000-0005-0000-0000-00004F060000}"/>
    <cellStyle name="Normal 4 9 2" xfId="2059" xr:uid="{00000000-0005-0000-0000-000050060000}"/>
    <cellStyle name="Normal 40" xfId="636" xr:uid="{00000000-0005-0000-0000-000051060000}"/>
    <cellStyle name="Normal 40 2" xfId="1065" xr:uid="{00000000-0005-0000-0000-000052060000}"/>
    <cellStyle name="Normal 40 2 2" xfId="2060" xr:uid="{00000000-0005-0000-0000-000053060000}"/>
    <cellStyle name="Normal 41" xfId="637" xr:uid="{00000000-0005-0000-0000-000054060000}"/>
    <cellStyle name="Normal 41 2" xfId="2061" xr:uid="{00000000-0005-0000-0000-000055060000}"/>
    <cellStyle name="Normal 42" xfId="638" xr:uid="{00000000-0005-0000-0000-000056060000}"/>
    <cellStyle name="Normal 42 2" xfId="2062" xr:uid="{00000000-0005-0000-0000-000057060000}"/>
    <cellStyle name="Normal 43" xfId="639" xr:uid="{00000000-0005-0000-0000-000058060000}"/>
    <cellStyle name="Normal 43 2" xfId="2063" xr:uid="{00000000-0005-0000-0000-000059060000}"/>
    <cellStyle name="Normal 44" xfId="640" xr:uid="{00000000-0005-0000-0000-00005A060000}"/>
    <cellStyle name="Normal 44 2" xfId="1066" xr:uid="{00000000-0005-0000-0000-00005B060000}"/>
    <cellStyle name="Normal 44 2 2" xfId="1290" xr:uid="{00000000-0005-0000-0000-00005C060000}"/>
    <cellStyle name="Normal 44 2 3" xfId="1778" xr:uid="{00000000-0005-0000-0000-00005D060000}"/>
    <cellStyle name="Normal 44 3" xfId="1009" xr:uid="{00000000-0005-0000-0000-00005E060000}"/>
    <cellStyle name="Normal 44 3 2" xfId="2064" xr:uid="{00000000-0005-0000-0000-00005F060000}"/>
    <cellStyle name="Normal 45" xfId="641" xr:uid="{00000000-0005-0000-0000-000060060000}"/>
    <cellStyle name="Normal 45 2" xfId="2065" xr:uid="{00000000-0005-0000-0000-000061060000}"/>
    <cellStyle name="Normal 46" xfId="642" xr:uid="{00000000-0005-0000-0000-000062060000}"/>
    <cellStyle name="Normal 46 2" xfId="2066" xr:uid="{00000000-0005-0000-0000-000063060000}"/>
    <cellStyle name="Normal 47" xfId="643" xr:uid="{00000000-0005-0000-0000-000064060000}"/>
    <cellStyle name="Normal 47 2" xfId="2067" xr:uid="{00000000-0005-0000-0000-000065060000}"/>
    <cellStyle name="Normal 48" xfId="644" xr:uid="{00000000-0005-0000-0000-000066060000}"/>
    <cellStyle name="Normal 48 2" xfId="2068" xr:uid="{00000000-0005-0000-0000-000067060000}"/>
    <cellStyle name="Normal 49" xfId="645" xr:uid="{00000000-0005-0000-0000-000068060000}"/>
    <cellStyle name="Normal 49 2" xfId="2069" xr:uid="{00000000-0005-0000-0000-000069060000}"/>
    <cellStyle name="Normal 5" xfId="646" xr:uid="{00000000-0005-0000-0000-00006A060000}"/>
    <cellStyle name="Normal 5 10" xfId="647" xr:uid="{00000000-0005-0000-0000-00006B060000}"/>
    <cellStyle name="Normal 5 10 2" xfId="648" xr:uid="{00000000-0005-0000-0000-00006C060000}"/>
    <cellStyle name="Normal 5 10 2 10" xfId="649" xr:uid="{00000000-0005-0000-0000-00006D060000}"/>
    <cellStyle name="Normal 5 10 2 10 2" xfId="2070" xr:uid="{00000000-0005-0000-0000-00006E060000}"/>
    <cellStyle name="Normal 5 10 2 11" xfId="650" xr:uid="{00000000-0005-0000-0000-00006F060000}"/>
    <cellStyle name="Normal 5 10 2 11 2" xfId="2071" xr:uid="{00000000-0005-0000-0000-000070060000}"/>
    <cellStyle name="Normal 5 10 2 12" xfId="651" xr:uid="{00000000-0005-0000-0000-000071060000}"/>
    <cellStyle name="Normal 5 10 2 12 2" xfId="2072" xr:uid="{00000000-0005-0000-0000-000072060000}"/>
    <cellStyle name="Normal 5 10 2 13" xfId="2073" xr:uid="{00000000-0005-0000-0000-000073060000}"/>
    <cellStyle name="Normal 5 10 2 2" xfId="652" xr:uid="{00000000-0005-0000-0000-000074060000}"/>
    <cellStyle name="Normal 5 10 2 2 2" xfId="2074" xr:uid="{00000000-0005-0000-0000-000075060000}"/>
    <cellStyle name="Normal 5 10 2 3" xfId="653" xr:uid="{00000000-0005-0000-0000-000076060000}"/>
    <cellStyle name="Normal 5 10 2 3 2" xfId="2075" xr:uid="{00000000-0005-0000-0000-000077060000}"/>
    <cellStyle name="Normal 5 10 2 4" xfId="654" xr:uid="{00000000-0005-0000-0000-000078060000}"/>
    <cellStyle name="Normal 5 10 2 4 2" xfId="2076" xr:uid="{00000000-0005-0000-0000-000079060000}"/>
    <cellStyle name="Normal 5 10 2 5" xfId="655" xr:uid="{00000000-0005-0000-0000-00007A060000}"/>
    <cellStyle name="Normal 5 10 2 5 2" xfId="2077" xr:uid="{00000000-0005-0000-0000-00007B060000}"/>
    <cellStyle name="Normal 5 10 2 6" xfId="656" xr:uid="{00000000-0005-0000-0000-00007C060000}"/>
    <cellStyle name="Normal 5 10 2 6 2" xfId="2078" xr:uid="{00000000-0005-0000-0000-00007D060000}"/>
    <cellStyle name="Normal 5 10 2 7" xfId="657" xr:uid="{00000000-0005-0000-0000-00007E060000}"/>
    <cellStyle name="Normal 5 10 2 7 2" xfId="2079" xr:uid="{00000000-0005-0000-0000-00007F060000}"/>
    <cellStyle name="Normal 5 10 2 8" xfId="658" xr:uid="{00000000-0005-0000-0000-000080060000}"/>
    <cellStyle name="Normal 5 10 2 8 2" xfId="2080" xr:uid="{00000000-0005-0000-0000-000081060000}"/>
    <cellStyle name="Normal 5 10 2 9" xfId="659" xr:uid="{00000000-0005-0000-0000-000082060000}"/>
    <cellStyle name="Normal 5 10 2 9 2" xfId="2081" xr:uid="{00000000-0005-0000-0000-000083060000}"/>
    <cellStyle name="Normal 5 10 3" xfId="2082" xr:uid="{00000000-0005-0000-0000-000084060000}"/>
    <cellStyle name="Normal 5 2" xfId="5" xr:uid="{00000000-0005-0000-0000-000085060000}"/>
    <cellStyle name="Normal 5 2 2" xfId="660" xr:uid="{00000000-0005-0000-0000-000086060000}"/>
    <cellStyle name="Normal 5 3" xfId="661" xr:uid="{00000000-0005-0000-0000-000087060000}"/>
    <cellStyle name="Normal 5 4" xfId="662" xr:uid="{00000000-0005-0000-0000-000088060000}"/>
    <cellStyle name="Normal 5 4 2" xfId="1010" xr:uid="{00000000-0005-0000-0000-000089060000}"/>
    <cellStyle name="Normal 5 4 2 2" xfId="1291" xr:uid="{00000000-0005-0000-0000-00008A060000}"/>
    <cellStyle name="Normal 5 4 3" xfId="1292" xr:uid="{00000000-0005-0000-0000-00008B060000}"/>
    <cellStyle name="Normal 5 4 4" xfId="1779" xr:uid="{00000000-0005-0000-0000-00008C060000}"/>
    <cellStyle name="Normal 5 5" xfId="663" xr:uid="{00000000-0005-0000-0000-00008D060000}"/>
    <cellStyle name="Normal 5 5 2" xfId="664" xr:uid="{00000000-0005-0000-0000-00008E060000}"/>
    <cellStyle name="Normal 5 5 2 2" xfId="1293" xr:uid="{00000000-0005-0000-0000-00008F060000}"/>
    <cellStyle name="Normal 5 5 2 3" xfId="1294" xr:uid="{00000000-0005-0000-0000-000090060000}"/>
    <cellStyle name="Normal 5 5 2 4" xfId="1780" xr:uid="{00000000-0005-0000-0000-000091060000}"/>
    <cellStyle name="Normal 5 5 3" xfId="2083" xr:uid="{00000000-0005-0000-0000-000092060000}"/>
    <cellStyle name="Normal 5 6" xfId="665" xr:uid="{00000000-0005-0000-0000-000093060000}"/>
    <cellStyle name="Normal 5 6 2" xfId="2084" xr:uid="{00000000-0005-0000-0000-000094060000}"/>
    <cellStyle name="Normal 5 7" xfId="666" xr:uid="{00000000-0005-0000-0000-000095060000}"/>
    <cellStyle name="Normal 5 7 2" xfId="2085" xr:uid="{00000000-0005-0000-0000-000096060000}"/>
    <cellStyle name="Normal 5 8" xfId="667" xr:uid="{00000000-0005-0000-0000-000097060000}"/>
    <cellStyle name="Normal 5 8 2" xfId="2086" xr:uid="{00000000-0005-0000-0000-000098060000}"/>
    <cellStyle name="Normal 5 9" xfId="668" xr:uid="{00000000-0005-0000-0000-000099060000}"/>
    <cellStyle name="Normal 5 9 2" xfId="2087" xr:uid="{00000000-0005-0000-0000-00009A060000}"/>
    <cellStyle name="Normal 50" xfId="669" xr:uid="{00000000-0005-0000-0000-00009B060000}"/>
    <cellStyle name="Normal 50 2" xfId="2088" xr:uid="{00000000-0005-0000-0000-00009C060000}"/>
    <cellStyle name="Normal 51" xfId="670" xr:uid="{00000000-0005-0000-0000-00009D060000}"/>
    <cellStyle name="Normal 51 2" xfId="2089" xr:uid="{00000000-0005-0000-0000-00009E060000}"/>
    <cellStyle name="Normal 52" xfId="671" xr:uid="{00000000-0005-0000-0000-00009F060000}"/>
    <cellStyle name="Normal 52 2" xfId="2090" xr:uid="{00000000-0005-0000-0000-0000A0060000}"/>
    <cellStyle name="Normal 53" xfId="672" xr:uid="{00000000-0005-0000-0000-0000A1060000}"/>
    <cellStyle name="Normal 53 2" xfId="2091" xr:uid="{00000000-0005-0000-0000-0000A2060000}"/>
    <cellStyle name="Normal 54" xfId="673" xr:uid="{00000000-0005-0000-0000-0000A3060000}"/>
    <cellStyle name="Normal 54 2" xfId="1295" xr:uid="{00000000-0005-0000-0000-0000A4060000}"/>
    <cellStyle name="Normal 54 3" xfId="1296" xr:uid="{00000000-0005-0000-0000-0000A5060000}"/>
    <cellStyle name="Normal 54 4" xfId="1781" xr:uid="{00000000-0005-0000-0000-0000A6060000}"/>
    <cellStyle name="Normal 55" xfId="674" xr:uid="{00000000-0005-0000-0000-0000A7060000}"/>
    <cellStyle name="Normal 55 2" xfId="2092" xr:uid="{00000000-0005-0000-0000-0000A8060000}"/>
    <cellStyle name="Normal 56" xfId="675" xr:uid="{00000000-0005-0000-0000-0000A9060000}"/>
    <cellStyle name="Normal 57" xfId="676" xr:uid="{00000000-0005-0000-0000-0000AA060000}"/>
    <cellStyle name="Normal 57 2" xfId="1297" xr:uid="{00000000-0005-0000-0000-0000AB060000}"/>
    <cellStyle name="Normal 57 3" xfId="1298" xr:uid="{00000000-0005-0000-0000-0000AC060000}"/>
    <cellStyle name="Normal 57 4" xfId="1782" xr:uid="{00000000-0005-0000-0000-0000AD060000}"/>
    <cellStyle name="Normal 58" xfId="677" xr:uid="{00000000-0005-0000-0000-0000AE060000}"/>
    <cellStyle name="Normal 58 2" xfId="1783" xr:uid="{00000000-0005-0000-0000-0000AF060000}"/>
    <cellStyle name="Normal 59" xfId="30" xr:uid="{00000000-0005-0000-0000-0000B0060000}"/>
    <cellStyle name="Normal 59 2" xfId="1784" xr:uid="{00000000-0005-0000-0000-0000B1060000}"/>
    <cellStyle name="Normal 6" xfId="678" xr:uid="{00000000-0005-0000-0000-0000B2060000}"/>
    <cellStyle name="Normal 6 10" xfId="679" xr:uid="{00000000-0005-0000-0000-0000B3060000}"/>
    <cellStyle name="Normal 6 10 2" xfId="2093" xr:uid="{00000000-0005-0000-0000-0000B4060000}"/>
    <cellStyle name="Normal 6 11" xfId="680" xr:uid="{00000000-0005-0000-0000-0000B5060000}"/>
    <cellStyle name="Normal 6 11 2" xfId="2094" xr:uid="{00000000-0005-0000-0000-0000B6060000}"/>
    <cellStyle name="Normal 6 12" xfId="681" xr:uid="{00000000-0005-0000-0000-0000B7060000}"/>
    <cellStyle name="Normal 6 12 2" xfId="2095" xr:uid="{00000000-0005-0000-0000-0000B8060000}"/>
    <cellStyle name="Normal 6 13" xfId="1299" xr:uid="{00000000-0005-0000-0000-0000B9060000}"/>
    <cellStyle name="Normal 6 14" xfId="1300" xr:uid="{00000000-0005-0000-0000-0000BA060000}"/>
    <cellStyle name="Normal 6 2" xfId="682" xr:uid="{00000000-0005-0000-0000-0000BB060000}"/>
    <cellStyle name="Normal 6 2 2" xfId="683" xr:uid="{00000000-0005-0000-0000-0000BC060000}"/>
    <cellStyle name="Normal 6 2 2 2" xfId="684" xr:uid="{00000000-0005-0000-0000-0000BD060000}"/>
    <cellStyle name="Normal 6 2 2 2 2" xfId="1301" xr:uid="{00000000-0005-0000-0000-0000BE060000}"/>
    <cellStyle name="Normal 6 2 2 2 3" xfId="1302" xr:uid="{00000000-0005-0000-0000-0000BF060000}"/>
    <cellStyle name="Normal 6 2 2 2 4" xfId="1785" xr:uid="{00000000-0005-0000-0000-0000C0060000}"/>
    <cellStyle name="Normal 6 2 2 3" xfId="1074" xr:uid="{00000000-0005-0000-0000-0000C1060000}"/>
    <cellStyle name="Normal 6 2 2 3 2" xfId="1303" xr:uid="{00000000-0005-0000-0000-0000C2060000}"/>
    <cellStyle name="Normal 6 2 2 4" xfId="1304" xr:uid="{00000000-0005-0000-0000-0000C3060000}"/>
    <cellStyle name="Normal 6 2 2 5" xfId="1786" xr:uid="{00000000-0005-0000-0000-0000C4060000}"/>
    <cellStyle name="Normal 6 2 2_DGO" xfId="1787" xr:uid="{00000000-0005-0000-0000-0000C5060000}"/>
    <cellStyle name="Normal 6 2 3" xfId="685" xr:uid="{00000000-0005-0000-0000-0000C6060000}"/>
    <cellStyle name="Normal 6 2 3 2" xfId="686" xr:uid="{00000000-0005-0000-0000-0000C7060000}"/>
    <cellStyle name="Normal 6 2 3 2 2" xfId="1305" xr:uid="{00000000-0005-0000-0000-0000C8060000}"/>
    <cellStyle name="Normal 6 2 3 2 3" xfId="1306" xr:uid="{00000000-0005-0000-0000-0000C9060000}"/>
    <cellStyle name="Normal 6 2 3 2 4" xfId="1788" xr:uid="{00000000-0005-0000-0000-0000CA060000}"/>
    <cellStyle name="Normal 6 2 3_DGO" xfId="1789" xr:uid="{00000000-0005-0000-0000-0000CB060000}"/>
    <cellStyle name="Normal 6 2 4" xfId="687" xr:uid="{00000000-0005-0000-0000-0000CC060000}"/>
    <cellStyle name="Normal 6 2 4 2" xfId="1307" xr:uid="{00000000-0005-0000-0000-0000CD060000}"/>
    <cellStyle name="Normal 6 2 4 3" xfId="1308" xr:uid="{00000000-0005-0000-0000-0000CE060000}"/>
    <cellStyle name="Normal 6 2 4 4" xfId="1790" xr:uid="{00000000-0005-0000-0000-0000CF060000}"/>
    <cellStyle name="Normal 6 2 5" xfId="688" xr:uid="{00000000-0005-0000-0000-0000D0060000}"/>
    <cellStyle name="Normal 6 2 6" xfId="1309" xr:uid="{00000000-0005-0000-0000-0000D1060000}"/>
    <cellStyle name="Normal 6 2 7" xfId="1310" xr:uid="{00000000-0005-0000-0000-0000D2060000}"/>
    <cellStyle name="Normal 6 2_DGO" xfId="1791" xr:uid="{00000000-0005-0000-0000-0000D3060000}"/>
    <cellStyle name="Normal 6 3" xfId="689" xr:uid="{00000000-0005-0000-0000-0000D4060000}"/>
    <cellStyle name="Normal 6 3 2" xfId="690" xr:uid="{00000000-0005-0000-0000-0000D5060000}"/>
    <cellStyle name="Normal 6 3 2 2" xfId="2096" xr:uid="{00000000-0005-0000-0000-0000D6060000}"/>
    <cellStyle name="Normal 6 3 3" xfId="1311" xr:uid="{00000000-0005-0000-0000-0000D7060000}"/>
    <cellStyle name="Normal 6 3 4" xfId="1312" xr:uid="{00000000-0005-0000-0000-0000D8060000}"/>
    <cellStyle name="Normal 6 3 5" xfId="1792" xr:uid="{00000000-0005-0000-0000-0000D9060000}"/>
    <cellStyle name="Normal 6 3_DGO" xfId="1793" xr:uid="{00000000-0005-0000-0000-0000DA060000}"/>
    <cellStyle name="Normal 6 4" xfId="691" xr:uid="{00000000-0005-0000-0000-0000DB060000}"/>
    <cellStyle name="Normal 6 4 2" xfId="692" xr:uid="{00000000-0005-0000-0000-0000DC060000}"/>
    <cellStyle name="Normal 6 4 2 2" xfId="1313" xr:uid="{00000000-0005-0000-0000-0000DD060000}"/>
    <cellStyle name="Normal 6 4 2 3" xfId="1314" xr:uid="{00000000-0005-0000-0000-0000DE060000}"/>
    <cellStyle name="Normal 6 4 2 4" xfId="1794" xr:uid="{00000000-0005-0000-0000-0000DF060000}"/>
    <cellStyle name="Normal 6 4_DGO" xfId="1795" xr:uid="{00000000-0005-0000-0000-0000E0060000}"/>
    <cellStyle name="Normal 6 5" xfId="693" xr:uid="{00000000-0005-0000-0000-0000E1060000}"/>
    <cellStyle name="Normal 6 5 2" xfId="1315" xr:uid="{00000000-0005-0000-0000-0000E2060000}"/>
    <cellStyle name="Normal 6 5 3" xfId="1316" xr:uid="{00000000-0005-0000-0000-0000E3060000}"/>
    <cellStyle name="Normal 6 5 4" xfId="1796" xr:uid="{00000000-0005-0000-0000-0000E4060000}"/>
    <cellStyle name="Normal 6 6" xfId="694" xr:uid="{00000000-0005-0000-0000-0000E5060000}"/>
    <cellStyle name="Normal 6 7" xfId="695" xr:uid="{00000000-0005-0000-0000-0000E6060000}"/>
    <cellStyle name="Normal 6 7 2" xfId="2097" xr:uid="{00000000-0005-0000-0000-0000E7060000}"/>
    <cellStyle name="Normal 6 8" xfId="696" xr:uid="{00000000-0005-0000-0000-0000E8060000}"/>
    <cellStyle name="Normal 6 8 2" xfId="2098" xr:uid="{00000000-0005-0000-0000-0000E9060000}"/>
    <cellStyle name="Normal 6 9" xfId="697" xr:uid="{00000000-0005-0000-0000-0000EA060000}"/>
    <cellStyle name="Normal 6 9 2" xfId="2099" xr:uid="{00000000-0005-0000-0000-0000EB060000}"/>
    <cellStyle name="Normal 6_DGO" xfId="1797" xr:uid="{00000000-0005-0000-0000-0000EC060000}"/>
    <cellStyle name="Normal 60" xfId="919" xr:uid="{00000000-0005-0000-0000-0000ED060000}"/>
    <cellStyle name="Normal 60 2" xfId="40" xr:uid="{00000000-0005-0000-0000-0000EE060000}"/>
    <cellStyle name="Normal 60_Cópia de INE_DGO_TC_NV" xfId="1798" xr:uid="{00000000-0005-0000-0000-0000EF060000}"/>
    <cellStyle name="Normal 61" xfId="928" xr:uid="{00000000-0005-0000-0000-0000F0060000}"/>
    <cellStyle name="Normal 61 2" xfId="2100" xr:uid="{00000000-0005-0000-0000-0000F1060000}"/>
    <cellStyle name="Normal 61 3" xfId="1317" xr:uid="{00000000-0005-0000-0000-0000F2060000}"/>
    <cellStyle name="Normal 62" xfId="929" xr:uid="{00000000-0005-0000-0000-0000F3060000}"/>
    <cellStyle name="Normal 62 2" xfId="2101" xr:uid="{00000000-0005-0000-0000-0000F4060000}"/>
    <cellStyle name="Normal 62 3" xfId="2102" xr:uid="{00000000-0005-0000-0000-0000F5060000}"/>
    <cellStyle name="Normal 62 4" xfId="1318" xr:uid="{00000000-0005-0000-0000-0000F6060000}"/>
    <cellStyle name="Normal 63" xfId="1466" xr:uid="{00000000-0005-0000-0000-0000F7060000}"/>
    <cellStyle name="Normal 64" xfId="1467" xr:uid="{00000000-0005-0000-0000-0000F8060000}"/>
    <cellStyle name="Normal 65" xfId="1468" xr:uid="{00000000-0005-0000-0000-0000F9060000}"/>
    <cellStyle name="Normal 66" xfId="1799" xr:uid="{00000000-0005-0000-0000-0000FA060000}"/>
    <cellStyle name="Normal 67" xfId="2103" xr:uid="{00000000-0005-0000-0000-0000FB060000}"/>
    <cellStyle name="Normal 68" xfId="2233" xr:uid="{00000000-0005-0000-0000-0000FC060000}"/>
    <cellStyle name="Normal 69" xfId="3" xr:uid="{00000000-0005-0000-0000-0000FD060000}"/>
    <cellStyle name="Normal 69 2" xfId="4" xr:uid="{00000000-0005-0000-0000-0000FE060000}"/>
    <cellStyle name="Normal 7" xfId="698" xr:uid="{00000000-0005-0000-0000-0000FF060000}"/>
    <cellStyle name="Normal 7 2" xfId="32" xr:uid="{00000000-0005-0000-0000-000000070000}"/>
    <cellStyle name="Normal 7 2 2" xfId="699" xr:uid="{00000000-0005-0000-0000-000001070000}"/>
    <cellStyle name="Normal 7 2 2 2" xfId="700" xr:uid="{00000000-0005-0000-0000-000002070000}"/>
    <cellStyle name="Normal 7 2 2 2 2" xfId="1319" xr:uid="{00000000-0005-0000-0000-000003070000}"/>
    <cellStyle name="Normal 7 2 2 2 3" xfId="998" xr:uid="{00000000-0005-0000-0000-000004070000}"/>
    <cellStyle name="Normal 7 2 2 2 3 2" xfId="1439" xr:uid="{00000000-0005-0000-0000-000005070000}"/>
    <cellStyle name="Normal 7 2 2 2 3 2 2" xfId="1442" xr:uid="{00000000-0005-0000-0000-000006070000}"/>
    <cellStyle name="Normal 7 2 2 2 3 2 3" xfId="1445" xr:uid="{00000000-0005-0000-0000-000007070000}"/>
    <cellStyle name="Normal 7 2 2 2 3 2 3 2" xfId="1449" xr:uid="{00000000-0005-0000-0000-000008070000}"/>
    <cellStyle name="Normal 7 2 2 2 3 2 4" xfId="1451" xr:uid="{00000000-0005-0000-0000-000009070000}"/>
    <cellStyle name="Normal 7 2 2 2 3 2 5" xfId="1454" xr:uid="{00000000-0005-0000-0000-00000A070000}"/>
    <cellStyle name="Normal 7 2 2 2 3 2 5 2" xfId="1457" xr:uid="{00000000-0005-0000-0000-00000B070000}"/>
    <cellStyle name="Normal 7 2 2 2 3 2 5 2 2" xfId="1463" xr:uid="{00000000-0005-0000-0000-00000C070000}"/>
    <cellStyle name="Normal 7 2 2 2 3 2 5 2 3" xfId="1469" xr:uid="{00000000-0005-0000-0000-00000D070000}"/>
    <cellStyle name="Normal 7 2 2 2 3 2 5 2 4" xfId="1474" xr:uid="{00000000-0005-0000-0000-00000E070000}"/>
    <cellStyle name="Normal 7 2 2 2 3 2 5 2 4 2" xfId="1480" xr:uid="{00000000-0005-0000-0000-00000F070000}"/>
    <cellStyle name="Normal 7 2 2 2 3 2 5 2 4 2 2" xfId="1485" xr:uid="{00000000-0005-0000-0000-000010070000}"/>
    <cellStyle name="Normal 7 2 2 2 3 2 5 2 4 2 2 2" xfId="1490" xr:uid="{00000000-0005-0000-0000-000011070000}"/>
    <cellStyle name="Normal 7 2 2 2 3 2 5 2 4 2 2 2 2" xfId="1497" xr:uid="{00000000-0005-0000-0000-000012070000}"/>
    <cellStyle name="Normal 7 2 2 2 3 2 5 2 4 2 2 2 2 2" xfId="1501" xr:uid="{00000000-0005-0000-0000-000013070000}"/>
    <cellStyle name="Normal 7 2 2 2 3 2 5 2 4 2 2 2 2 2 10" xfId="35" xr:uid="{00000000-0005-0000-0000-000014070000}"/>
    <cellStyle name="Normal 7 2 2 2 3 2 5 2 4 2 2 2 2 2 2" xfId="1506" xr:uid="{00000000-0005-0000-0000-000015070000}"/>
    <cellStyle name="Normal 7 2 2 2 3 2 5 2 4 2 2 2 2 2 3" xfId="1512" xr:uid="{00000000-0005-0000-0000-000016070000}"/>
    <cellStyle name="Normal 7 2 2 2 3 2 5 2 4 2 2 2 2 2 4" xfId="1518" xr:uid="{00000000-0005-0000-0000-000017070000}"/>
    <cellStyle name="Normal 7 2 2 2 3 2 5 2 4 2 2 2 2 2 5" xfId="1872" xr:uid="{00000000-0005-0000-0000-000018070000}"/>
    <cellStyle name="Normal 7 2 2 2 3 2 5 2 4 2 2 2 2 2 5 2" xfId="2205" xr:uid="{00000000-0005-0000-0000-000019070000}"/>
    <cellStyle name="Normal 7 2 2 2 3 2 5 2 4 2 2 2 2 2 6" xfId="2200" xr:uid="{00000000-0005-0000-0000-00001A070000}"/>
    <cellStyle name="Normal 7 2 2 2 3 2 5 2 4 2 2 2 2 2 7" xfId="2209" xr:uid="{00000000-0005-0000-0000-00001B070000}"/>
    <cellStyle name="Normal 7 2 2 2 3 2 5 2 4 2 2 2 2 2 7 2" xfId="2215" xr:uid="{00000000-0005-0000-0000-00001C070000}"/>
    <cellStyle name="Normal 7 2 2 2 3 2 5 2 4 2 2 2 2 2 8" xfId="2221" xr:uid="{00000000-0005-0000-0000-00001D070000}"/>
    <cellStyle name="Normal 7 2 2 2 3 2 5 2 4 2 2 2 2 2 9" xfId="2227" xr:uid="{00000000-0005-0000-0000-00001E070000}"/>
    <cellStyle name="Normal 7 2 2 2 3 2 5 2 4 3" xfId="1482" xr:uid="{00000000-0005-0000-0000-00001F070000}"/>
    <cellStyle name="Normal 7 2 2 2 3 2 5 2 4 3 2" xfId="1487" xr:uid="{00000000-0005-0000-0000-000020070000}"/>
    <cellStyle name="Normal 7 2 2 2 3 2 5 2 4 3 3" xfId="1492" xr:uid="{00000000-0005-0000-0000-000021070000}"/>
    <cellStyle name="Normal 7 2 2 2 3 2 5 2 4 3 4" xfId="1493" xr:uid="{00000000-0005-0000-0000-000022070000}"/>
    <cellStyle name="Normal 7 2 2 2 3 2 5 2 4 3 5" xfId="1499" xr:uid="{00000000-0005-0000-0000-000023070000}"/>
    <cellStyle name="Normal 7 2 2 2 3 2 5 2 4 3 5 2" xfId="1508" xr:uid="{00000000-0005-0000-0000-000024070000}"/>
    <cellStyle name="Normal 7 2 2 2 3 2 5 2 4 3 5 3" xfId="1514" xr:uid="{00000000-0005-0000-0000-000025070000}"/>
    <cellStyle name="Normal 7 2 2 2 3 2 5 2 4 3 5 4" xfId="1520" xr:uid="{00000000-0005-0000-0000-000026070000}"/>
    <cellStyle name="Normal 7 2 2 2 3 2 5 2 4 3 5 4 2" xfId="37" xr:uid="{00000000-0005-0000-0000-000027070000}"/>
    <cellStyle name="Normal 7 2 2 2 3 2 5 2 4 3 5 4 2 2" xfId="2202" xr:uid="{00000000-0005-0000-0000-000028070000}"/>
    <cellStyle name="Normal 7 2 2 2 3 2 5 2 4 3 5 4 2 3" xfId="2211" xr:uid="{00000000-0005-0000-0000-000029070000}"/>
    <cellStyle name="Normal 7 2 2 2 3 2 5 2 4 3 5 4 2 4" xfId="2223" xr:uid="{00000000-0005-0000-0000-00002A070000}"/>
    <cellStyle name="Normal 7 2 2 2 3 2 5 2 4 3 5 4 2 5" xfId="2229" xr:uid="{00000000-0005-0000-0000-00002B070000}"/>
    <cellStyle name="Normal 7 2 2 2 3 2 5 2 4 3 5 4 2 6" xfId="2232" xr:uid="{00000000-0005-0000-0000-00002C070000}"/>
    <cellStyle name="Normal 7 2 2 2 3 2 5 3" xfId="1462" xr:uid="{00000000-0005-0000-0000-00002D070000}"/>
    <cellStyle name="Normal 7 2 2 2 4" xfId="1800" xr:uid="{00000000-0005-0000-0000-00002E070000}"/>
    <cellStyle name="Normal 7 2 2 3" xfId="1064" xr:uid="{00000000-0005-0000-0000-00002F070000}"/>
    <cellStyle name="Normal 7 2 2 3 2" xfId="1440" xr:uid="{00000000-0005-0000-0000-000030070000}"/>
    <cellStyle name="Normal 7 2 2 3 2 2" xfId="1441" xr:uid="{00000000-0005-0000-0000-000031070000}"/>
    <cellStyle name="Normal 7 2 2 3 2 3" xfId="1444" xr:uid="{00000000-0005-0000-0000-000032070000}"/>
    <cellStyle name="Normal 7 2 2 3 2 3 2" xfId="1447" xr:uid="{00000000-0005-0000-0000-000033070000}"/>
    <cellStyle name="Normal 7 2 2 3 2 4" xfId="1450" xr:uid="{00000000-0005-0000-0000-000034070000}"/>
    <cellStyle name="Normal 7 2 2 3 2 5" xfId="1453" xr:uid="{00000000-0005-0000-0000-000035070000}"/>
    <cellStyle name="Normal 7 2 2 3 2 5 2" xfId="1458" xr:uid="{00000000-0005-0000-0000-000036070000}"/>
    <cellStyle name="Normal 7 2 2 3 2 5 2 2" xfId="1465" xr:uid="{00000000-0005-0000-0000-000037070000}"/>
    <cellStyle name="Normal 7 2 2 3 2 5 2 3" xfId="1473" xr:uid="{00000000-0005-0000-0000-000038070000}"/>
    <cellStyle name="Normal 7 2 2 3 2 5 2 3 2" xfId="1481" xr:uid="{00000000-0005-0000-0000-000039070000}"/>
    <cellStyle name="Normal 7 2 2 3 2 5 2 3 2 2" xfId="1486" xr:uid="{00000000-0005-0000-0000-00003A070000}"/>
    <cellStyle name="Normal 7 2 2 3 2 5 2 3 2 2 2" xfId="1491" xr:uid="{00000000-0005-0000-0000-00003B070000}"/>
    <cellStyle name="Normal 7 2 2 3 2 5 2 3 2 2 2 2" xfId="1498" xr:uid="{00000000-0005-0000-0000-00003C070000}"/>
    <cellStyle name="Normal 7 2 2 3 2 5 2 3 2 2 2 2 2" xfId="1502" xr:uid="{00000000-0005-0000-0000-00003D070000}"/>
    <cellStyle name="Normal 7 2 2 3 2 5 2 3 2 2 2 2 2 10" xfId="36" xr:uid="{00000000-0005-0000-0000-00003E070000}"/>
    <cellStyle name="Normal 7 2 2 3 2 5 2 3 2 2 2 2 2 2" xfId="1507" xr:uid="{00000000-0005-0000-0000-00003F070000}"/>
    <cellStyle name="Normal 7 2 2 3 2 5 2 3 2 2 2 2 2 3" xfId="1513" xr:uid="{00000000-0005-0000-0000-000040070000}"/>
    <cellStyle name="Normal 7 2 2 3 2 5 2 3 2 2 2 2 2 4" xfId="1519" xr:uid="{00000000-0005-0000-0000-000041070000}"/>
    <cellStyle name="Normal 7 2 2 3 2 5 2 3 2 2 2 2 2 5" xfId="1873" xr:uid="{00000000-0005-0000-0000-000042070000}"/>
    <cellStyle name="Normal 7 2 2 3 2 5 2 3 2 2 2 2 2 5 2" xfId="2203" xr:uid="{00000000-0005-0000-0000-000043070000}"/>
    <cellStyle name="Normal 7 2 2 3 2 5 2 3 2 2 2 2 2 6" xfId="2201" xr:uid="{00000000-0005-0000-0000-000044070000}"/>
    <cellStyle name="Normal 7 2 2 3 2 5 2 3 2 2 2 2 2 7" xfId="2210" xr:uid="{00000000-0005-0000-0000-000045070000}"/>
    <cellStyle name="Normal 7 2 2 3 2 5 2 3 2 2 2 2 2 7 2" xfId="2216" xr:uid="{00000000-0005-0000-0000-000046070000}"/>
    <cellStyle name="Normal 7 2 2 3 2 5 2 3 2 2 2 2 2 8" xfId="2222" xr:uid="{00000000-0005-0000-0000-000047070000}"/>
    <cellStyle name="Normal 7 2 2 3 2 5 2 3 2 2 2 2 2 9" xfId="2228" xr:uid="{00000000-0005-0000-0000-000048070000}"/>
    <cellStyle name="Normal 7 2 2 3 2 5 3" xfId="1464" xr:uid="{00000000-0005-0000-0000-000049070000}"/>
    <cellStyle name="Normal 7 2 2 3 2 6" xfId="1456" xr:uid="{00000000-0005-0000-0000-00004A070000}"/>
    <cellStyle name="Normal 7 2 2 3 2 6 2" xfId="1461" xr:uid="{00000000-0005-0000-0000-00004B070000}"/>
    <cellStyle name="Normal 7 2 2 3 2 6 3" xfId="1475" xr:uid="{00000000-0005-0000-0000-00004C070000}"/>
    <cellStyle name="Normal 7 2 2 3 2 6 3 2" xfId="1479" xr:uid="{00000000-0005-0000-0000-00004D070000}"/>
    <cellStyle name="Normal 7 2 2 3 2 6 3 2 2" xfId="1484" xr:uid="{00000000-0005-0000-0000-00004E070000}"/>
    <cellStyle name="Normal 7 2 2 3 2 6 3 2 3" xfId="1489" xr:uid="{00000000-0005-0000-0000-00004F070000}"/>
    <cellStyle name="Normal 7 2 2 3 2 6 3 2 3 2" xfId="1496" xr:uid="{00000000-0005-0000-0000-000050070000}"/>
    <cellStyle name="Normal 7 2 2 3 2 6 3 2 3 2 2" xfId="1500" xr:uid="{00000000-0005-0000-0000-000051070000}"/>
    <cellStyle name="Normal 7 2 2 3 2 6 3 2 3 2 2 10" xfId="34" xr:uid="{00000000-0005-0000-0000-000052070000}"/>
    <cellStyle name="Normal 7 2 2 3 2 6 3 2 3 2 2 2" xfId="1505" xr:uid="{00000000-0005-0000-0000-000053070000}"/>
    <cellStyle name="Normal 7 2 2 3 2 6 3 2 3 2 2 3" xfId="1511" xr:uid="{00000000-0005-0000-0000-000054070000}"/>
    <cellStyle name="Normal 7 2 2 3 2 6 3 2 3 2 2 4" xfId="1517" xr:uid="{00000000-0005-0000-0000-000055070000}"/>
    <cellStyle name="Normal 7 2 2 3 2 6 3 2 3 2 2 5" xfId="1871" xr:uid="{00000000-0005-0000-0000-000056070000}"/>
    <cellStyle name="Normal 7 2 2 3 2 6 3 2 3 2 2 5 2" xfId="2204" xr:uid="{00000000-0005-0000-0000-000057070000}"/>
    <cellStyle name="Normal 7 2 2 3 2 6 3 2 3 2 2 6" xfId="2199" xr:uid="{00000000-0005-0000-0000-000058070000}"/>
    <cellStyle name="Normal 7 2 2 3 2 6 3 2 3 2 2 7" xfId="2208" xr:uid="{00000000-0005-0000-0000-000059070000}"/>
    <cellStyle name="Normal 7 2 2 3 2 6 3 2 3 2 2 7 2" xfId="2214" xr:uid="{00000000-0005-0000-0000-00005A070000}"/>
    <cellStyle name="Normal 7 2 2 3 2 6 3 2 3 2 2 8" xfId="2220" xr:uid="{00000000-0005-0000-0000-00005B070000}"/>
    <cellStyle name="Normal 7 2 2 3 2 6 3 2 3 2 2 9" xfId="2226" xr:uid="{00000000-0005-0000-0000-00005C070000}"/>
    <cellStyle name="Normal 7 2 2 3 2 7" xfId="1460" xr:uid="{00000000-0005-0000-0000-00005D070000}"/>
    <cellStyle name="Normal 7 2 2 3 2 8" xfId="1472" xr:uid="{00000000-0005-0000-0000-00005E070000}"/>
    <cellStyle name="Normal 7 2 2 3 2 8 2" xfId="1478" xr:uid="{00000000-0005-0000-0000-00005F070000}"/>
    <cellStyle name="Normal 7 2 2 3 2 8 2 2" xfId="1483" xr:uid="{00000000-0005-0000-0000-000060070000}"/>
    <cellStyle name="Normal 7 2 2 3 2 8 2 3" xfId="1488" xr:uid="{00000000-0005-0000-0000-000061070000}"/>
    <cellStyle name="Normal 7 2 2 3 2 8 2 3 2" xfId="1495" xr:uid="{00000000-0005-0000-0000-000062070000}"/>
    <cellStyle name="Normal 7 2 2 3 2 8 2 3 2 2" xfId="33" xr:uid="{00000000-0005-0000-0000-000063070000}"/>
    <cellStyle name="Normal 7 2 2 3 2 8 2 3 2 2 10" xfId="2231" xr:uid="{00000000-0005-0000-0000-000064070000}"/>
    <cellStyle name="Normal 7 2 2 3 2 8 2 3 2 2 2" xfId="1504" xr:uid="{00000000-0005-0000-0000-000065070000}"/>
    <cellStyle name="Normal 7 2 2 3 2 8 2 3 2 2 3" xfId="1510" xr:uid="{00000000-0005-0000-0000-000066070000}"/>
    <cellStyle name="Normal 7 2 2 3 2 8 2 3 2 2 4" xfId="1516" xr:uid="{00000000-0005-0000-0000-000067070000}"/>
    <cellStyle name="Normal 7 2 2 3 2 8 2 3 2 2 5" xfId="1870" xr:uid="{00000000-0005-0000-0000-000068070000}"/>
    <cellStyle name="Normal 7 2 2 3 2 8 2 3 2 2 5 2" xfId="39" xr:uid="{00000000-0005-0000-0000-000069070000}"/>
    <cellStyle name="Normal 7 2 2 3 2 8 2 3 2 2 6" xfId="2198" xr:uid="{00000000-0005-0000-0000-00006A070000}"/>
    <cellStyle name="Normal 7 2 2 3 2 8 2 3 2 2 7" xfId="2207" xr:uid="{00000000-0005-0000-0000-00006B070000}"/>
    <cellStyle name="Normal 7 2 2 3 2 8 2 3 2 2 7 2" xfId="2213" xr:uid="{00000000-0005-0000-0000-00006C070000}"/>
    <cellStyle name="Normal 7 2 2 3 2 8 2 3 2 2 8" xfId="2219" xr:uid="{00000000-0005-0000-0000-00006D070000}"/>
    <cellStyle name="Normal 7 2 2 3 2 8 2 3 2 2 9" xfId="2225" xr:uid="{00000000-0005-0000-0000-00006E070000}"/>
    <cellStyle name="Normal 7 2 2 3 2 8 2 4" xfId="1494" xr:uid="{00000000-0005-0000-0000-00006F070000}"/>
    <cellStyle name="Normal 7 2 2 3 2 8 2 4 2" xfId="31" xr:uid="{00000000-0005-0000-0000-000070070000}"/>
    <cellStyle name="Normal 7 2 2 3 2 8 2 4 2 10" xfId="2230" xr:uid="{00000000-0005-0000-0000-000071070000}"/>
    <cellStyle name="Normal 7 2 2 3 2 8 2 4 2 2" xfId="1503" xr:uid="{00000000-0005-0000-0000-000072070000}"/>
    <cellStyle name="Normal 7 2 2 3 2 8 2 4 2 3" xfId="1509" xr:uid="{00000000-0005-0000-0000-000073070000}"/>
    <cellStyle name="Normal 7 2 2 3 2 8 2 4 2 4" xfId="1515" xr:uid="{00000000-0005-0000-0000-000074070000}"/>
    <cellStyle name="Normal 7 2 2 3 2 8 2 4 2 5" xfId="1869" xr:uid="{00000000-0005-0000-0000-000075070000}"/>
    <cellStyle name="Normal 7 2 2 3 2 8 2 4 2 5 2" xfId="38" xr:uid="{00000000-0005-0000-0000-000076070000}"/>
    <cellStyle name="Normal 7 2 2 3 2 8 2 4 2 6" xfId="2197" xr:uid="{00000000-0005-0000-0000-000077070000}"/>
    <cellStyle name="Normal 7 2 2 3 2 8 2 4 2 7" xfId="2206" xr:uid="{00000000-0005-0000-0000-000078070000}"/>
    <cellStyle name="Normal 7 2 2 3 2 8 2 4 2 7 2" xfId="2212" xr:uid="{00000000-0005-0000-0000-000079070000}"/>
    <cellStyle name="Normal 7 2 2 3 2 8 2 4 2 8" xfId="2218" xr:uid="{00000000-0005-0000-0000-00007A070000}"/>
    <cellStyle name="Normal 7 2 2 3 2 8 2 4 2 9" xfId="2224" xr:uid="{00000000-0005-0000-0000-00007B070000}"/>
    <cellStyle name="Normal 7 2 2 4" xfId="1320" xr:uid="{00000000-0005-0000-0000-00007C070000}"/>
    <cellStyle name="Normal 7 2 2 5" xfId="1801" xr:uid="{00000000-0005-0000-0000-00007D070000}"/>
    <cellStyle name="Normal 7 2 2 6" xfId="2217" xr:uid="{00000000-0005-0000-0000-00007E070000}"/>
    <cellStyle name="Normal 7 2 2_DGO" xfId="1802" xr:uid="{00000000-0005-0000-0000-00007F070000}"/>
    <cellStyle name="Normal 7 2 4" xfId="701" xr:uid="{00000000-0005-0000-0000-000080070000}"/>
    <cellStyle name="Normal 7 3" xfId="702" xr:uid="{00000000-0005-0000-0000-000081070000}"/>
    <cellStyle name="Normal 7 3 2" xfId="703" xr:uid="{00000000-0005-0000-0000-000082070000}"/>
    <cellStyle name="Normal 7 3 2 2" xfId="1321" xr:uid="{00000000-0005-0000-0000-000083070000}"/>
    <cellStyle name="Normal 7 3 2 3" xfId="1322" xr:uid="{00000000-0005-0000-0000-000084070000}"/>
    <cellStyle name="Normal 7 3 2 4" xfId="1803" xr:uid="{00000000-0005-0000-0000-000085070000}"/>
    <cellStyle name="Normal 7 3 3" xfId="1323" xr:uid="{00000000-0005-0000-0000-000086070000}"/>
    <cellStyle name="Normal 7 3 4" xfId="1324" xr:uid="{00000000-0005-0000-0000-000087070000}"/>
    <cellStyle name="Normal 7 3 5" xfId="1804" xr:uid="{00000000-0005-0000-0000-000088070000}"/>
    <cellStyle name="Normal 7 3_DGO" xfId="1805" xr:uid="{00000000-0005-0000-0000-000089070000}"/>
    <cellStyle name="Normal 7 4" xfId="704" xr:uid="{00000000-0005-0000-0000-00008A070000}"/>
    <cellStyle name="Normal 7 4 2" xfId="1325" xr:uid="{00000000-0005-0000-0000-00008B070000}"/>
    <cellStyle name="Normal 7 4 3" xfId="1326" xr:uid="{00000000-0005-0000-0000-00008C070000}"/>
    <cellStyle name="Normal 7 4 4" xfId="1806" xr:uid="{00000000-0005-0000-0000-00008D070000}"/>
    <cellStyle name="Normal 7 5" xfId="1011" xr:uid="{00000000-0005-0000-0000-00008E070000}"/>
    <cellStyle name="Normal 7_Livro1" xfId="1807" xr:uid="{00000000-0005-0000-0000-00008F070000}"/>
    <cellStyle name="Normal 70" xfId="1006" xr:uid="{00000000-0005-0000-0000-000090070000}"/>
    <cellStyle name="Normal 71" xfId="1438" xr:uid="{00000000-0005-0000-0000-000091070000}"/>
    <cellStyle name="Normal 72" xfId="2249" xr:uid="{00000000-0005-0000-0000-000092070000}"/>
    <cellStyle name="Normal 72 2" xfId="2321" xr:uid="{00000000-0005-0000-0000-000093070000}"/>
    <cellStyle name="Normal 73" xfId="2257" xr:uid="{00000000-0005-0000-0000-000094070000}"/>
    <cellStyle name="Normal 74" xfId="2258" xr:uid="{00000000-0005-0000-0000-000095070000}"/>
    <cellStyle name="Normal 75" xfId="2259" xr:uid="{00000000-0005-0000-0000-000096070000}"/>
    <cellStyle name="Normal 76" xfId="2260" xr:uid="{00000000-0005-0000-0000-000097070000}"/>
    <cellStyle name="Normal 77" xfId="2261" xr:uid="{00000000-0005-0000-0000-000098070000}"/>
    <cellStyle name="Normal 78" xfId="2262" xr:uid="{00000000-0005-0000-0000-000099070000}"/>
    <cellStyle name="Normal 79" xfId="2270" xr:uid="{00000000-0005-0000-0000-00009A070000}"/>
    <cellStyle name="Normal 8" xfId="705" xr:uid="{00000000-0005-0000-0000-00009B070000}"/>
    <cellStyle name="Normal 8 2" xfId="706" xr:uid="{00000000-0005-0000-0000-00009C070000}"/>
    <cellStyle name="Normal 8 2 2" xfId="707" xr:uid="{00000000-0005-0000-0000-00009D070000}"/>
    <cellStyle name="Normal 8 2 2 2" xfId="1327" xr:uid="{00000000-0005-0000-0000-00009E070000}"/>
    <cellStyle name="Normal 8 2 2 3" xfId="1328" xr:uid="{00000000-0005-0000-0000-00009F070000}"/>
    <cellStyle name="Normal 8 2 2 4" xfId="1808" xr:uid="{00000000-0005-0000-0000-0000A0070000}"/>
    <cellStyle name="Normal 8 2 3" xfId="1067" xr:uid="{00000000-0005-0000-0000-0000A1070000}"/>
    <cellStyle name="Normal 8 2 3 2" xfId="1329" xr:uid="{00000000-0005-0000-0000-0000A2070000}"/>
    <cellStyle name="Normal 8 2 4" xfId="1330" xr:uid="{00000000-0005-0000-0000-0000A3070000}"/>
    <cellStyle name="Normal 8 2 5" xfId="1809" xr:uid="{00000000-0005-0000-0000-0000A4070000}"/>
    <cellStyle name="Normal 8 2_DGO" xfId="1810" xr:uid="{00000000-0005-0000-0000-0000A5070000}"/>
    <cellStyle name="Normal 8 3" xfId="708" xr:uid="{00000000-0005-0000-0000-0000A6070000}"/>
    <cellStyle name="Normal 8 3 2" xfId="1075" xr:uid="{00000000-0005-0000-0000-0000A7070000}"/>
    <cellStyle name="Normal 8 3 2 2" xfId="1331" xr:uid="{00000000-0005-0000-0000-0000A8070000}"/>
    <cellStyle name="Normal 8 3 3" xfId="1332" xr:uid="{00000000-0005-0000-0000-0000A9070000}"/>
    <cellStyle name="Normal 8 3 4" xfId="1811" xr:uid="{00000000-0005-0000-0000-0000AA070000}"/>
    <cellStyle name="Normal 8 4" xfId="709" xr:uid="{00000000-0005-0000-0000-0000AB070000}"/>
    <cellStyle name="Normal 8 4 2" xfId="2104" xr:uid="{00000000-0005-0000-0000-0000AC070000}"/>
    <cellStyle name="Normal 8 5" xfId="1012" xr:uid="{00000000-0005-0000-0000-0000AD070000}"/>
    <cellStyle name="Normal 8 5 2" xfId="1333" xr:uid="{00000000-0005-0000-0000-0000AE070000}"/>
    <cellStyle name="Normal 8 6" xfId="1334" xr:uid="{00000000-0005-0000-0000-0000AF070000}"/>
    <cellStyle name="Normal 8 7" xfId="1812" xr:uid="{00000000-0005-0000-0000-0000B0070000}"/>
    <cellStyle name="Normal 8_DGO" xfId="1813" xr:uid="{00000000-0005-0000-0000-0000B1070000}"/>
    <cellStyle name="Normal 80" xfId="2271" xr:uid="{00000000-0005-0000-0000-0000B2070000}"/>
    <cellStyle name="Normal 81" xfId="2272" xr:uid="{00000000-0005-0000-0000-0000B3070000}"/>
    <cellStyle name="Normal 82" xfId="2273" xr:uid="{00000000-0005-0000-0000-0000B4070000}"/>
    <cellStyle name="Normal 83" xfId="2305" xr:uid="{00000000-0005-0000-0000-0000B5070000}"/>
    <cellStyle name="Normal 84" xfId="2306" xr:uid="{00000000-0005-0000-0000-0000B6070000}"/>
    <cellStyle name="Normal 85" xfId="2307" xr:uid="{00000000-0005-0000-0000-0000B7070000}"/>
    <cellStyle name="Normal 86" xfId="2309" xr:uid="{00000000-0005-0000-0000-0000B8070000}"/>
    <cellStyle name="Normal 87" xfId="2317" xr:uid="{00000000-0005-0000-0000-0000B9070000}"/>
    <cellStyle name="Normal 88" xfId="2318" xr:uid="{00000000-0005-0000-0000-0000BA070000}"/>
    <cellStyle name="Normal 89" xfId="2319" xr:uid="{00000000-0005-0000-0000-0000BB070000}"/>
    <cellStyle name="Normal 9" xfId="710" xr:uid="{00000000-0005-0000-0000-0000BC070000}"/>
    <cellStyle name="Normal 9 2" xfId="711" xr:uid="{00000000-0005-0000-0000-0000BD070000}"/>
    <cellStyle name="Normal 9 3" xfId="712" xr:uid="{00000000-0005-0000-0000-0000BE070000}"/>
    <cellStyle name="Normal 90" xfId="2323" xr:uid="{00000000-0005-0000-0000-0000BF070000}"/>
    <cellStyle name="Normal 91" xfId="2331" xr:uid="{00000000-0005-0000-0000-0000C0070000}"/>
    <cellStyle name="Normal 92" xfId="2332" xr:uid="{00000000-0005-0000-0000-0000C1070000}"/>
    <cellStyle name="Normal 93" xfId="2333" xr:uid="{00000000-0005-0000-0000-0000C2070000}"/>
    <cellStyle name="Normal 94" xfId="2334" xr:uid="{00000000-0005-0000-0000-0000C3070000}"/>
    <cellStyle name="Normal 95" xfId="2335" xr:uid="{00000000-0005-0000-0000-0000C4070000}"/>
    <cellStyle name="Normal 96" xfId="2343" xr:uid="{00000000-0005-0000-0000-0000C5070000}"/>
    <cellStyle name="Normal 97" xfId="2344" xr:uid="{00000000-0005-0000-0000-0000C6070000}"/>
    <cellStyle name="Normal 98" xfId="2345" xr:uid="{00000000-0005-0000-0000-0000C7070000}"/>
    <cellStyle name="Normal 99" xfId="2346" xr:uid="{00000000-0005-0000-0000-0000C8070000}"/>
    <cellStyle name="Normal Bold" xfId="713" xr:uid="{00000000-0005-0000-0000-0000C9070000}"/>
    <cellStyle name="Normal_DGO" xfId="2322" xr:uid="{00000000-0005-0000-0000-0000CA070000}"/>
    <cellStyle name="Normal_Quadro11_142006" xfId="28" xr:uid="{00000000-0005-0000-0000-0000CB070000}"/>
    <cellStyle name="Normalny_koszt" xfId="714" xr:uid="{00000000-0005-0000-0000-0000CC070000}"/>
    <cellStyle name="Nota 10" xfId="715" xr:uid="{00000000-0005-0000-0000-0000CD070000}"/>
    <cellStyle name="Nota 10 2" xfId="1336" xr:uid="{00000000-0005-0000-0000-0000CE070000}"/>
    <cellStyle name="Nota 10 3" xfId="1337" xr:uid="{00000000-0005-0000-0000-0000CF070000}"/>
    <cellStyle name="Nota 10 4" xfId="1814" xr:uid="{00000000-0005-0000-0000-0000D0070000}"/>
    <cellStyle name="Nota 11" xfId="716" xr:uid="{00000000-0005-0000-0000-0000D1070000}"/>
    <cellStyle name="Nota 11 2" xfId="1338" xr:uid="{00000000-0005-0000-0000-0000D2070000}"/>
    <cellStyle name="Nota 11 3" xfId="1339" xr:uid="{00000000-0005-0000-0000-0000D3070000}"/>
    <cellStyle name="Nota 11 4" xfId="1815" xr:uid="{00000000-0005-0000-0000-0000D4070000}"/>
    <cellStyle name="Nota 12" xfId="717" xr:uid="{00000000-0005-0000-0000-0000D5070000}"/>
    <cellStyle name="Nota 12 2" xfId="2105" xr:uid="{00000000-0005-0000-0000-0000D6070000}"/>
    <cellStyle name="Nota 2" xfId="718" xr:uid="{00000000-0005-0000-0000-0000D7070000}"/>
    <cellStyle name="Nota 2 10" xfId="719" xr:uid="{00000000-0005-0000-0000-0000D8070000}"/>
    <cellStyle name="Nota 2 10 2" xfId="2106" xr:uid="{00000000-0005-0000-0000-0000D9070000}"/>
    <cellStyle name="Nota 2 11" xfId="720" xr:uid="{00000000-0005-0000-0000-0000DA070000}"/>
    <cellStyle name="Nota 2 11 2" xfId="2107" xr:uid="{00000000-0005-0000-0000-0000DB070000}"/>
    <cellStyle name="Nota 2 12" xfId="1340" xr:uid="{00000000-0005-0000-0000-0000DC070000}"/>
    <cellStyle name="Nota 2 13" xfId="1341" xr:uid="{00000000-0005-0000-0000-0000DD070000}"/>
    <cellStyle name="Nota 2 2" xfId="721" xr:uid="{00000000-0005-0000-0000-0000DE070000}"/>
    <cellStyle name="Nota 2 2 2" xfId="1013" xr:uid="{00000000-0005-0000-0000-0000DF070000}"/>
    <cellStyle name="Nota 2 2 2 2" xfId="2108" xr:uid="{00000000-0005-0000-0000-0000E0070000}"/>
    <cellStyle name="Nota 2 3" xfId="722" xr:uid="{00000000-0005-0000-0000-0000E1070000}"/>
    <cellStyle name="Nota 2 3 2" xfId="1014" xr:uid="{00000000-0005-0000-0000-0000E2070000}"/>
    <cellStyle name="Nota 2 3 2 2" xfId="2109" xr:uid="{00000000-0005-0000-0000-0000E3070000}"/>
    <cellStyle name="Nota 2 4" xfId="723" xr:uid="{00000000-0005-0000-0000-0000E4070000}"/>
    <cellStyle name="Nota 2 4 2" xfId="1015" xr:uid="{00000000-0005-0000-0000-0000E5070000}"/>
    <cellStyle name="Nota 2 4 2 2" xfId="2110" xr:uid="{00000000-0005-0000-0000-0000E6070000}"/>
    <cellStyle name="Nota 2 5" xfId="724" xr:uid="{00000000-0005-0000-0000-0000E7070000}"/>
    <cellStyle name="Nota 2 5 2" xfId="2111" xr:uid="{00000000-0005-0000-0000-0000E8070000}"/>
    <cellStyle name="Nota 2 6" xfId="725" xr:uid="{00000000-0005-0000-0000-0000E9070000}"/>
    <cellStyle name="Nota 2 6 2" xfId="2112" xr:uid="{00000000-0005-0000-0000-0000EA070000}"/>
    <cellStyle name="Nota 2 7" xfId="726" xr:uid="{00000000-0005-0000-0000-0000EB070000}"/>
    <cellStyle name="Nota 2 7 2" xfId="2113" xr:uid="{00000000-0005-0000-0000-0000EC070000}"/>
    <cellStyle name="Nota 2 8" xfId="727" xr:uid="{00000000-0005-0000-0000-0000ED070000}"/>
    <cellStyle name="Nota 2 8 2" xfId="2114" xr:uid="{00000000-0005-0000-0000-0000EE070000}"/>
    <cellStyle name="Nota 2 9" xfId="728" xr:uid="{00000000-0005-0000-0000-0000EF070000}"/>
    <cellStyle name="Nota 2 9 2" xfId="2115" xr:uid="{00000000-0005-0000-0000-0000F0070000}"/>
    <cellStyle name="Nota 2_INE_DGO_TC" xfId="1816" xr:uid="{00000000-0005-0000-0000-0000F1070000}"/>
    <cellStyle name="Nota 3" xfId="729" xr:uid="{00000000-0005-0000-0000-0000F2070000}"/>
    <cellStyle name="Nota 4" xfId="730" xr:uid="{00000000-0005-0000-0000-0000F3070000}"/>
    <cellStyle name="Nota 5" xfId="731" xr:uid="{00000000-0005-0000-0000-0000F4070000}"/>
    <cellStyle name="Nota 5 2" xfId="1342" xr:uid="{00000000-0005-0000-0000-0000F5070000}"/>
    <cellStyle name="Nota 5 3" xfId="1343" xr:uid="{00000000-0005-0000-0000-0000F6070000}"/>
    <cellStyle name="Nota 5 4" xfId="1817" xr:uid="{00000000-0005-0000-0000-0000F7070000}"/>
    <cellStyle name="Nota 6" xfId="732" xr:uid="{00000000-0005-0000-0000-0000F8070000}"/>
    <cellStyle name="Nota 6 2" xfId="1344" xr:uid="{00000000-0005-0000-0000-0000F9070000}"/>
    <cellStyle name="Nota 6 3" xfId="1345" xr:uid="{00000000-0005-0000-0000-0000FA070000}"/>
    <cellStyle name="Nota 6 4" xfId="1818" xr:uid="{00000000-0005-0000-0000-0000FB070000}"/>
    <cellStyle name="Nota 7" xfId="733" xr:uid="{00000000-0005-0000-0000-0000FC070000}"/>
    <cellStyle name="Nota 7 2" xfId="1346" xr:uid="{00000000-0005-0000-0000-0000FD070000}"/>
    <cellStyle name="Nota 7 3" xfId="1347" xr:uid="{00000000-0005-0000-0000-0000FE070000}"/>
    <cellStyle name="Nota 7 4" xfId="1819" xr:uid="{00000000-0005-0000-0000-0000FF070000}"/>
    <cellStyle name="Nota 8" xfId="734" xr:uid="{00000000-0005-0000-0000-000000080000}"/>
    <cellStyle name="Nota 8 2" xfId="1348" xr:uid="{00000000-0005-0000-0000-000001080000}"/>
    <cellStyle name="Nota 8 3" xfId="1349" xr:uid="{00000000-0005-0000-0000-000002080000}"/>
    <cellStyle name="Nota 8 4" xfId="1820" xr:uid="{00000000-0005-0000-0000-000003080000}"/>
    <cellStyle name="Nota 9" xfId="735" xr:uid="{00000000-0005-0000-0000-000004080000}"/>
    <cellStyle name="Nota 9 2" xfId="1350" xr:uid="{00000000-0005-0000-0000-000005080000}"/>
    <cellStyle name="Nota 9 3" xfId="1351" xr:uid="{00000000-0005-0000-0000-000006080000}"/>
    <cellStyle name="Nota 9 4" xfId="1821" xr:uid="{00000000-0005-0000-0000-000007080000}"/>
    <cellStyle name="Note" xfId="736" xr:uid="{00000000-0005-0000-0000-000008080000}"/>
    <cellStyle name="Note 2" xfId="737" xr:uid="{00000000-0005-0000-0000-000009080000}"/>
    <cellStyle name="Note 2 2" xfId="1017" xr:uid="{00000000-0005-0000-0000-00000A080000}"/>
    <cellStyle name="Note 2 2 2" xfId="1353" xr:uid="{00000000-0005-0000-0000-00000B080000}"/>
    <cellStyle name="Note 2 3" xfId="1354" xr:uid="{00000000-0005-0000-0000-00000C080000}"/>
    <cellStyle name="Note 3" xfId="1018" xr:uid="{00000000-0005-0000-0000-00000D080000}"/>
    <cellStyle name="Note 3 2" xfId="2116" xr:uid="{00000000-0005-0000-0000-00000E080000}"/>
    <cellStyle name="Note 4" xfId="1019" xr:uid="{00000000-0005-0000-0000-00000F080000}"/>
    <cellStyle name="Note 4 2" xfId="2117" xr:uid="{00000000-0005-0000-0000-000010080000}"/>
    <cellStyle name="Note 5" xfId="1016" xr:uid="{00000000-0005-0000-0000-000011080000}"/>
    <cellStyle name="Note 5 2" xfId="1355" xr:uid="{00000000-0005-0000-0000-000012080000}"/>
    <cellStyle name="Note 6" xfId="1356" xr:uid="{00000000-0005-0000-0000-000013080000}"/>
    <cellStyle name="Note_DGO" xfId="1822" xr:uid="{00000000-0005-0000-0000-000014080000}"/>
    <cellStyle name="num s dec" xfId="738" xr:uid="{00000000-0005-0000-0000-000015080000}"/>
    <cellStyle name="num s dec 2" xfId="2118" xr:uid="{00000000-0005-0000-0000-000016080000}"/>
    <cellStyle name="NUMLINHA" xfId="1823" xr:uid="{00000000-0005-0000-0000-000017080000}"/>
    <cellStyle name="NUMLINHA 2" xfId="2119" xr:uid="{00000000-0005-0000-0000-000018080000}"/>
    <cellStyle name="Opis" xfId="739" xr:uid="{00000000-0005-0000-0000-000019080000}"/>
    <cellStyle name="Output" xfId="740" xr:uid="{00000000-0005-0000-0000-00001A080000}"/>
    <cellStyle name="Output 2" xfId="741" xr:uid="{00000000-0005-0000-0000-00001B080000}"/>
    <cellStyle name="Output 2 2" xfId="1357" xr:uid="{00000000-0005-0000-0000-00001C080000}"/>
    <cellStyle name="Output 2 3" xfId="1358" xr:uid="{00000000-0005-0000-0000-00001D080000}"/>
    <cellStyle name="Output 3" xfId="1020" xr:uid="{00000000-0005-0000-0000-00001E080000}"/>
    <cellStyle name="Output 4" xfId="1021" xr:uid="{00000000-0005-0000-0000-00001F080000}"/>
    <cellStyle name="Output 5" xfId="1359" xr:uid="{00000000-0005-0000-0000-000020080000}"/>
    <cellStyle name="Output 6" xfId="1360" xr:uid="{00000000-0005-0000-0000-000021080000}"/>
    <cellStyle name="Output_efeito da reposicao de subsidios em 2013 (2)" xfId="1824" xr:uid="{00000000-0005-0000-0000-000022080000}"/>
    <cellStyle name="pequeno" xfId="742" xr:uid="{00000000-0005-0000-0000-000023080000}"/>
    <cellStyle name="pequeno 2" xfId="2120" xr:uid="{00000000-0005-0000-0000-000024080000}"/>
    <cellStyle name="PERCENT" xfId="743" xr:uid="{00000000-0005-0000-0000-000025080000}"/>
    <cellStyle name="Percent [0]" xfId="1825" xr:uid="{00000000-0005-0000-0000-000026080000}"/>
    <cellStyle name="Percent [0] 2" xfId="2121" xr:uid="{00000000-0005-0000-0000-000027080000}"/>
    <cellStyle name="Percent [00]" xfId="1826" xr:uid="{00000000-0005-0000-0000-000028080000}"/>
    <cellStyle name="Percent [00] 2" xfId="2122" xr:uid="{00000000-0005-0000-0000-000029080000}"/>
    <cellStyle name="Percent [2]" xfId="744" xr:uid="{00000000-0005-0000-0000-00002A080000}"/>
    <cellStyle name="Percent [2] 2" xfId="2123" xr:uid="{00000000-0005-0000-0000-00002B080000}"/>
    <cellStyle name="Percent 2" xfId="745" xr:uid="{00000000-0005-0000-0000-00002C080000}"/>
    <cellStyle name="Percent 2 10" xfId="746" xr:uid="{00000000-0005-0000-0000-00002D080000}"/>
    <cellStyle name="Percent 2 10 2" xfId="2124" xr:uid="{00000000-0005-0000-0000-00002E080000}"/>
    <cellStyle name="Percent 2 11" xfId="747" xr:uid="{00000000-0005-0000-0000-00002F080000}"/>
    <cellStyle name="Percent 2 11 2" xfId="2125" xr:uid="{00000000-0005-0000-0000-000030080000}"/>
    <cellStyle name="Percent 2 12" xfId="748" xr:uid="{00000000-0005-0000-0000-000031080000}"/>
    <cellStyle name="Percent 2 12 2" xfId="2126" xr:uid="{00000000-0005-0000-0000-000032080000}"/>
    <cellStyle name="Percent 2 13" xfId="749" xr:uid="{00000000-0005-0000-0000-000033080000}"/>
    <cellStyle name="Percent 2 13 2" xfId="2127" xr:uid="{00000000-0005-0000-0000-000034080000}"/>
    <cellStyle name="Percent 2 14" xfId="750" xr:uid="{00000000-0005-0000-0000-000035080000}"/>
    <cellStyle name="Percent 2 14 2" xfId="2128" xr:uid="{00000000-0005-0000-0000-000036080000}"/>
    <cellStyle name="Percent 2 15" xfId="751" xr:uid="{00000000-0005-0000-0000-000037080000}"/>
    <cellStyle name="Percent 2 15 2" xfId="2129" xr:uid="{00000000-0005-0000-0000-000038080000}"/>
    <cellStyle name="Percent 2 16" xfId="752" xr:uid="{00000000-0005-0000-0000-000039080000}"/>
    <cellStyle name="Percent 2 16 2" xfId="2130" xr:uid="{00000000-0005-0000-0000-00003A080000}"/>
    <cellStyle name="Percent 2 17" xfId="753" xr:uid="{00000000-0005-0000-0000-00003B080000}"/>
    <cellStyle name="Percent 2 17 2" xfId="2131" xr:uid="{00000000-0005-0000-0000-00003C080000}"/>
    <cellStyle name="Percent 2 18" xfId="754" xr:uid="{00000000-0005-0000-0000-00003D080000}"/>
    <cellStyle name="Percent 2 18 2" xfId="2132" xr:uid="{00000000-0005-0000-0000-00003E080000}"/>
    <cellStyle name="Percent 2 19" xfId="1361" xr:uid="{00000000-0005-0000-0000-00003F080000}"/>
    <cellStyle name="Percent 2 2" xfId="755" xr:uid="{00000000-0005-0000-0000-000040080000}"/>
    <cellStyle name="Percent 2 2 2" xfId="756" xr:uid="{00000000-0005-0000-0000-000041080000}"/>
    <cellStyle name="Percent 2 20" xfId="1363" xr:uid="{00000000-0005-0000-0000-000042080000}"/>
    <cellStyle name="Percent 2 3" xfId="757" xr:uid="{00000000-0005-0000-0000-000043080000}"/>
    <cellStyle name="Percent 2 3 2" xfId="758" xr:uid="{00000000-0005-0000-0000-000044080000}"/>
    <cellStyle name="Percent 2 3 2 2" xfId="1364" xr:uid="{00000000-0005-0000-0000-000045080000}"/>
    <cellStyle name="Percent 2 3 2 3" xfId="1365" xr:uid="{00000000-0005-0000-0000-000046080000}"/>
    <cellStyle name="Percent 2 3 2 4" xfId="1827" xr:uid="{00000000-0005-0000-0000-000047080000}"/>
    <cellStyle name="Percent 2 3 3" xfId="1366" xr:uid="{00000000-0005-0000-0000-000048080000}"/>
    <cellStyle name="Percent 2 3 4" xfId="1367" xr:uid="{00000000-0005-0000-0000-000049080000}"/>
    <cellStyle name="Percent 2 3 5" xfId="1828" xr:uid="{00000000-0005-0000-0000-00004A080000}"/>
    <cellStyle name="Percent 2 4" xfId="759" xr:uid="{00000000-0005-0000-0000-00004B080000}"/>
    <cellStyle name="Percent 2 4 2" xfId="1368" xr:uid="{00000000-0005-0000-0000-00004C080000}"/>
    <cellStyle name="Percent 2 4 3" xfId="1369" xr:uid="{00000000-0005-0000-0000-00004D080000}"/>
    <cellStyle name="Percent 2 4 4" xfId="1829" xr:uid="{00000000-0005-0000-0000-00004E080000}"/>
    <cellStyle name="Percent 2 5" xfId="760" xr:uid="{00000000-0005-0000-0000-00004F080000}"/>
    <cellStyle name="Percent 2 5 2" xfId="1370" xr:uid="{00000000-0005-0000-0000-000050080000}"/>
    <cellStyle name="Percent 2 5 3" xfId="1371" xr:uid="{00000000-0005-0000-0000-000051080000}"/>
    <cellStyle name="Percent 2 5 4" xfId="1830" xr:uid="{00000000-0005-0000-0000-000052080000}"/>
    <cellStyle name="Percent 2 6" xfId="761" xr:uid="{00000000-0005-0000-0000-000053080000}"/>
    <cellStyle name="Percent 2 6 2" xfId="1372" xr:uid="{00000000-0005-0000-0000-000054080000}"/>
    <cellStyle name="Percent 2 6 3" xfId="1373" xr:uid="{00000000-0005-0000-0000-000055080000}"/>
    <cellStyle name="Percent 2 6 4" xfId="1831" xr:uid="{00000000-0005-0000-0000-000056080000}"/>
    <cellStyle name="Percent 2 7" xfId="762" xr:uid="{00000000-0005-0000-0000-000057080000}"/>
    <cellStyle name="Percent 2 7 2" xfId="763" xr:uid="{00000000-0005-0000-0000-000058080000}"/>
    <cellStyle name="Percent 2 7 2 2" xfId="764" xr:uid="{00000000-0005-0000-0000-000059080000}"/>
    <cellStyle name="Percent 2 7 2 2 2" xfId="2133" xr:uid="{00000000-0005-0000-0000-00005A080000}"/>
    <cellStyle name="Percent 2 7 2 3" xfId="765" xr:uid="{00000000-0005-0000-0000-00005B080000}"/>
    <cellStyle name="Percent 2 7 2 3 2" xfId="2134" xr:uid="{00000000-0005-0000-0000-00005C080000}"/>
    <cellStyle name="Percent 2 7 2 4" xfId="766" xr:uid="{00000000-0005-0000-0000-00005D080000}"/>
    <cellStyle name="Percent 2 7 2 4 2" xfId="2135" xr:uid="{00000000-0005-0000-0000-00005E080000}"/>
    <cellStyle name="Percent 2 7 3" xfId="767" xr:uid="{00000000-0005-0000-0000-00005F080000}"/>
    <cellStyle name="Percent 2 7 4" xfId="768" xr:uid="{00000000-0005-0000-0000-000060080000}"/>
    <cellStyle name="Percent 2 7 5" xfId="1374" xr:uid="{00000000-0005-0000-0000-000061080000}"/>
    <cellStyle name="Percent 2 7 6" xfId="1375" xr:uid="{00000000-0005-0000-0000-000062080000}"/>
    <cellStyle name="Percent 2 8" xfId="769" xr:uid="{00000000-0005-0000-0000-000063080000}"/>
    <cellStyle name="Percent 2 8 2" xfId="1376" xr:uid="{00000000-0005-0000-0000-000064080000}"/>
    <cellStyle name="Percent 2 8 3" xfId="1377" xr:uid="{00000000-0005-0000-0000-000065080000}"/>
    <cellStyle name="Percent 2 8 4" xfId="1832" xr:uid="{00000000-0005-0000-0000-000066080000}"/>
    <cellStyle name="Percent 2 9" xfId="770" xr:uid="{00000000-0005-0000-0000-000067080000}"/>
    <cellStyle name="Percent 2 9 2" xfId="2136" xr:uid="{00000000-0005-0000-0000-000068080000}"/>
    <cellStyle name="Percent 3" xfId="771" xr:uid="{00000000-0005-0000-0000-000069080000}"/>
    <cellStyle name="Percent 3 2" xfId="772" xr:uid="{00000000-0005-0000-0000-00006A080000}"/>
    <cellStyle name="Percent 3 3" xfId="2137" xr:uid="{00000000-0005-0000-0000-00006B080000}"/>
    <cellStyle name="Percent 4" xfId="773" xr:uid="{00000000-0005-0000-0000-00006C080000}"/>
    <cellStyle name="Percent 5" xfId="774" xr:uid="{00000000-0005-0000-0000-00006D080000}"/>
    <cellStyle name="Percent 5 2" xfId="2138" xr:uid="{00000000-0005-0000-0000-00006E080000}"/>
    <cellStyle name="Percent 6" xfId="775" xr:uid="{00000000-0005-0000-0000-00006F080000}"/>
    <cellStyle name="Percent 6 2" xfId="2139" xr:uid="{00000000-0005-0000-0000-000070080000}"/>
    <cellStyle name="Percent 7" xfId="776" xr:uid="{00000000-0005-0000-0000-000071080000}"/>
    <cellStyle name="Percent 7 2" xfId="1378" xr:uid="{00000000-0005-0000-0000-000072080000}"/>
    <cellStyle name="Percent 7 3" xfId="1379" xr:uid="{00000000-0005-0000-0000-000073080000}"/>
    <cellStyle name="Percent 7 4" xfId="1833" xr:uid="{00000000-0005-0000-0000-000074080000}"/>
    <cellStyle name="Percent 8" xfId="777" xr:uid="{00000000-0005-0000-0000-000075080000}"/>
    <cellStyle name="Percent 8 2" xfId="1380" xr:uid="{00000000-0005-0000-0000-000076080000}"/>
    <cellStyle name="Percent 8 3" xfId="1381" xr:uid="{00000000-0005-0000-0000-000077080000}"/>
    <cellStyle name="Percent 8 4" xfId="1834" xr:uid="{00000000-0005-0000-0000-000078080000}"/>
    <cellStyle name="PERCENT 9" xfId="2140" xr:uid="{00000000-0005-0000-0000-000079080000}"/>
    <cellStyle name="Percentagem 10" xfId="778" xr:uid="{00000000-0005-0000-0000-00007A080000}"/>
    <cellStyle name="Percentagem 10 2" xfId="1382" xr:uid="{00000000-0005-0000-0000-00007B080000}"/>
    <cellStyle name="Percentagem 10 3" xfId="1383" xr:uid="{00000000-0005-0000-0000-00007C080000}"/>
    <cellStyle name="Percentagem 10 4" xfId="1835" xr:uid="{00000000-0005-0000-0000-00007D080000}"/>
    <cellStyle name="Percentagem 11" xfId="779" xr:uid="{00000000-0005-0000-0000-00007E080000}"/>
    <cellStyle name="Percentagem 11 2" xfId="780" xr:uid="{00000000-0005-0000-0000-00007F080000}"/>
    <cellStyle name="Percentagem 11 2 2" xfId="1384" xr:uid="{00000000-0005-0000-0000-000080080000}"/>
    <cellStyle name="Percentagem 11 2 3" xfId="1385" xr:uid="{00000000-0005-0000-0000-000081080000}"/>
    <cellStyle name="Percentagem 11 2 4" xfId="1836" xr:uid="{00000000-0005-0000-0000-000082080000}"/>
    <cellStyle name="Percentagem 11 3" xfId="1386" xr:uid="{00000000-0005-0000-0000-000083080000}"/>
    <cellStyle name="Percentagem 11 4" xfId="1387" xr:uid="{00000000-0005-0000-0000-000084080000}"/>
    <cellStyle name="Percentagem 11 5" xfId="1837" xr:uid="{00000000-0005-0000-0000-000085080000}"/>
    <cellStyle name="Percentagem 12" xfId="1838" xr:uid="{00000000-0005-0000-0000-000086080000}"/>
    <cellStyle name="Percentagem 13" xfId="781" xr:uid="{00000000-0005-0000-0000-000087080000}"/>
    <cellStyle name="Percentagem 13 2" xfId="2141" xr:uid="{00000000-0005-0000-0000-000088080000}"/>
    <cellStyle name="Percentagem 14" xfId="2142" xr:uid="{00000000-0005-0000-0000-000089080000}"/>
    <cellStyle name="Percentagem 14 2" xfId="2143" xr:uid="{00000000-0005-0000-0000-00008A080000}"/>
    <cellStyle name="Percentagem 14 2 2" xfId="2144" xr:uid="{00000000-0005-0000-0000-00008B080000}"/>
    <cellStyle name="Percentagem 14 3" xfId="2145" xr:uid="{00000000-0005-0000-0000-00008C080000}"/>
    <cellStyle name="Percentagem 2" xfId="13" xr:uid="{00000000-0005-0000-0000-00008D080000}"/>
    <cellStyle name="Percentagem 2 10" xfId="783" xr:uid="{00000000-0005-0000-0000-00008E080000}"/>
    <cellStyle name="Percentagem 2 11" xfId="784" xr:uid="{00000000-0005-0000-0000-00008F080000}"/>
    <cellStyle name="Percentagem 2 12" xfId="782" xr:uid="{00000000-0005-0000-0000-000090080000}"/>
    <cellStyle name="Percentagem 2 12 2" xfId="1388" xr:uid="{00000000-0005-0000-0000-000091080000}"/>
    <cellStyle name="Percentagem 2 2" xfId="785" xr:uid="{00000000-0005-0000-0000-000092080000}"/>
    <cellStyle name="Percentagem 2 2 2" xfId="1022" xr:uid="{00000000-0005-0000-0000-000093080000}"/>
    <cellStyle name="Percentagem 2 2 2 2" xfId="2146" xr:uid="{00000000-0005-0000-0000-000094080000}"/>
    <cellStyle name="Percentagem 2 2 2 3" xfId="1389" xr:uid="{00000000-0005-0000-0000-000095080000}"/>
    <cellStyle name="Percentagem 2 2 3" xfId="1390" xr:uid="{00000000-0005-0000-0000-000096080000}"/>
    <cellStyle name="Percentagem 2 2 3 2" xfId="1391" xr:uid="{00000000-0005-0000-0000-000097080000}"/>
    <cellStyle name="Percentagem 2 2 4" xfId="1392" xr:uid="{00000000-0005-0000-0000-000098080000}"/>
    <cellStyle name="Percentagem 2 2 5" xfId="1839" xr:uid="{00000000-0005-0000-0000-000099080000}"/>
    <cellStyle name="Percentagem 2 3" xfId="786" xr:uid="{00000000-0005-0000-0000-00009A080000}"/>
    <cellStyle name="Percentagem 2 4" xfId="787" xr:uid="{00000000-0005-0000-0000-00009B080000}"/>
    <cellStyle name="Percentagem 2 5" xfId="788" xr:uid="{00000000-0005-0000-0000-00009C080000}"/>
    <cellStyle name="Percentagem 2 6" xfId="789" xr:uid="{00000000-0005-0000-0000-00009D080000}"/>
    <cellStyle name="Percentagem 2 7" xfId="790" xr:uid="{00000000-0005-0000-0000-00009E080000}"/>
    <cellStyle name="Percentagem 2 8" xfId="791" xr:uid="{00000000-0005-0000-0000-00009F080000}"/>
    <cellStyle name="Percentagem 2 9" xfId="792" xr:uid="{00000000-0005-0000-0000-0000A0080000}"/>
    <cellStyle name="Percentagem 3" xfId="793" xr:uid="{00000000-0005-0000-0000-0000A1080000}"/>
    <cellStyle name="Percentagem 3 2" xfId="794" xr:uid="{00000000-0005-0000-0000-0000A2080000}"/>
    <cellStyle name="Percentagem 4" xfId="6" xr:uid="{00000000-0005-0000-0000-0000A3080000}"/>
    <cellStyle name="Percentagem 4 10" xfId="795" xr:uid="{00000000-0005-0000-0000-0000A4080000}"/>
    <cellStyle name="Percentagem 4 10 2" xfId="2147" xr:uid="{00000000-0005-0000-0000-0000A5080000}"/>
    <cellStyle name="Percentagem 4 2" xfId="796" xr:uid="{00000000-0005-0000-0000-0000A6080000}"/>
    <cellStyle name="Percentagem 4 2 2" xfId="1393" xr:uid="{00000000-0005-0000-0000-0000A7080000}"/>
    <cellStyle name="Percentagem 4 2 2 2" xfId="1394" xr:uid="{00000000-0005-0000-0000-0000A8080000}"/>
    <cellStyle name="Percentagem 4 2 2 3" xfId="1840" xr:uid="{00000000-0005-0000-0000-0000A9080000}"/>
    <cellStyle name="Percentagem 4 2 3" xfId="2148" xr:uid="{00000000-0005-0000-0000-0000AA080000}"/>
    <cellStyle name="Percentagem 4 3" xfId="797" xr:uid="{00000000-0005-0000-0000-0000AB080000}"/>
    <cellStyle name="Percentagem 4 3 2" xfId="1023" xr:uid="{00000000-0005-0000-0000-0000AC080000}"/>
    <cellStyle name="Percentagem 4 3 2 2" xfId="2149" xr:uid="{00000000-0005-0000-0000-0000AD080000}"/>
    <cellStyle name="Percentagem 4 4" xfId="798" xr:uid="{00000000-0005-0000-0000-0000AE080000}"/>
    <cellStyle name="Percentagem 4 4 2" xfId="2150" xr:uid="{00000000-0005-0000-0000-0000AF080000}"/>
    <cellStyle name="Percentagem 4 5" xfId="799" xr:uid="{00000000-0005-0000-0000-0000B0080000}"/>
    <cellStyle name="Percentagem 4 5 2" xfId="2151" xr:uid="{00000000-0005-0000-0000-0000B1080000}"/>
    <cellStyle name="Percentagem 4 6" xfId="800" xr:uid="{00000000-0005-0000-0000-0000B2080000}"/>
    <cellStyle name="Percentagem 4 6 2" xfId="2152" xr:uid="{00000000-0005-0000-0000-0000B3080000}"/>
    <cellStyle name="Percentagem 4 7" xfId="801" xr:uid="{00000000-0005-0000-0000-0000B4080000}"/>
    <cellStyle name="Percentagem 4 7 2" xfId="2153" xr:uid="{00000000-0005-0000-0000-0000B5080000}"/>
    <cellStyle name="Percentagem 4 8" xfId="802" xr:uid="{00000000-0005-0000-0000-0000B6080000}"/>
    <cellStyle name="Percentagem 4 8 2" xfId="2154" xr:uid="{00000000-0005-0000-0000-0000B7080000}"/>
    <cellStyle name="Percentagem 4 9" xfId="803" xr:uid="{00000000-0005-0000-0000-0000B8080000}"/>
    <cellStyle name="Percentagem 4 9 2" xfId="2155" xr:uid="{00000000-0005-0000-0000-0000B9080000}"/>
    <cellStyle name="Percentagem 5" xfId="804" xr:uid="{00000000-0005-0000-0000-0000BA080000}"/>
    <cellStyle name="Percentagem 5 10" xfId="805" xr:uid="{00000000-0005-0000-0000-0000BB080000}"/>
    <cellStyle name="Percentagem 5 10 2" xfId="2156" xr:uid="{00000000-0005-0000-0000-0000BC080000}"/>
    <cellStyle name="Percentagem 5 11" xfId="806" xr:uid="{00000000-0005-0000-0000-0000BD080000}"/>
    <cellStyle name="Percentagem 5 11 2" xfId="2157" xr:uid="{00000000-0005-0000-0000-0000BE080000}"/>
    <cellStyle name="Percentagem 5 12" xfId="807" xr:uid="{00000000-0005-0000-0000-0000BF080000}"/>
    <cellStyle name="Percentagem 5 12 2" xfId="2158" xr:uid="{00000000-0005-0000-0000-0000C0080000}"/>
    <cellStyle name="Percentagem 5 13" xfId="2159" xr:uid="{00000000-0005-0000-0000-0000C1080000}"/>
    <cellStyle name="Percentagem 5 2" xfId="808" xr:uid="{00000000-0005-0000-0000-0000C2080000}"/>
    <cellStyle name="Percentagem 5 2 2" xfId="1076" xr:uid="{00000000-0005-0000-0000-0000C3080000}"/>
    <cellStyle name="Percentagem 5 2 2 2" xfId="1395" xr:uid="{00000000-0005-0000-0000-0000C4080000}"/>
    <cellStyle name="Percentagem 5 2 3" xfId="1396" xr:uid="{00000000-0005-0000-0000-0000C5080000}"/>
    <cellStyle name="Percentagem 5 2 4" xfId="1841" xr:uid="{00000000-0005-0000-0000-0000C6080000}"/>
    <cellStyle name="Percentagem 5 3" xfId="809" xr:uid="{00000000-0005-0000-0000-0000C7080000}"/>
    <cellStyle name="Percentagem 5 3 2" xfId="2160" xr:uid="{00000000-0005-0000-0000-0000C8080000}"/>
    <cellStyle name="Percentagem 5 4" xfId="810" xr:uid="{00000000-0005-0000-0000-0000C9080000}"/>
    <cellStyle name="Percentagem 5 4 2" xfId="2161" xr:uid="{00000000-0005-0000-0000-0000CA080000}"/>
    <cellStyle name="Percentagem 5 5" xfId="811" xr:uid="{00000000-0005-0000-0000-0000CB080000}"/>
    <cellStyle name="Percentagem 5 5 2" xfId="2162" xr:uid="{00000000-0005-0000-0000-0000CC080000}"/>
    <cellStyle name="Percentagem 5 6" xfId="812" xr:uid="{00000000-0005-0000-0000-0000CD080000}"/>
    <cellStyle name="Percentagem 5 6 2" xfId="2163" xr:uid="{00000000-0005-0000-0000-0000CE080000}"/>
    <cellStyle name="Percentagem 5 7" xfId="813" xr:uid="{00000000-0005-0000-0000-0000CF080000}"/>
    <cellStyle name="Percentagem 5 7 2" xfId="2164" xr:uid="{00000000-0005-0000-0000-0000D0080000}"/>
    <cellStyle name="Percentagem 5 8" xfId="814" xr:uid="{00000000-0005-0000-0000-0000D1080000}"/>
    <cellStyle name="Percentagem 5 8 2" xfId="2165" xr:uid="{00000000-0005-0000-0000-0000D2080000}"/>
    <cellStyle name="Percentagem 5 9" xfId="815" xr:uid="{00000000-0005-0000-0000-0000D3080000}"/>
    <cellStyle name="Percentagem 5 9 2" xfId="2166" xr:uid="{00000000-0005-0000-0000-0000D4080000}"/>
    <cellStyle name="Percentagem 6" xfId="816" xr:uid="{00000000-0005-0000-0000-0000D5080000}"/>
    <cellStyle name="Percentagem 6 2" xfId="817" xr:uid="{00000000-0005-0000-0000-0000D6080000}"/>
    <cellStyle name="Percentagem 6 3" xfId="1397" xr:uid="{00000000-0005-0000-0000-0000D7080000}"/>
    <cellStyle name="Percentagem 6 3 2" xfId="1398" xr:uid="{00000000-0005-0000-0000-0000D8080000}"/>
    <cellStyle name="Percentagem 6 4" xfId="1399" xr:uid="{00000000-0005-0000-0000-0000D9080000}"/>
    <cellStyle name="Percentagem 6 5" xfId="1842" xr:uid="{00000000-0005-0000-0000-0000DA080000}"/>
    <cellStyle name="Percentagem 7" xfId="818" xr:uid="{00000000-0005-0000-0000-0000DB080000}"/>
    <cellStyle name="Percentagem 7 2" xfId="1077" xr:uid="{00000000-0005-0000-0000-0000DC080000}"/>
    <cellStyle name="Percentagem 7 2 2" xfId="1400" xr:uid="{00000000-0005-0000-0000-0000DD080000}"/>
    <cellStyle name="Percentagem 7 3" xfId="1401" xr:uid="{00000000-0005-0000-0000-0000DE080000}"/>
    <cellStyle name="Percentagem 7 4" xfId="1843" xr:uid="{00000000-0005-0000-0000-0000DF080000}"/>
    <cellStyle name="Percentagem 8" xfId="819" xr:uid="{00000000-0005-0000-0000-0000E0080000}"/>
    <cellStyle name="Percentagem 8 2" xfId="1402" xr:uid="{00000000-0005-0000-0000-0000E1080000}"/>
    <cellStyle name="Percentagem 8 3" xfId="1403" xr:uid="{00000000-0005-0000-0000-0000E2080000}"/>
    <cellStyle name="Percentagem 8 4" xfId="1844" xr:uid="{00000000-0005-0000-0000-0000E3080000}"/>
    <cellStyle name="Percentagem 9" xfId="820" xr:uid="{00000000-0005-0000-0000-0000E4080000}"/>
    <cellStyle name="Percentagem 9 2" xfId="821" xr:uid="{00000000-0005-0000-0000-0000E5080000}"/>
    <cellStyle name="Percentagem 9 2 2" xfId="1404" xr:uid="{00000000-0005-0000-0000-0000E6080000}"/>
    <cellStyle name="Percentagem 9 2 3" xfId="1405" xr:uid="{00000000-0005-0000-0000-0000E7080000}"/>
    <cellStyle name="Percentagem 9 2 4" xfId="1845" xr:uid="{00000000-0005-0000-0000-0000E8080000}"/>
    <cellStyle name="Percentagem 9 3" xfId="1406" xr:uid="{00000000-0005-0000-0000-0000E9080000}"/>
    <cellStyle name="Percentagem 9 4" xfId="1407" xr:uid="{00000000-0005-0000-0000-0000EA080000}"/>
    <cellStyle name="Percentagem 9 5" xfId="1846" xr:uid="{00000000-0005-0000-0000-0000EB080000}"/>
    <cellStyle name="PercentSales" xfId="822" xr:uid="{00000000-0005-0000-0000-0000EC080000}"/>
    <cellStyle name="PercentSales 2" xfId="2167" xr:uid="{00000000-0005-0000-0000-0000ED080000}"/>
    <cellStyle name="PrePop Currency (0)" xfId="1847" xr:uid="{00000000-0005-0000-0000-0000EE080000}"/>
    <cellStyle name="PrePop Currency (2)" xfId="1848" xr:uid="{00000000-0005-0000-0000-0000EF080000}"/>
    <cellStyle name="PrePop Units (0)" xfId="1849" xr:uid="{00000000-0005-0000-0000-0000F0080000}"/>
    <cellStyle name="PrePop Units (1)" xfId="1850" xr:uid="{00000000-0005-0000-0000-0000F1080000}"/>
    <cellStyle name="PrePop Units (2)" xfId="1851" xr:uid="{00000000-0005-0000-0000-0000F2080000}"/>
    <cellStyle name="Ratio" xfId="823" xr:uid="{00000000-0005-0000-0000-0000F3080000}"/>
    <cellStyle name="Red font" xfId="824" xr:uid="{00000000-0005-0000-0000-0000F4080000}"/>
    <cellStyle name="RInfo" xfId="825" xr:uid="{00000000-0005-0000-0000-0000F5080000}"/>
    <cellStyle name="Saída 2" xfId="826" xr:uid="{00000000-0005-0000-0000-0000F6080000}"/>
    <cellStyle name="Saída 2 2" xfId="1024" xr:uid="{00000000-0005-0000-0000-0000F7080000}"/>
    <cellStyle name="Saída 2 3" xfId="1025" xr:uid="{00000000-0005-0000-0000-0000F8080000}"/>
    <cellStyle name="Saída 2 4" xfId="1026" xr:uid="{00000000-0005-0000-0000-0000F9080000}"/>
    <cellStyle name="Saída 2 5" xfId="1408" xr:uid="{00000000-0005-0000-0000-0000FA080000}"/>
    <cellStyle name="Saída 2 6" xfId="1409" xr:uid="{00000000-0005-0000-0000-0000FB080000}"/>
    <cellStyle name="Saída 3" xfId="827" xr:uid="{00000000-0005-0000-0000-0000FC080000}"/>
    <cellStyle name="Saída 4" xfId="828" xr:uid="{00000000-0005-0000-0000-0000FD080000}"/>
    <cellStyle name="Sheet Title" xfId="829" xr:uid="{00000000-0005-0000-0000-0000FE080000}"/>
    <cellStyle name="sombreado" xfId="830" xr:uid="{00000000-0005-0000-0000-0000FF080000}"/>
    <cellStyle name="sombreado 2" xfId="2168" xr:uid="{00000000-0005-0000-0000-000000090000}"/>
    <cellStyle name="Standard_WBBasis" xfId="1027" xr:uid="{00000000-0005-0000-0000-000001090000}"/>
    <cellStyle name="Style 1" xfId="831" xr:uid="{00000000-0005-0000-0000-000002090000}"/>
    <cellStyle name="Style 1 2" xfId="832" xr:uid="{00000000-0005-0000-0000-000003090000}"/>
    <cellStyle name="Style 1 2 2" xfId="833" xr:uid="{00000000-0005-0000-0000-000004090000}"/>
    <cellStyle name="Style 1 2 2 2" xfId="2169" xr:uid="{00000000-0005-0000-0000-000005090000}"/>
    <cellStyle name="Style 1 2 3" xfId="834" xr:uid="{00000000-0005-0000-0000-000006090000}"/>
    <cellStyle name="Style 1 2 3 2" xfId="2170" xr:uid="{00000000-0005-0000-0000-000007090000}"/>
    <cellStyle name="Style 1 2 4" xfId="835" xr:uid="{00000000-0005-0000-0000-000008090000}"/>
    <cellStyle name="Style 1 2 4 2" xfId="2171" xr:uid="{00000000-0005-0000-0000-000009090000}"/>
    <cellStyle name="Style 1 2 5" xfId="2172" xr:uid="{00000000-0005-0000-0000-00000A090000}"/>
    <cellStyle name="Style 1 3" xfId="836" xr:uid="{00000000-0005-0000-0000-00000B090000}"/>
    <cellStyle name="Style 1 3 2" xfId="2173" xr:uid="{00000000-0005-0000-0000-00000C090000}"/>
    <cellStyle name="Style 1 4" xfId="837" xr:uid="{00000000-0005-0000-0000-00000D090000}"/>
    <cellStyle name="Style 1 4 2" xfId="2174" xr:uid="{00000000-0005-0000-0000-00000E090000}"/>
    <cellStyle name="Style 1 5" xfId="2175" xr:uid="{00000000-0005-0000-0000-00000F090000}"/>
    <cellStyle name="Text Indent A" xfId="1852" xr:uid="{00000000-0005-0000-0000-000010090000}"/>
    <cellStyle name="Text Indent B" xfId="1853" xr:uid="{00000000-0005-0000-0000-000011090000}"/>
    <cellStyle name="Text Indent C" xfId="1854" xr:uid="{00000000-0005-0000-0000-000012090000}"/>
    <cellStyle name="Texto de Aviso 10" xfId="838" xr:uid="{00000000-0005-0000-0000-000013090000}"/>
    <cellStyle name="Texto de Aviso 10 2" xfId="1855" xr:uid="{00000000-0005-0000-0000-000014090000}"/>
    <cellStyle name="Texto de Aviso 11" xfId="839" xr:uid="{00000000-0005-0000-0000-000015090000}"/>
    <cellStyle name="Texto de Aviso 11 2" xfId="1856" xr:uid="{00000000-0005-0000-0000-000016090000}"/>
    <cellStyle name="Texto de Aviso 2" xfId="840" xr:uid="{00000000-0005-0000-0000-000017090000}"/>
    <cellStyle name="Texto de Aviso 2 10" xfId="841" xr:uid="{00000000-0005-0000-0000-000018090000}"/>
    <cellStyle name="Texto de Aviso 2 11" xfId="842" xr:uid="{00000000-0005-0000-0000-000019090000}"/>
    <cellStyle name="Texto de Aviso 2 2" xfId="843" xr:uid="{00000000-0005-0000-0000-00001A090000}"/>
    <cellStyle name="Texto de Aviso 2 3" xfId="844" xr:uid="{00000000-0005-0000-0000-00001B090000}"/>
    <cellStyle name="Texto de Aviso 2 4" xfId="845" xr:uid="{00000000-0005-0000-0000-00001C090000}"/>
    <cellStyle name="Texto de Aviso 2 5" xfId="846" xr:uid="{00000000-0005-0000-0000-00001D090000}"/>
    <cellStyle name="Texto de Aviso 2 6" xfId="847" xr:uid="{00000000-0005-0000-0000-00001E090000}"/>
    <cellStyle name="Texto de Aviso 2 7" xfId="848" xr:uid="{00000000-0005-0000-0000-00001F090000}"/>
    <cellStyle name="Texto de Aviso 2 8" xfId="849" xr:uid="{00000000-0005-0000-0000-000020090000}"/>
    <cellStyle name="Texto de Aviso 2 9" xfId="850" xr:uid="{00000000-0005-0000-0000-000021090000}"/>
    <cellStyle name="Texto de Aviso 2_DGO" xfId="1857" xr:uid="{00000000-0005-0000-0000-000022090000}"/>
    <cellStyle name="Texto de Aviso 3" xfId="851" xr:uid="{00000000-0005-0000-0000-000023090000}"/>
    <cellStyle name="Texto de Aviso 4" xfId="852" xr:uid="{00000000-0005-0000-0000-000024090000}"/>
    <cellStyle name="Texto de Aviso 5" xfId="853" xr:uid="{00000000-0005-0000-0000-000025090000}"/>
    <cellStyle name="Texto de Aviso 5 2" xfId="1858" xr:uid="{00000000-0005-0000-0000-000026090000}"/>
    <cellStyle name="Texto de Aviso 6" xfId="854" xr:uid="{00000000-0005-0000-0000-000027090000}"/>
    <cellStyle name="Texto de Aviso 6 2" xfId="1859" xr:uid="{00000000-0005-0000-0000-000028090000}"/>
    <cellStyle name="Texto de Aviso 7" xfId="855" xr:uid="{00000000-0005-0000-0000-000029090000}"/>
    <cellStyle name="Texto de Aviso 7 2" xfId="1860" xr:uid="{00000000-0005-0000-0000-00002A090000}"/>
    <cellStyle name="Texto de Aviso 8" xfId="856" xr:uid="{00000000-0005-0000-0000-00002B090000}"/>
    <cellStyle name="Texto de Aviso 8 2" xfId="1861" xr:uid="{00000000-0005-0000-0000-00002C090000}"/>
    <cellStyle name="Texto de Aviso 9" xfId="857" xr:uid="{00000000-0005-0000-0000-00002D090000}"/>
    <cellStyle name="Texto de Aviso 9 2" xfId="1862" xr:uid="{00000000-0005-0000-0000-00002E090000}"/>
    <cellStyle name="Texto Explicativo 2" xfId="858" xr:uid="{00000000-0005-0000-0000-00002F090000}"/>
    <cellStyle name="Texto Explicativo 3" xfId="859" xr:uid="{00000000-0005-0000-0000-000030090000}"/>
    <cellStyle name="Texto Explicativo 4" xfId="860" xr:uid="{00000000-0005-0000-0000-000031090000}"/>
    <cellStyle name="Title" xfId="861" xr:uid="{00000000-0005-0000-0000-000032090000}"/>
    <cellStyle name="Title 1" xfId="862" xr:uid="{00000000-0005-0000-0000-000033090000}"/>
    <cellStyle name="Title 3" xfId="863" xr:uid="{00000000-0005-0000-0000-000034090000}"/>
    <cellStyle name="Title 4" xfId="864" xr:uid="{00000000-0005-0000-0000-000035090000}"/>
    <cellStyle name="Title_Saldos" xfId="1863" xr:uid="{00000000-0005-0000-0000-000036090000}"/>
    <cellStyle name="Titulo" xfId="865" xr:uid="{00000000-0005-0000-0000-000037090000}"/>
    <cellStyle name="Título 1" xfId="1864" xr:uid="{00000000-0005-0000-0000-000038090000}"/>
    <cellStyle name="Título 2" xfId="866" xr:uid="{00000000-0005-0000-0000-000039090000}"/>
    <cellStyle name="Título 3" xfId="867" xr:uid="{00000000-0005-0000-0000-00003A090000}"/>
    <cellStyle name="Título 4" xfId="868" xr:uid="{00000000-0005-0000-0000-00003B090000}"/>
    <cellStyle name="Total 10" xfId="869" xr:uid="{00000000-0005-0000-0000-00003C090000}"/>
    <cellStyle name="Total 11" xfId="870" xr:uid="{00000000-0005-0000-0000-00003D090000}"/>
    <cellStyle name="Total 12" xfId="871" xr:uid="{00000000-0005-0000-0000-00003E090000}"/>
    <cellStyle name="Total 13" xfId="872" xr:uid="{00000000-0005-0000-0000-00003F090000}"/>
    <cellStyle name="Total 14" xfId="873" xr:uid="{00000000-0005-0000-0000-000040090000}"/>
    <cellStyle name="Total 15" xfId="874" xr:uid="{00000000-0005-0000-0000-000041090000}"/>
    <cellStyle name="Total 16" xfId="875" xr:uid="{00000000-0005-0000-0000-000042090000}"/>
    <cellStyle name="Total 17" xfId="876" xr:uid="{00000000-0005-0000-0000-000043090000}"/>
    <cellStyle name="Total 18" xfId="877" xr:uid="{00000000-0005-0000-0000-000044090000}"/>
    <cellStyle name="Total 2" xfId="878" xr:uid="{00000000-0005-0000-0000-000045090000}"/>
    <cellStyle name="Total 2 10" xfId="879" xr:uid="{00000000-0005-0000-0000-000046090000}"/>
    <cellStyle name="Total 2 11" xfId="880" xr:uid="{00000000-0005-0000-0000-000047090000}"/>
    <cellStyle name="Total 2 12" xfId="1410" xr:uid="{00000000-0005-0000-0000-000048090000}"/>
    <cellStyle name="Total 2 13" xfId="1411" xr:uid="{00000000-0005-0000-0000-000049090000}"/>
    <cellStyle name="Total 2 2" xfId="881" xr:uid="{00000000-0005-0000-0000-00004A090000}"/>
    <cellStyle name="Total 2 2 2" xfId="882" xr:uid="{00000000-0005-0000-0000-00004B090000}"/>
    <cellStyle name="Total 2 2 3" xfId="883" xr:uid="{00000000-0005-0000-0000-00004C090000}"/>
    <cellStyle name="Total 2 2 4" xfId="1028" xr:uid="{00000000-0005-0000-0000-00004D090000}"/>
    <cellStyle name="Total 2 3" xfId="884" xr:uid="{00000000-0005-0000-0000-00004E090000}"/>
    <cellStyle name="Total 2 3 2" xfId="1029" xr:uid="{00000000-0005-0000-0000-00004F090000}"/>
    <cellStyle name="Total 2 4" xfId="885" xr:uid="{00000000-0005-0000-0000-000050090000}"/>
    <cellStyle name="Total 2 4 2" xfId="1030" xr:uid="{00000000-0005-0000-0000-000051090000}"/>
    <cellStyle name="Total 2 5" xfId="886" xr:uid="{00000000-0005-0000-0000-000052090000}"/>
    <cellStyle name="Total 2 6" xfId="887" xr:uid="{00000000-0005-0000-0000-000053090000}"/>
    <cellStyle name="Total 2 7" xfId="888" xr:uid="{00000000-0005-0000-0000-000054090000}"/>
    <cellStyle name="Total 2 8" xfId="889" xr:uid="{00000000-0005-0000-0000-000055090000}"/>
    <cellStyle name="Total 2 9" xfId="890" xr:uid="{00000000-0005-0000-0000-000056090000}"/>
    <cellStyle name="Total 2_DGO" xfId="1865" xr:uid="{00000000-0005-0000-0000-000057090000}"/>
    <cellStyle name="Total 3" xfId="891" xr:uid="{00000000-0005-0000-0000-000058090000}"/>
    <cellStyle name="Total 4" xfId="892" xr:uid="{00000000-0005-0000-0000-000059090000}"/>
    <cellStyle name="Total 5" xfId="893" xr:uid="{00000000-0005-0000-0000-00005A090000}"/>
    <cellStyle name="Total 6" xfId="894" xr:uid="{00000000-0005-0000-0000-00005B090000}"/>
    <cellStyle name="Total 7" xfId="895" xr:uid="{00000000-0005-0000-0000-00005C090000}"/>
    <cellStyle name="Total 8" xfId="896" xr:uid="{00000000-0005-0000-0000-00005D090000}"/>
    <cellStyle name="Total 9" xfId="897" xr:uid="{00000000-0005-0000-0000-00005E090000}"/>
    <cellStyle name="Verificar Célula 2" xfId="898" xr:uid="{00000000-0005-0000-0000-00005F090000}"/>
    <cellStyle name="Verificar Célula 3" xfId="899" xr:uid="{00000000-0005-0000-0000-000060090000}"/>
    <cellStyle name="Verificar Célula 4" xfId="900" xr:uid="{00000000-0005-0000-0000-000061090000}"/>
    <cellStyle name="Vírgula" xfId="42" builtinId="3"/>
    <cellStyle name="Vírgula 10" xfId="901" xr:uid="{00000000-0005-0000-0000-000063090000}"/>
    <cellStyle name="Vírgula 10 10" xfId="2594" xr:uid="{00000000-0005-0000-0000-000064090000}"/>
    <cellStyle name="Vírgula 10 11" xfId="2630" xr:uid="{00000000-0005-0000-0000-000065090000}"/>
    <cellStyle name="Vírgula 10 12" xfId="2665" xr:uid="{00000000-0005-0000-0000-000074030000}"/>
    <cellStyle name="Vírgula 10 13" xfId="2700" xr:uid="{00000000-0005-0000-0000-000074030000}"/>
    <cellStyle name="Vírgula 10 14" xfId="2735" xr:uid="{00000000-0005-0000-0000-000074030000}"/>
    <cellStyle name="Vírgula 10 15" xfId="2768" xr:uid="{00000000-0005-0000-0000-000074030000}"/>
    <cellStyle name="Vírgula 10 16" xfId="2803" xr:uid="{00000000-0005-0000-0000-000074030000}"/>
    <cellStyle name="Vírgula 10 2" xfId="1412" xr:uid="{00000000-0005-0000-0000-000066090000}"/>
    <cellStyle name="Vírgula 10 3" xfId="2290" xr:uid="{00000000-0005-0000-0000-000067090000}"/>
    <cellStyle name="Vírgula 10 4" xfId="2385" xr:uid="{00000000-0005-0000-0000-000068090000}"/>
    <cellStyle name="Vírgula 10 5" xfId="2420" xr:uid="{00000000-0005-0000-0000-000069090000}"/>
    <cellStyle name="Vírgula 10 6" xfId="2455" xr:uid="{00000000-0005-0000-0000-00006A090000}"/>
    <cellStyle name="Vírgula 10 7" xfId="2490" xr:uid="{00000000-0005-0000-0000-00006B090000}"/>
    <cellStyle name="Vírgula 10 8" xfId="2525" xr:uid="{00000000-0005-0000-0000-00006C090000}"/>
    <cellStyle name="Vírgula 10 9" xfId="2559" xr:uid="{00000000-0005-0000-0000-00006D090000}"/>
    <cellStyle name="Vírgula 11" xfId="902" xr:uid="{00000000-0005-0000-0000-00006E090000}"/>
    <cellStyle name="Vírgula 11 10" xfId="2595" xr:uid="{00000000-0005-0000-0000-00006F090000}"/>
    <cellStyle name="Vírgula 11 11" xfId="2631" xr:uid="{00000000-0005-0000-0000-000070090000}"/>
    <cellStyle name="Vírgula 11 12" xfId="2666" xr:uid="{00000000-0005-0000-0000-000075030000}"/>
    <cellStyle name="Vírgula 11 13" xfId="2701" xr:uid="{00000000-0005-0000-0000-000075030000}"/>
    <cellStyle name="Vírgula 11 14" xfId="2736" xr:uid="{00000000-0005-0000-0000-000075030000}"/>
    <cellStyle name="Vírgula 11 15" xfId="2769" xr:uid="{00000000-0005-0000-0000-000075030000}"/>
    <cellStyle name="Vírgula 11 16" xfId="2804" xr:uid="{00000000-0005-0000-0000-000075030000}"/>
    <cellStyle name="Vírgula 11 2" xfId="1413" xr:uid="{00000000-0005-0000-0000-000071090000}"/>
    <cellStyle name="Vírgula 11 3" xfId="2291" xr:uid="{00000000-0005-0000-0000-000072090000}"/>
    <cellStyle name="Vírgula 11 4" xfId="2386" xr:uid="{00000000-0005-0000-0000-000073090000}"/>
    <cellStyle name="Vírgula 11 5" xfId="2421" xr:uid="{00000000-0005-0000-0000-000074090000}"/>
    <cellStyle name="Vírgula 11 6" xfId="2456" xr:uid="{00000000-0005-0000-0000-000075090000}"/>
    <cellStyle name="Vírgula 11 7" xfId="2491" xr:uid="{00000000-0005-0000-0000-000076090000}"/>
    <cellStyle name="Vírgula 11 8" xfId="2526" xr:uid="{00000000-0005-0000-0000-000077090000}"/>
    <cellStyle name="Vírgula 11 9" xfId="2560" xr:uid="{00000000-0005-0000-0000-000078090000}"/>
    <cellStyle name="Vírgula 12" xfId="903" xr:uid="{00000000-0005-0000-0000-000079090000}"/>
    <cellStyle name="Vírgula 12 10" xfId="2492" xr:uid="{00000000-0005-0000-0000-00007A090000}"/>
    <cellStyle name="Vírgula 12 11" xfId="2527" xr:uid="{00000000-0005-0000-0000-00007B090000}"/>
    <cellStyle name="Vírgula 12 12" xfId="2561" xr:uid="{00000000-0005-0000-0000-00007C090000}"/>
    <cellStyle name="Vírgula 12 13" xfId="2596" xr:uid="{00000000-0005-0000-0000-00007D090000}"/>
    <cellStyle name="Vírgula 12 14" xfId="2632" xr:uid="{00000000-0005-0000-0000-00007E090000}"/>
    <cellStyle name="Vírgula 12 15" xfId="2667" xr:uid="{00000000-0005-0000-0000-000076030000}"/>
    <cellStyle name="Vírgula 12 16" xfId="2702" xr:uid="{00000000-0005-0000-0000-000076030000}"/>
    <cellStyle name="Vírgula 12 17" xfId="2737" xr:uid="{00000000-0005-0000-0000-000076030000}"/>
    <cellStyle name="Vírgula 12 18" xfId="2770" xr:uid="{00000000-0005-0000-0000-000076030000}"/>
    <cellStyle name="Vírgula 12 19" xfId="2805" xr:uid="{00000000-0005-0000-0000-000076030000}"/>
    <cellStyle name="Vírgula 12 2" xfId="1415" xr:uid="{00000000-0005-0000-0000-00007F090000}"/>
    <cellStyle name="Vírgula 12 3" xfId="1416" xr:uid="{00000000-0005-0000-0000-000080090000}"/>
    <cellStyle name="Vírgula 12 4" xfId="1866" xr:uid="{00000000-0005-0000-0000-000081090000}"/>
    <cellStyle name="Vírgula 12 5" xfId="1414" xr:uid="{00000000-0005-0000-0000-000082090000}"/>
    <cellStyle name="Vírgula 12 6" xfId="2292" xr:uid="{00000000-0005-0000-0000-000083090000}"/>
    <cellStyle name="Vírgula 12 7" xfId="2387" xr:uid="{00000000-0005-0000-0000-000084090000}"/>
    <cellStyle name="Vírgula 12 8" xfId="2422" xr:uid="{00000000-0005-0000-0000-000085090000}"/>
    <cellStyle name="Vírgula 12 9" xfId="2457" xr:uid="{00000000-0005-0000-0000-000086090000}"/>
    <cellStyle name="Vírgula 13" xfId="904" xr:uid="{00000000-0005-0000-0000-000087090000}"/>
    <cellStyle name="Vírgula 13 10" xfId="2562" xr:uid="{00000000-0005-0000-0000-000088090000}"/>
    <cellStyle name="Vírgula 13 11" xfId="2597" xr:uid="{00000000-0005-0000-0000-000089090000}"/>
    <cellStyle name="Vírgula 13 12" xfId="2633" xr:uid="{00000000-0005-0000-0000-00008A090000}"/>
    <cellStyle name="Vírgula 13 13" xfId="2668" xr:uid="{00000000-0005-0000-0000-000077030000}"/>
    <cellStyle name="Vírgula 13 14" xfId="2703" xr:uid="{00000000-0005-0000-0000-000077030000}"/>
    <cellStyle name="Vírgula 13 15" xfId="2738" xr:uid="{00000000-0005-0000-0000-000077030000}"/>
    <cellStyle name="Vírgula 13 16" xfId="2771" xr:uid="{00000000-0005-0000-0000-000077030000}"/>
    <cellStyle name="Vírgula 13 17" xfId="2806" xr:uid="{00000000-0005-0000-0000-000077030000}"/>
    <cellStyle name="Vírgula 13 2" xfId="2176" xr:uid="{00000000-0005-0000-0000-00008B090000}"/>
    <cellStyle name="Vírgula 13 3" xfId="1417" xr:uid="{00000000-0005-0000-0000-00008C090000}"/>
    <cellStyle name="Vírgula 13 4" xfId="2293" xr:uid="{00000000-0005-0000-0000-00008D090000}"/>
    <cellStyle name="Vírgula 13 5" xfId="2388" xr:uid="{00000000-0005-0000-0000-00008E090000}"/>
    <cellStyle name="Vírgula 13 6" xfId="2423" xr:uid="{00000000-0005-0000-0000-00008F090000}"/>
    <cellStyle name="Vírgula 13 7" xfId="2458" xr:uid="{00000000-0005-0000-0000-000090090000}"/>
    <cellStyle name="Vírgula 13 8" xfId="2493" xr:uid="{00000000-0005-0000-0000-000091090000}"/>
    <cellStyle name="Vírgula 13 9" xfId="2528" xr:uid="{00000000-0005-0000-0000-000092090000}"/>
    <cellStyle name="Vírgula 14" xfId="1081" xr:uid="{00000000-0005-0000-0000-000093090000}"/>
    <cellStyle name="Vírgula 14 2" xfId="2177" xr:uid="{00000000-0005-0000-0000-000094090000}"/>
    <cellStyle name="Vírgula 14 3" xfId="2178" xr:uid="{00000000-0005-0000-0000-000095090000}"/>
    <cellStyle name="Vírgula 15" xfId="1005" xr:uid="{00000000-0005-0000-0000-000096090000}"/>
    <cellStyle name="Vírgula 16" xfId="2612" xr:uid="{00000000-0005-0000-0000-000097090000}"/>
    <cellStyle name="Vírgula 2" xfId="11" xr:uid="{00000000-0005-0000-0000-000098090000}"/>
    <cellStyle name="Vírgula 2 10" xfId="906" xr:uid="{00000000-0005-0000-0000-000099090000}"/>
    <cellStyle name="Vírgula 2 10 2" xfId="2179" xr:uid="{00000000-0005-0000-0000-00009A090000}"/>
    <cellStyle name="Vírgula 2 11" xfId="907" xr:uid="{00000000-0005-0000-0000-00009B090000}"/>
    <cellStyle name="Vírgula 2 11 2" xfId="2180" xr:uid="{00000000-0005-0000-0000-00009C090000}"/>
    <cellStyle name="Vírgula 2 12" xfId="905" xr:uid="{00000000-0005-0000-0000-00009D090000}"/>
    <cellStyle name="Vírgula 2 12 2" xfId="2181" xr:uid="{00000000-0005-0000-0000-00009E090000}"/>
    <cellStyle name="Vírgula 2 13" xfId="1083" xr:uid="{00000000-0005-0000-0000-00009F090000}"/>
    <cellStyle name="Vírgula 2 13 2" xfId="2182" xr:uid="{00000000-0005-0000-0000-0000A0090000}"/>
    <cellStyle name="Vírgula 2 2" xfId="908" xr:uid="{00000000-0005-0000-0000-0000A1090000}"/>
    <cellStyle name="Vírgula 2 2 2" xfId="1032" xr:uid="{00000000-0005-0000-0000-0000A2090000}"/>
    <cellStyle name="Vírgula 2 2 2 2" xfId="1419" xr:uid="{00000000-0005-0000-0000-0000A3090000}"/>
    <cellStyle name="Vírgula 2 2 3" xfId="1033" xr:uid="{00000000-0005-0000-0000-0000A4090000}"/>
    <cellStyle name="Vírgula 2 2 3 2" xfId="2183" xr:uid="{00000000-0005-0000-0000-0000A5090000}"/>
    <cellStyle name="Vírgula 2 2 4" xfId="1034" xr:uid="{00000000-0005-0000-0000-0000A6090000}"/>
    <cellStyle name="Vírgula 2 2 4 2" xfId="2184" xr:uid="{00000000-0005-0000-0000-0000A7090000}"/>
    <cellStyle name="Vírgula 2 2 5" xfId="1035" xr:uid="{00000000-0005-0000-0000-0000A8090000}"/>
    <cellStyle name="Vírgula 2 2 5 2" xfId="2185" xr:uid="{00000000-0005-0000-0000-0000A9090000}"/>
    <cellStyle name="Vírgula 2 2 6" xfId="1036" xr:uid="{00000000-0005-0000-0000-0000AA090000}"/>
    <cellStyle name="Vírgula 2 2 6 2" xfId="2186" xr:uid="{00000000-0005-0000-0000-0000AB090000}"/>
    <cellStyle name="Vírgula 2 2 7" xfId="1037" xr:uid="{00000000-0005-0000-0000-0000AC090000}"/>
    <cellStyle name="Vírgula 2 2 7 2" xfId="2187" xr:uid="{00000000-0005-0000-0000-0000AD090000}"/>
    <cellStyle name="Vírgula 2 2 8" xfId="1031" xr:uid="{00000000-0005-0000-0000-0000AE090000}"/>
    <cellStyle name="Vírgula 2 2 8 2" xfId="1420" xr:uid="{00000000-0005-0000-0000-0000AF090000}"/>
    <cellStyle name="Vírgula 2 2 9" xfId="1418" xr:uid="{00000000-0005-0000-0000-0000B0090000}"/>
    <cellStyle name="Vírgula 2 3" xfId="909" xr:uid="{00000000-0005-0000-0000-0000B1090000}"/>
    <cellStyle name="Vírgula 2 3 2" xfId="1038" xr:uid="{00000000-0005-0000-0000-0000B2090000}"/>
    <cellStyle name="Vírgula 2 3 2 2" xfId="1421" xr:uid="{00000000-0005-0000-0000-0000B3090000}"/>
    <cellStyle name="Vírgula 2 4" xfId="910" xr:uid="{00000000-0005-0000-0000-0000B4090000}"/>
    <cellStyle name="Vírgula 2 4 2" xfId="1039" xr:uid="{00000000-0005-0000-0000-0000B5090000}"/>
    <cellStyle name="Vírgula 2 4 2 2" xfId="1423" xr:uid="{00000000-0005-0000-0000-0000B6090000}"/>
    <cellStyle name="Vírgula 2 4 2 3" xfId="1867" xr:uid="{00000000-0005-0000-0000-0000B7090000}"/>
    <cellStyle name="Vírgula 2 4 2 4" xfId="1422" xr:uid="{00000000-0005-0000-0000-0000B8090000}"/>
    <cellStyle name="Vírgula 2 4 3" xfId="2188" xr:uid="{00000000-0005-0000-0000-0000B9090000}"/>
    <cellStyle name="Vírgula 2 5" xfId="911" xr:uid="{00000000-0005-0000-0000-0000BA090000}"/>
    <cellStyle name="Vírgula 2 5 2" xfId="1040" xr:uid="{00000000-0005-0000-0000-0000BB090000}"/>
    <cellStyle name="Vírgula 2 5 2 2" xfId="2189" xr:uid="{00000000-0005-0000-0000-0000BC090000}"/>
    <cellStyle name="Vírgula 2 6" xfId="912" xr:uid="{00000000-0005-0000-0000-0000BD090000}"/>
    <cellStyle name="Vírgula 2 6 2" xfId="1041" xr:uid="{00000000-0005-0000-0000-0000BE090000}"/>
    <cellStyle name="Vírgula 2 6 2 2" xfId="2190" xr:uid="{00000000-0005-0000-0000-0000BF090000}"/>
    <cellStyle name="Vírgula 2 7" xfId="913" xr:uid="{00000000-0005-0000-0000-0000C0090000}"/>
    <cellStyle name="Vírgula 2 7 2" xfId="1042" xr:uid="{00000000-0005-0000-0000-0000C1090000}"/>
    <cellStyle name="Vírgula 2 7 2 2" xfId="2191" xr:uid="{00000000-0005-0000-0000-0000C2090000}"/>
    <cellStyle name="Vírgula 2 8" xfId="914" xr:uid="{00000000-0005-0000-0000-0000C3090000}"/>
    <cellStyle name="Vírgula 2 8 2" xfId="2192" xr:uid="{00000000-0005-0000-0000-0000C4090000}"/>
    <cellStyle name="Vírgula 2 9" xfId="915" xr:uid="{00000000-0005-0000-0000-0000C5090000}"/>
    <cellStyle name="Vírgula 2 9 2" xfId="2193" xr:uid="{00000000-0005-0000-0000-0000C6090000}"/>
    <cellStyle name="Vírgula 3" xfId="916" xr:uid="{00000000-0005-0000-0000-0000C7090000}"/>
    <cellStyle name="Vírgula 3 10" xfId="2494" xr:uid="{00000000-0005-0000-0000-0000C8090000}"/>
    <cellStyle name="Vírgula 3 11" xfId="2529" xr:uid="{00000000-0005-0000-0000-0000C9090000}"/>
    <cellStyle name="Vírgula 3 12" xfId="2563" xr:uid="{00000000-0005-0000-0000-0000CA090000}"/>
    <cellStyle name="Vírgula 3 13" xfId="2598" xr:uid="{00000000-0005-0000-0000-0000CB090000}"/>
    <cellStyle name="Vírgula 3 14" xfId="2634" xr:uid="{00000000-0005-0000-0000-0000CC090000}"/>
    <cellStyle name="Vírgula 3 15" xfId="2669" xr:uid="{00000000-0005-0000-0000-000083030000}"/>
    <cellStyle name="Vírgula 3 16" xfId="2704" xr:uid="{00000000-0005-0000-0000-000083030000}"/>
    <cellStyle name="Vírgula 3 17" xfId="2739" xr:uid="{00000000-0005-0000-0000-000083030000}"/>
    <cellStyle name="Vírgula 3 18" xfId="2772" xr:uid="{00000000-0005-0000-0000-000083030000}"/>
    <cellStyle name="Vírgula 3 19" xfId="2807" xr:uid="{00000000-0005-0000-0000-000083030000}"/>
    <cellStyle name="Vírgula 3 2" xfId="917" xr:uid="{00000000-0005-0000-0000-0000CD090000}"/>
    <cellStyle name="Vírgula 3 2 10" xfId="2599" xr:uid="{00000000-0005-0000-0000-0000CE090000}"/>
    <cellStyle name="Vírgula 3 2 11" xfId="2635" xr:uid="{00000000-0005-0000-0000-0000CF090000}"/>
    <cellStyle name="Vírgula 3 2 12" xfId="2670" xr:uid="{00000000-0005-0000-0000-000084030000}"/>
    <cellStyle name="Vírgula 3 2 13" xfId="2705" xr:uid="{00000000-0005-0000-0000-000084030000}"/>
    <cellStyle name="Vírgula 3 2 14" xfId="2740" xr:uid="{00000000-0005-0000-0000-000084030000}"/>
    <cellStyle name="Vírgula 3 2 15" xfId="2773" xr:uid="{00000000-0005-0000-0000-000084030000}"/>
    <cellStyle name="Vírgula 3 2 16" xfId="2808" xr:uid="{00000000-0005-0000-0000-000084030000}"/>
    <cellStyle name="Vírgula 3 2 2" xfId="1044" xr:uid="{00000000-0005-0000-0000-0000D0090000}"/>
    <cellStyle name="Vírgula 3 2 2 2" xfId="1425" xr:uid="{00000000-0005-0000-0000-0000D1090000}"/>
    <cellStyle name="Vírgula 3 2 2 3" xfId="1424" xr:uid="{00000000-0005-0000-0000-0000D2090000}"/>
    <cellStyle name="Vírgula 3 2 3" xfId="2295" xr:uid="{00000000-0005-0000-0000-0000D3090000}"/>
    <cellStyle name="Vírgula 3 2 4" xfId="2390" xr:uid="{00000000-0005-0000-0000-0000D4090000}"/>
    <cellStyle name="Vírgula 3 2 5" xfId="2425" xr:uid="{00000000-0005-0000-0000-0000D5090000}"/>
    <cellStyle name="Vírgula 3 2 6" xfId="2460" xr:uid="{00000000-0005-0000-0000-0000D6090000}"/>
    <cellStyle name="Vírgula 3 2 7" xfId="2495" xr:uid="{00000000-0005-0000-0000-0000D7090000}"/>
    <cellStyle name="Vírgula 3 2 8" xfId="2530" xr:uid="{00000000-0005-0000-0000-0000D8090000}"/>
    <cellStyle name="Vírgula 3 2 9" xfId="2564" xr:uid="{00000000-0005-0000-0000-0000D9090000}"/>
    <cellStyle name="Vírgula 3 3" xfId="1045" xr:uid="{00000000-0005-0000-0000-0000DA090000}"/>
    <cellStyle name="Vírgula 3 4" xfId="1046" xr:uid="{00000000-0005-0000-0000-0000DB090000}"/>
    <cellStyle name="Vírgula 3 5" xfId="1043" xr:uid="{00000000-0005-0000-0000-0000DC090000}"/>
    <cellStyle name="Vírgula 3 6" xfId="2294" xr:uid="{00000000-0005-0000-0000-0000DD090000}"/>
    <cellStyle name="Vírgula 3 7" xfId="2389" xr:uid="{00000000-0005-0000-0000-0000DE090000}"/>
    <cellStyle name="Vírgula 3 8" xfId="2424" xr:uid="{00000000-0005-0000-0000-0000DF090000}"/>
    <cellStyle name="Vírgula 3 9" xfId="2459" xr:uid="{00000000-0005-0000-0000-0000E0090000}"/>
    <cellStyle name="Vírgula 4" xfId="17" xr:uid="{00000000-0005-0000-0000-0000E1090000}"/>
    <cellStyle name="Vírgula 4 10" xfId="2531" xr:uid="{00000000-0005-0000-0000-0000E2090000}"/>
    <cellStyle name="Vírgula 4 11" xfId="2565" xr:uid="{00000000-0005-0000-0000-0000E3090000}"/>
    <cellStyle name="Vírgula 4 12" xfId="2600" xr:uid="{00000000-0005-0000-0000-0000E4090000}"/>
    <cellStyle name="Vírgula 4 13" xfId="2636" xr:uid="{00000000-0005-0000-0000-0000E5090000}"/>
    <cellStyle name="Vírgula 4 14" xfId="2671" xr:uid="{00000000-0005-0000-0000-000085030000}"/>
    <cellStyle name="Vírgula 4 15" xfId="2706" xr:uid="{00000000-0005-0000-0000-000085030000}"/>
    <cellStyle name="Vírgula 4 16" xfId="2741" xr:uid="{00000000-0005-0000-0000-000085030000}"/>
    <cellStyle name="Vírgula 4 17" xfId="2774" xr:uid="{00000000-0005-0000-0000-000085030000}"/>
    <cellStyle name="Vírgula 4 18" xfId="2809" xr:uid="{00000000-0005-0000-0000-000085030000}"/>
    <cellStyle name="Vírgula 4 2" xfId="1048" xr:uid="{00000000-0005-0000-0000-0000E6090000}"/>
    <cellStyle name="Vírgula 4 3" xfId="1049" xr:uid="{00000000-0005-0000-0000-0000E7090000}"/>
    <cellStyle name="Vírgula 4 4" xfId="1047" xr:uid="{00000000-0005-0000-0000-0000E8090000}"/>
    <cellStyle name="Vírgula 4 5" xfId="2296" xr:uid="{00000000-0005-0000-0000-0000E9090000}"/>
    <cellStyle name="Vírgula 4 6" xfId="2391" xr:uid="{00000000-0005-0000-0000-0000EA090000}"/>
    <cellStyle name="Vírgula 4 7" xfId="2426" xr:uid="{00000000-0005-0000-0000-0000EB090000}"/>
    <cellStyle name="Vírgula 4 8" xfId="2461" xr:uid="{00000000-0005-0000-0000-0000EC090000}"/>
    <cellStyle name="Vírgula 4 9" xfId="2496" xr:uid="{00000000-0005-0000-0000-0000ED090000}"/>
    <cellStyle name="Vírgula 5" xfId="23" xr:uid="{00000000-0005-0000-0000-0000EE090000}"/>
    <cellStyle name="Vírgula 5 10" xfId="2532" xr:uid="{00000000-0005-0000-0000-0000EF090000}"/>
    <cellStyle name="Vírgula 5 11" xfId="2566" xr:uid="{00000000-0005-0000-0000-0000F0090000}"/>
    <cellStyle name="Vírgula 5 12" xfId="2601" xr:uid="{00000000-0005-0000-0000-0000F1090000}"/>
    <cellStyle name="Vírgula 5 13" xfId="2637" xr:uid="{00000000-0005-0000-0000-0000F2090000}"/>
    <cellStyle name="Vírgula 5 14" xfId="2672" xr:uid="{00000000-0005-0000-0000-000086030000}"/>
    <cellStyle name="Vírgula 5 15" xfId="2707" xr:uid="{00000000-0005-0000-0000-000086030000}"/>
    <cellStyle name="Vírgula 5 16" xfId="2742" xr:uid="{00000000-0005-0000-0000-000086030000}"/>
    <cellStyle name="Vírgula 5 17" xfId="2775" xr:uid="{00000000-0005-0000-0000-000086030000}"/>
    <cellStyle name="Vírgula 5 18" xfId="2810" xr:uid="{00000000-0005-0000-0000-000086030000}"/>
    <cellStyle name="Vírgula 5 2" xfId="918" xr:uid="{00000000-0005-0000-0000-0000F3090000}"/>
    <cellStyle name="Vírgula 5 2 10" xfId="2567" xr:uid="{00000000-0005-0000-0000-0000F4090000}"/>
    <cellStyle name="Vírgula 5 2 11" xfId="2602" xr:uid="{00000000-0005-0000-0000-0000F5090000}"/>
    <cellStyle name="Vírgula 5 2 12" xfId="2638" xr:uid="{00000000-0005-0000-0000-0000F6090000}"/>
    <cellStyle name="Vírgula 5 2 13" xfId="2673" xr:uid="{00000000-0005-0000-0000-000087030000}"/>
    <cellStyle name="Vírgula 5 2 14" xfId="2708" xr:uid="{00000000-0005-0000-0000-000087030000}"/>
    <cellStyle name="Vírgula 5 2 15" xfId="2743" xr:uid="{00000000-0005-0000-0000-000087030000}"/>
    <cellStyle name="Vírgula 5 2 16" xfId="2776" xr:uid="{00000000-0005-0000-0000-000087030000}"/>
    <cellStyle name="Vírgula 5 2 17" xfId="2811" xr:uid="{00000000-0005-0000-0000-000087030000}"/>
    <cellStyle name="Vírgula 5 2 2" xfId="1078" xr:uid="{00000000-0005-0000-0000-0000F7090000}"/>
    <cellStyle name="Vírgula 5 2 3" xfId="1427" xr:uid="{00000000-0005-0000-0000-0000F8090000}"/>
    <cellStyle name="Vírgula 5 2 4" xfId="2298" xr:uid="{00000000-0005-0000-0000-0000F9090000}"/>
    <cellStyle name="Vírgula 5 2 5" xfId="2393" xr:uid="{00000000-0005-0000-0000-0000FA090000}"/>
    <cellStyle name="Vírgula 5 2 6" xfId="2428" xr:uid="{00000000-0005-0000-0000-0000FB090000}"/>
    <cellStyle name="Vírgula 5 2 7" xfId="2463" xr:uid="{00000000-0005-0000-0000-0000FC090000}"/>
    <cellStyle name="Vírgula 5 2 8" xfId="2498" xr:uid="{00000000-0005-0000-0000-0000FD090000}"/>
    <cellStyle name="Vírgula 5 2 9" xfId="2533" xr:uid="{00000000-0005-0000-0000-0000FE090000}"/>
    <cellStyle name="Vírgula 5 3" xfId="1050" xr:uid="{00000000-0005-0000-0000-0000FF090000}"/>
    <cellStyle name="Vírgula 5 3 2" xfId="2194" xr:uid="{00000000-0005-0000-0000-0000000A0000}"/>
    <cellStyle name="Vírgula 5 4" xfId="1426" xr:uid="{00000000-0005-0000-0000-0000010A0000}"/>
    <cellStyle name="Vírgula 5 5" xfId="2297" xr:uid="{00000000-0005-0000-0000-0000020A0000}"/>
    <cellStyle name="Vírgula 5 6" xfId="2392" xr:uid="{00000000-0005-0000-0000-0000030A0000}"/>
    <cellStyle name="Vírgula 5 7" xfId="2427" xr:uid="{00000000-0005-0000-0000-0000040A0000}"/>
    <cellStyle name="Vírgula 5 8" xfId="2462" xr:uid="{00000000-0005-0000-0000-0000050A0000}"/>
    <cellStyle name="Vírgula 5 9" xfId="2497" xr:uid="{00000000-0005-0000-0000-0000060A0000}"/>
    <cellStyle name="Vírgula 6" xfId="21" xr:uid="{00000000-0005-0000-0000-0000070A0000}"/>
    <cellStyle name="Vírgula 6 10" xfId="2429" xr:uid="{00000000-0005-0000-0000-0000080A0000}"/>
    <cellStyle name="Vírgula 6 11" xfId="2464" xr:uid="{00000000-0005-0000-0000-0000090A0000}"/>
    <cellStyle name="Vírgula 6 12" xfId="2499" xr:uid="{00000000-0005-0000-0000-00000A0A0000}"/>
    <cellStyle name="Vírgula 6 13" xfId="2534" xr:uid="{00000000-0005-0000-0000-00000B0A0000}"/>
    <cellStyle name="Vírgula 6 14" xfId="2568" xr:uid="{00000000-0005-0000-0000-00000C0A0000}"/>
    <cellStyle name="Vírgula 6 15" xfId="2603" xr:uid="{00000000-0005-0000-0000-00000D0A0000}"/>
    <cellStyle name="Vírgula 6 16" xfId="2639" xr:uid="{00000000-0005-0000-0000-00000E0A0000}"/>
    <cellStyle name="Vírgula 6 17" xfId="2674" xr:uid="{00000000-0005-0000-0000-000088030000}"/>
    <cellStyle name="Vírgula 6 18" xfId="2709" xr:uid="{00000000-0005-0000-0000-000088030000}"/>
    <cellStyle name="Vírgula 6 19" xfId="2744" xr:uid="{00000000-0005-0000-0000-000088030000}"/>
    <cellStyle name="Vírgula 6 2" xfId="920" xr:uid="{00000000-0005-0000-0000-00000F0A0000}"/>
    <cellStyle name="Vírgula 6 2 10" xfId="2604" xr:uid="{00000000-0005-0000-0000-0000100A0000}"/>
    <cellStyle name="Vírgula 6 2 11" xfId="2640" xr:uid="{00000000-0005-0000-0000-0000110A0000}"/>
    <cellStyle name="Vírgula 6 2 12" xfId="2675" xr:uid="{00000000-0005-0000-0000-000089030000}"/>
    <cellStyle name="Vírgula 6 2 13" xfId="2710" xr:uid="{00000000-0005-0000-0000-000089030000}"/>
    <cellStyle name="Vírgula 6 2 14" xfId="2745" xr:uid="{00000000-0005-0000-0000-000089030000}"/>
    <cellStyle name="Vírgula 6 2 15" xfId="2778" xr:uid="{00000000-0005-0000-0000-000089030000}"/>
    <cellStyle name="Vírgula 6 2 16" xfId="2813" xr:uid="{00000000-0005-0000-0000-000089030000}"/>
    <cellStyle name="Vírgula 6 2 2" xfId="1429" xr:uid="{00000000-0005-0000-0000-0000120A0000}"/>
    <cellStyle name="Vírgula 6 2 3" xfId="2300" xr:uid="{00000000-0005-0000-0000-0000130A0000}"/>
    <cellStyle name="Vírgula 6 2 4" xfId="2395" xr:uid="{00000000-0005-0000-0000-0000140A0000}"/>
    <cellStyle name="Vírgula 6 2 5" xfId="2430" xr:uid="{00000000-0005-0000-0000-0000150A0000}"/>
    <cellStyle name="Vírgula 6 2 6" xfId="2465" xr:uid="{00000000-0005-0000-0000-0000160A0000}"/>
    <cellStyle name="Vírgula 6 2 7" xfId="2500" xr:uid="{00000000-0005-0000-0000-0000170A0000}"/>
    <cellStyle name="Vírgula 6 2 8" xfId="2535" xr:uid="{00000000-0005-0000-0000-0000180A0000}"/>
    <cellStyle name="Vírgula 6 2 9" xfId="2569" xr:uid="{00000000-0005-0000-0000-0000190A0000}"/>
    <cellStyle name="Vírgula 6 20" xfId="2777" xr:uid="{00000000-0005-0000-0000-000088030000}"/>
    <cellStyle name="Vírgula 6 21" xfId="2812" xr:uid="{00000000-0005-0000-0000-000088030000}"/>
    <cellStyle name="Vírgula 6 3" xfId="921" xr:uid="{00000000-0005-0000-0000-00001A0A0000}"/>
    <cellStyle name="Vírgula 6 3 10" xfId="2605" xr:uid="{00000000-0005-0000-0000-00001B0A0000}"/>
    <cellStyle name="Vírgula 6 3 11" xfId="2641" xr:uid="{00000000-0005-0000-0000-00001C0A0000}"/>
    <cellStyle name="Vírgula 6 3 12" xfId="2676" xr:uid="{00000000-0005-0000-0000-00008A030000}"/>
    <cellStyle name="Vírgula 6 3 13" xfId="2711" xr:uid="{00000000-0005-0000-0000-00008A030000}"/>
    <cellStyle name="Vírgula 6 3 14" xfId="2746" xr:uid="{00000000-0005-0000-0000-00008A030000}"/>
    <cellStyle name="Vírgula 6 3 15" xfId="2779" xr:uid="{00000000-0005-0000-0000-00008A030000}"/>
    <cellStyle name="Vírgula 6 3 16" xfId="2814" xr:uid="{00000000-0005-0000-0000-00008A030000}"/>
    <cellStyle name="Vírgula 6 3 2" xfId="1430" xr:uid="{00000000-0005-0000-0000-00001D0A0000}"/>
    <cellStyle name="Vírgula 6 3 3" xfId="2301" xr:uid="{00000000-0005-0000-0000-00001E0A0000}"/>
    <cellStyle name="Vírgula 6 3 4" xfId="2396" xr:uid="{00000000-0005-0000-0000-00001F0A0000}"/>
    <cellStyle name="Vírgula 6 3 5" xfId="2431" xr:uid="{00000000-0005-0000-0000-0000200A0000}"/>
    <cellStyle name="Vírgula 6 3 6" xfId="2466" xr:uid="{00000000-0005-0000-0000-0000210A0000}"/>
    <cellStyle name="Vírgula 6 3 7" xfId="2501" xr:uid="{00000000-0005-0000-0000-0000220A0000}"/>
    <cellStyle name="Vírgula 6 3 8" xfId="2536" xr:uid="{00000000-0005-0000-0000-0000230A0000}"/>
    <cellStyle name="Vírgula 6 3 9" xfId="2570" xr:uid="{00000000-0005-0000-0000-0000240A0000}"/>
    <cellStyle name="Vírgula 6 4" xfId="1068" xr:uid="{00000000-0005-0000-0000-0000250A0000}"/>
    <cellStyle name="Vírgula 6 4 2" xfId="26" xr:uid="{00000000-0005-0000-0000-0000260A0000}"/>
    <cellStyle name="Vírgula 6 4 2 2" xfId="1432" xr:uid="{00000000-0005-0000-0000-0000270A0000}"/>
    <cellStyle name="Vírgula 6 4 3" xfId="1868" xr:uid="{00000000-0005-0000-0000-0000280A0000}"/>
    <cellStyle name="Vírgula 6 4 4" xfId="1431" xr:uid="{00000000-0005-0000-0000-0000290A0000}"/>
    <cellStyle name="Vírgula 6 5" xfId="1433" xr:uid="{00000000-0005-0000-0000-00002A0A0000}"/>
    <cellStyle name="Vírgula 6 6" xfId="1434" xr:uid="{00000000-0005-0000-0000-00002B0A0000}"/>
    <cellStyle name="Vírgula 6 7" xfId="1428" xr:uid="{00000000-0005-0000-0000-00002C0A0000}"/>
    <cellStyle name="Vírgula 6 8" xfId="2299" xr:uid="{00000000-0005-0000-0000-00002D0A0000}"/>
    <cellStyle name="Vírgula 6 9" xfId="2394" xr:uid="{00000000-0005-0000-0000-00002E0A0000}"/>
    <cellStyle name="Vírgula 7" xfId="922" xr:uid="{00000000-0005-0000-0000-00002F0A0000}"/>
    <cellStyle name="Vírgula 7 10" xfId="2571" xr:uid="{00000000-0005-0000-0000-0000300A0000}"/>
    <cellStyle name="Vírgula 7 11" xfId="2606" xr:uid="{00000000-0005-0000-0000-0000310A0000}"/>
    <cellStyle name="Vírgula 7 12" xfId="2642" xr:uid="{00000000-0005-0000-0000-0000320A0000}"/>
    <cellStyle name="Vírgula 7 13" xfId="2677" xr:uid="{00000000-0005-0000-0000-00008B030000}"/>
    <cellStyle name="Vírgula 7 14" xfId="2712" xr:uid="{00000000-0005-0000-0000-00008B030000}"/>
    <cellStyle name="Vírgula 7 15" xfId="2747" xr:uid="{00000000-0005-0000-0000-00008B030000}"/>
    <cellStyle name="Vírgula 7 16" xfId="2780" xr:uid="{00000000-0005-0000-0000-00008B030000}"/>
    <cellStyle name="Vírgula 7 17" xfId="2815" xr:uid="{00000000-0005-0000-0000-00008B030000}"/>
    <cellStyle name="Vírgula 7 2" xfId="1080" xr:uid="{00000000-0005-0000-0000-0000330A0000}"/>
    <cellStyle name="Vírgula 7 3" xfId="1435" xr:uid="{00000000-0005-0000-0000-0000340A0000}"/>
    <cellStyle name="Vírgula 7 4" xfId="2302" xr:uid="{00000000-0005-0000-0000-0000350A0000}"/>
    <cellStyle name="Vírgula 7 5" xfId="2397" xr:uid="{00000000-0005-0000-0000-0000360A0000}"/>
    <cellStyle name="Vírgula 7 6" xfId="2432" xr:uid="{00000000-0005-0000-0000-0000370A0000}"/>
    <cellStyle name="Vírgula 7 7" xfId="2467" xr:uid="{00000000-0005-0000-0000-0000380A0000}"/>
    <cellStyle name="Vírgula 7 8" xfId="2502" xr:uid="{00000000-0005-0000-0000-0000390A0000}"/>
    <cellStyle name="Vírgula 7 9" xfId="2537" xr:uid="{00000000-0005-0000-0000-00003A0A0000}"/>
    <cellStyle name="Vírgula 8" xfId="923" xr:uid="{00000000-0005-0000-0000-00003B0A0000}"/>
    <cellStyle name="Vírgula 8 10" xfId="2538" xr:uid="{00000000-0005-0000-0000-00003C0A0000}"/>
    <cellStyle name="Vírgula 8 11" xfId="2572" xr:uid="{00000000-0005-0000-0000-00003D0A0000}"/>
    <cellStyle name="Vírgula 8 12" xfId="2607" xr:uid="{00000000-0005-0000-0000-00003E0A0000}"/>
    <cellStyle name="Vírgula 8 13" xfId="2643" xr:uid="{00000000-0005-0000-0000-00003F0A0000}"/>
    <cellStyle name="Vírgula 8 14" xfId="2678" xr:uid="{00000000-0005-0000-0000-00008C030000}"/>
    <cellStyle name="Vírgula 8 15" xfId="2713" xr:uid="{00000000-0005-0000-0000-00008C030000}"/>
    <cellStyle name="Vírgula 8 16" xfId="2748" xr:uid="{00000000-0005-0000-0000-00008C030000}"/>
    <cellStyle name="Vírgula 8 17" xfId="2781" xr:uid="{00000000-0005-0000-0000-00008C030000}"/>
    <cellStyle name="Vírgula 8 18" xfId="2816" xr:uid="{00000000-0005-0000-0000-00008C030000}"/>
    <cellStyle name="Vírgula 8 2" xfId="924" xr:uid="{00000000-0005-0000-0000-0000400A0000}"/>
    <cellStyle name="Vírgula 8 2 10" xfId="2608" xr:uid="{00000000-0005-0000-0000-0000410A0000}"/>
    <cellStyle name="Vírgula 8 2 11" xfId="2644" xr:uid="{00000000-0005-0000-0000-0000420A0000}"/>
    <cellStyle name="Vírgula 8 2 12" xfId="2679" xr:uid="{00000000-0005-0000-0000-00008D030000}"/>
    <cellStyle name="Vírgula 8 2 13" xfId="2714" xr:uid="{00000000-0005-0000-0000-00008D030000}"/>
    <cellStyle name="Vírgula 8 2 14" xfId="2749" xr:uid="{00000000-0005-0000-0000-00008D030000}"/>
    <cellStyle name="Vírgula 8 2 15" xfId="2782" xr:uid="{00000000-0005-0000-0000-00008D030000}"/>
    <cellStyle name="Vírgula 8 2 16" xfId="2817" xr:uid="{00000000-0005-0000-0000-00008D030000}"/>
    <cellStyle name="Vírgula 8 2 2" xfId="1437" xr:uid="{00000000-0005-0000-0000-0000430A0000}"/>
    <cellStyle name="Vírgula 8 2 3" xfId="2304" xr:uid="{00000000-0005-0000-0000-0000440A0000}"/>
    <cellStyle name="Vírgula 8 2 4" xfId="2399" xr:uid="{00000000-0005-0000-0000-0000450A0000}"/>
    <cellStyle name="Vírgula 8 2 5" xfId="2434" xr:uid="{00000000-0005-0000-0000-0000460A0000}"/>
    <cellStyle name="Vírgula 8 2 6" xfId="2469" xr:uid="{00000000-0005-0000-0000-0000470A0000}"/>
    <cellStyle name="Vírgula 8 2 7" xfId="2504" xr:uid="{00000000-0005-0000-0000-0000480A0000}"/>
    <cellStyle name="Vírgula 8 2 8" xfId="2539" xr:uid="{00000000-0005-0000-0000-0000490A0000}"/>
    <cellStyle name="Vírgula 8 2 9" xfId="2573" xr:uid="{00000000-0005-0000-0000-00004A0A0000}"/>
    <cellStyle name="Vírgula 8 3" xfId="1082" xr:uid="{00000000-0005-0000-0000-00004B0A0000}"/>
    <cellStyle name="Vírgula 8 4" xfId="1436" xr:uid="{00000000-0005-0000-0000-00004C0A0000}"/>
    <cellStyle name="Vírgula 8 5" xfId="2303" xr:uid="{00000000-0005-0000-0000-00004D0A0000}"/>
    <cellStyle name="Vírgula 8 6" xfId="2398" xr:uid="{00000000-0005-0000-0000-00004E0A0000}"/>
    <cellStyle name="Vírgula 8 7" xfId="2433" xr:uid="{00000000-0005-0000-0000-00004F0A0000}"/>
    <cellStyle name="Vírgula 8 8" xfId="2468" xr:uid="{00000000-0005-0000-0000-0000500A0000}"/>
    <cellStyle name="Vírgula 8 9" xfId="2503" xr:uid="{00000000-0005-0000-0000-0000510A0000}"/>
    <cellStyle name="Vírgula 9" xfId="925" xr:uid="{00000000-0005-0000-0000-0000520A0000}"/>
    <cellStyle name="Vírgula 9 2" xfId="926" xr:uid="{00000000-0005-0000-0000-0000530A0000}"/>
    <cellStyle name="Vírgula 9 2 2" xfId="2195" xr:uid="{00000000-0005-0000-0000-0000540A0000}"/>
    <cellStyle name="Vírgula 9 3" xfId="2196" xr:uid="{00000000-0005-0000-0000-0000550A0000}"/>
    <cellStyle name="Warning Text" xfId="927" xr:uid="{00000000-0005-0000-0000-0000560A0000}"/>
    <cellStyle name="Warning Text 2" xfId="1051" xr:uid="{00000000-0005-0000-0000-0000570A0000}"/>
  </cellStyles>
  <dxfs count="12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334945"/>
      <color rgb="FF0000FF"/>
      <color rgb="FF3015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Drop" dropLines="5" dropStyle="combo" dx="16" fmlaLink="$Z$1" fmlaRange="$Y$1:$Y$2" sel="2"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vmlDrawing1.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9.png"/></Relationships>
</file>

<file path=xl/drawings/_rels/vmlDrawing11.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9.png"/><Relationship Id="rId1" Type="http://schemas.openxmlformats.org/officeDocument/2006/relationships/image" Target="../media/image10.png"/><Relationship Id="rId4" Type="http://schemas.openxmlformats.org/officeDocument/2006/relationships/image" Target="../media/image3.jpeg"/></Relationships>
</file>

<file path=xl/drawings/_rels/vmlDrawing12.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9.png"/><Relationship Id="rId1" Type="http://schemas.openxmlformats.org/officeDocument/2006/relationships/image" Target="../media/image10.png"/><Relationship Id="rId4" Type="http://schemas.openxmlformats.org/officeDocument/2006/relationships/image" Target="../media/image3.jpeg"/></Relationships>
</file>

<file path=xl/drawings/_rels/vmlDrawing13.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9.png"/><Relationship Id="rId1" Type="http://schemas.openxmlformats.org/officeDocument/2006/relationships/image" Target="../media/image10.png"/><Relationship Id="rId4" Type="http://schemas.openxmlformats.org/officeDocument/2006/relationships/image" Target="../media/image3.jpeg"/></Relationships>
</file>

<file path=xl/drawings/_rels/vmlDrawing14.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9.png"/><Relationship Id="rId1" Type="http://schemas.openxmlformats.org/officeDocument/2006/relationships/image" Target="../media/image10.png"/><Relationship Id="rId4" Type="http://schemas.openxmlformats.org/officeDocument/2006/relationships/image" Target="../media/image3.jpeg"/></Relationships>
</file>

<file path=xl/drawings/_rels/vmlDrawing15.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9.png"/><Relationship Id="rId1" Type="http://schemas.openxmlformats.org/officeDocument/2006/relationships/image" Target="../media/image10.png"/><Relationship Id="rId4" Type="http://schemas.openxmlformats.org/officeDocument/2006/relationships/image" Target="../media/image3.jpeg"/></Relationships>
</file>

<file path=xl/drawings/_rels/vmlDrawing16.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9.png"/><Relationship Id="rId1" Type="http://schemas.openxmlformats.org/officeDocument/2006/relationships/image" Target="../media/image10.png"/><Relationship Id="rId4" Type="http://schemas.openxmlformats.org/officeDocument/2006/relationships/image" Target="../media/image3.jpeg"/></Relationships>
</file>

<file path=xl/drawings/_rels/vmlDrawing17.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9.png"/><Relationship Id="rId1" Type="http://schemas.openxmlformats.org/officeDocument/2006/relationships/image" Target="../media/image10.png"/><Relationship Id="rId4" Type="http://schemas.openxmlformats.org/officeDocument/2006/relationships/image" Target="../media/image3.jpeg"/></Relationships>
</file>

<file path=xl/drawings/_rels/vmlDrawing18.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9.png"/><Relationship Id="rId1" Type="http://schemas.openxmlformats.org/officeDocument/2006/relationships/image" Target="../media/image10.png"/><Relationship Id="rId4" Type="http://schemas.openxmlformats.org/officeDocument/2006/relationships/image" Target="../media/image3.jpeg"/></Relationships>
</file>

<file path=xl/drawings/_rels/vmlDrawing19.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9.png"/><Relationship Id="rId1" Type="http://schemas.openxmlformats.org/officeDocument/2006/relationships/image" Target="../media/image10.png"/><Relationship Id="rId4"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9.png"/><Relationship Id="rId1" Type="http://schemas.openxmlformats.org/officeDocument/2006/relationships/image" Target="../media/image10.png"/><Relationship Id="rId4" Type="http://schemas.openxmlformats.org/officeDocument/2006/relationships/image" Target="../media/image3.jpeg"/></Relationships>
</file>

<file path=xl/drawings/_rels/vmlDrawing21.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9.png"/><Relationship Id="rId1" Type="http://schemas.openxmlformats.org/officeDocument/2006/relationships/image" Target="../media/image10.png"/><Relationship Id="rId4" Type="http://schemas.openxmlformats.org/officeDocument/2006/relationships/image" Target="../media/image3.jpeg"/></Relationships>
</file>

<file path=xl/drawings/_rels/vmlDrawing22.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9.png"/><Relationship Id="rId1" Type="http://schemas.openxmlformats.org/officeDocument/2006/relationships/image" Target="../media/image10.png"/><Relationship Id="rId4" Type="http://schemas.openxmlformats.org/officeDocument/2006/relationships/image" Target="../media/image3.jpeg"/></Relationships>
</file>

<file path=xl/drawings/_rels/vmlDrawing23.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9.png"/><Relationship Id="rId1" Type="http://schemas.openxmlformats.org/officeDocument/2006/relationships/image" Target="../media/image10.png"/><Relationship Id="rId4" Type="http://schemas.openxmlformats.org/officeDocument/2006/relationships/image" Target="../media/image3.jpeg"/></Relationships>
</file>

<file path=xl/drawings/_rels/vmlDrawing24.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9.png"/><Relationship Id="rId1" Type="http://schemas.openxmlformats.org/officeDocument/2006/relationships/image" Target="../media/image10.png"/><Relationship Id="rId4" Type="http://schemas.openxmlformats.org/officeDocument/2006/relationships/image" Target="../media/image3.jpeg"/></Relationships>
</file>

<file path=xl/drawings/_rels/vmlDrawing25.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9.png"/></Relationships>
</file>

<file path=xl/drawings/_rels/vmlDrawing26.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9.png"/></Relationships>
</file>

<file path=xl/drawings/_rels/vmlDrawing27.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9.png"/></Relationships>
</file>

<file path=xl/drawings/_rels/vmlDrawing28.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9.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7.v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8.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9.png"/></Relationships>
</file>

<file path=xl/drawings/_rels/vmlDrawing9.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8</xdr:col>
      <xdr:colOff>384175</xdr:colOff>
      <xdr:row>14</xdr:row>
      <xdr:rowOff>174625</xdr:rowOff>
    </xdr:from>
    <xdr:to>
      <xdr:col>11</xdr:col>
      <xdr:colOff>500062</xdr:colOff>
      <xdr:row>16</xdr:row>
      <xdr:rowOff>174625</xdr:rowOff>
    </xdr:to>
    <xdr:sp macro="" textlink="">
      <xdr:nvSpPr>
        <xdr:cNvPr id="2" name="CaixaDeTexto 1">
          <a:extLst>
            <a:ext uri="{FF2B5EF4-FFF2-40B4-BE49-F238E27FC236}">
              <a16:creationId xmlns:a16="http://schemas.microsoft.com/office/drawing/2014/main" id="{00000000-0008-0000-0100-000002000000}"/>
            </a:ext>
          </a:extLst>
        </xdr:cNvPr>
        <xdr:cNvSpPr txBox="1"/>
      </xdr:nvSpPr>
      <xdr:spPr>
        <a:xfrm>
          <a:off x="5260975" y="2841625"/>
          <a:ext cx="1944687"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2000" i="1">
              <a:solidFill>
                <a:schemeClr val="bg1"/>
              </a:solidFill>
            </a:rPr>
            <a:t>April 2016</a:t>
          </a:r>
        </a:p>
      </xdr:txBody>
    </xdr:sp>
    <xdr:clientData/>
  </xdr:twoCellAnchor>
  <xdr:twoCellAnchor editAs="oneCell">
    <xdr:from>
      <xdr:col>0</xdr:col>
      <xdr:colOff>0</xdr:colOff>
      <xdr:row>0</xdr:row>
      <xdr:rowOff>19050</xdr:rowOff>
    </xdr:from>
    <xdr:to>
      <xdr:col>11</xdr:col>
      <xdr:colOff>674155</xdr:colOff>
      <xdr:row>53</xdr:row>
      <xdr:rowOff>260166</xdr:rowOff>
    </xdr:to>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9050"/>
          <a:ext cx="7379755" cy="10337616"/>
        </a:xfrm>
        <a:prstGeom prst="rect">
          <a:avLst/>
        </a:prstGeom>
      </xdr:spPr>
    </xdr:pic>
    <xdr:clientData/>
  </xdr:twoCellAnchor>
  <xdr:twoCellAnchor>
    <xdr:from>
      <xdr:col>1</xdr:col>
      <xdr:colOff>250828</xdr:colOff>
      <xdr:row>5</xdr:row>
      <xdr:rowOff>136524</xdr:rowOff>
    </xdr:from>
    <xdr:to>
      <xdr:col>8</xdr:col>
      <xdr:colOff>552453</xdr:colOff>
      <xdr:row>12</xdr:row>
      <xdr:rowOff>41273</xdr:rowOff>
    </xdr:to>
    <xdr:sp macro="" textlink="">
      <xdr:nvSpPr>
        <xdr:cNvPr id="4" name="CaixaDeTexto 3">
          <a:extLst>
            <a:ext uri="{FF2B5EF4-FFF2-40B4-BE49-F238E27FC236}">
              <a16:creationId xmlns:a16="http://schemas.microsoft.com/office/drawing/2014/main" id="{00000000-0008-0000-0100-000004000000}"/>
            </a:ext>
          </a:extLst>
        </xdr:cNvPr>
        <xdr:cNvSpPr txBox="1"/>
      </xdr:nvSpPr>
      <xdr:spPr>
        <a:xfrm>
          <a:off x="860428" y="1089024"/>
          <a:ext cx="4568825" cy="1238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pt-PT" sz="3200" b="1" i="1">
              <a:solidFill>
                <a:srgbClr val="002060"/>
              </a:solidFill>
              <a:effectLst/>
              <a:latin typeface="+mn-lt"/>
              <a:ea typeface="+mn-ea"/>
              <a:cs typeface="+mn-cs"/>
            </a:rPr>
            <a:t>Statistics Information</a:t>
          </a:r>
          <a:endParaRPr lang="pt-PT" sz="3200" b="1" i="1">
            <a:solidFill>
              <a:srgbClr val="002060"/>
            </a:solidFill>
            <a:effectLst/>
          </a:endParaRPr>
        </a:p>
        <a:p>
          <a:pPr marL="0" marR="0" indent="0" algn="l" defTabSz="914400" eaLnBrk="1" fontAlgn="auto" latinLnBrk="0" hangingPunct="1">
            <a:lnSpc>
              <a:spcPct val="100000"/>
            </a:lnSpc>
            <a:spcBef>
              <a:spcPts val="600"/>
            </a:spcBef>
            <a:spcAft>
              <a:spcPts val="0"/>
            </a:spcAft>
            <a:buClrTx/>
            <a:buSzTx/>
            <a:buFontTx/>
            <a:buNone/>
            <a:tabLst/>
            <a:defRPr/>
          </a:pPr>
          <a:r>
            <a:rPr lang="pt-PT" sz="2400" b="0" i="1" spc="20" baseline="0">
              <a:solidFill>
                <a:srgbClr val="002060"/>
              </a:solidFill>
              <a:effectLst/>
              <a:latin typeface="+mn-lt"/>
              <a:ea typeface="+mn-ea"/>
              <a:cs typeface="+mn-cs"/>
            </a:rPr>
            <a:t>Budget Outturn</a:t>
          </a:r>
        </a:p>
        <a:p>
          <a:pPr algn="l" eaLnBrk="1" fontAlgn="auto" latinLnBrk="0" hangingPunct="1"/>
          <a:endParaRPr lang="pt-PT" sz="3200" b="1">
            <a:solidFill>
              <a:srgbClr val="002060"/>
            </a:solidFill>
            <a:effectLst/>
          </a:endParaRPr>
        </a:p>
      </xdr:txBody>
    </xdr:sp>
    <xdr:clientData/>
  </xdr:twoCellAnchor>
  <xdr:twoCellAnchor>
    <xdr:from>
      <xdr:col>8</xdr:col>
      <xdr:colOff>345283</xdr:colOff>
      <xdr:row>14</xdr:row>
      <xdr:rowOff>178593</xdr:rowOff>
    </xdr:from>
    <xdr:to>
      <xdr:col>11</xdr:col>
      <xdr:colOff>535783</xdr:colOff>
      <xdr:row>16</xdr:row>
      <xdr:rowOff>178593</xdr:rowOff>
    </xdr:to>
    <xdr:sp macro="" textlink="">
      <xdr:nvSpPr>
        <xdr:cNvPr id="5" name="CaixaDeTexto 4">
          <a:extLst>
            <a:ext uri="{FF2B5EF4-FFF2-40B4-BE49-F238E27FC236}">
              <a16:creationId xmlns:a16="http://schemas.microsoft.com/office/drawing/2014/main" id="{00000000-0008-0000-0100-000005000000}"/>
            </a:ext>
          </a:extLst>
        </xdr:cNvPr>
        <xdr:cNvSpPr txBox="1"/>
      </xdr:nvSpPr>
      <xdr:spPr>
        <a:xfrm>
          <a:off x="5222083" y="2845593"/>
          <a:ext cx="201930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2000" i="1">
              <a:solidFill>
                <a:schemeClr val="bg1"/>
              </a:solidFill>
            </a:rPr>
            <a:t>November 2022</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76200</xdr:colOff>
      <xdr:row>0</xdr:row>
      <xdr:rowOff>142875</xdr:rowOff>
    </xdr:from>
    <xdr:to>
      <xdr:col>11</xdr:col>
      <xdr:colOff>377075</xdr:colOff>
      <xdr:row>1</xdr:row>
      <xdr:rowOff>262255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724650" y="142875"/>
          <a:ext cx="300875" cy="30988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123825</xdr:colOff>
      <xdr:row>0</xdr:row>
      <xdr:rowOff>152400</xdr:rowOff>
    </xdr:from>
    <xdr:to>
      <xdr:col>11</xdr:col>
      <xdr:colOff>428625</xdr:colOff>
      <xdr:row>1</xdr:row>
      <xdr:rowOff>272415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229475" y="152400"/>
          <a:ext cx="304800" cy="31051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76200</xdr:colOff>
      <xdr:row>1</xdr:row>
      <xdr:rowOff>47625</xdr:rowOff>
    </xdr:from>
    <xdr:to>
      <xdr:col>11</xdr:col>
      <xdr:colOff>377075</xdr:colOff>
      <xdr:row>1</xdr:row>
      <xdr:rowOff>347345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677275" y="200025"/>
          <a:ext cx="300875" cy="30734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oneCellAnchor>
    <xdr:from>
      <xdr:col>11</xdr:col>
      <xdr:colOff>200025</xdr:colOff>
      <xdr:row>1</xdr:row>
      <xdr:rowOff>19050</xdr:rowOff>
    </xdr:from>
    <xdr:ext cx="300875" cy="301625"/>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543800" y="209550"/>
          <a:ext cx="300875" cy="301625"/>
        </a:xfrm>
        <a:prstGeom prst="rect">
          <a:avLst/>
        </a:prstGeom>
        <a:noFill/>
        <a:ln w="9525">
          <a:noFill/>
          <a:miter lim="800000"/>
          <a:headEnd/>
          <a:tailEnd/>
        </a:ln>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11</xdr:col>
      <xdr:colOff>133350</xdr:colOff>
      <xdr:row>1</xdr:row>
      <xdr:rowOff>28575</xdr:rowOff>
    </xdr:from>
    <xdr:to>
      <xdr:col>11</xdr:col>
      <xdr:colOff>438149</xdr:colOff>
      <xdr:row>2</xdr:row>
      <xdr:rowOff>28575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810625" y="180975"/>
          <a:ext cx="304799" cy="30480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oneCellAnchor>
    <xdr:from>
      <xdr:col>10</xdr:col>
      <xdr:colOff>76200</xdr:colOff>
      <xdr:row>0</xdr:row>
      <xdr:rowOff>152400</xdr:rowOff>
    </xdr:from>
    <xdr:ext cx="305786"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458200" y="152400"/>
          <a:ext cx="305786" cy="304800"/>
        </a:xfrm>
        <a:prstGeom prst="rect">
          <a:avLst/>
        </a:prstGeom>
        <a:noFill/>
        <a:ln w="9525">
          <a:noFill/>
          <a:miter lim="800000"/>
          <a:headEnd/>
          <a:tailEnd/>
        </a:ln>
      </xdr:spPr>
    </xdr:pic>
    <xdr:clientData/>
  </xdr:oneCellAnchor>
</xdr:wsDr>
</file>

<file path=xl/drawings/drawing16.xml><?xml version="1.0" encoding="utf-8"?>
<xdr:wsDr xmlns:xdr="http://schemas.openxmlformats.org/drawingml/2006/spreadsheetDrawing" xmlns:a="http://schemas.openxmlformats.org/drawingml/2006/main">
  <xdr:oneCellAnchor>
    <xdr:from>
      <xdr:col>10</xdr:col>
      <xdr:colOff>85725</xdr:colOff>
      <xdr:row>0</xdr:row>
      <xdr:rowOff>104775</xdr:rowOff>
    </xdr:from>
    <xdr:ext cx="305786"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677150" y="104775"/>
          <a:ext cx="305786" cy="304800"/>
        </a:xfrm>
        <a:prstGeom prst="rect">
          <a:avLst/>
        </a:prstGeom>
        <a:noFill/>
        <a:ln w="9525">
          <a:noFill/>
          <a:miter lim="800000"/>
          <a:headEnd/>
          <a:tailEnd/>
        </a:ln>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14</xdr:col>
      <xdr:colOff>171450</xdr:colOff>
      <xdr:row>0</xdr:row>
      <xdr:rowOff>104775</xdr:rowOff>
    </xdr:from>
    <xdr:to>
      <xdr:col>14</xdr:col>
      <xdr:colOff>476250</xdr:colOff>
      <xdr:row>1</xdr:row>
      <xdr:rowOff>228600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67825" y="104775"/>
          <a:ext cx="304800" cy="31432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8</xdr:col>
      <xdr:colOff>155575</xdr:colOff>
      <xdr:row>0</xdr:row>
      <xdr:rowOff>135466</xdr:rowOff>
    </xdr:from>
    <xdr:to>
      <xdr:col>8</xdr:col>
      <xdr:colOff>456141</xdr:colOff>
      <xdr:row>1</xdr:row>
      <xdr:rowOff>250189</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508750" y="135466"/>
          <a:ext cx="300566" cy="305223"/>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12</xdr:col>
      <xdr:colOff>158750</xdr:colOff>
      <xdr:row>0</xdr:row>
      <xdr:rowOff>161925</xdr:rowOff>
    </xdr:from>
    <xdr:to>
      <xdr:col>12</xdr:col>
      <xdr:colOff>484716</xdr:colOff>
      <xdr:row>1</xdr:row>
      <xdr:rowOff>255693</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769100" y="161925"/>
          <a:ext cx="306916" cy="284268"/>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2813050</xdr:colOff>
          <xdr:row>0</xdr:row>
          <xdr:rowOff>298450</xdr:rowOff>
        </xdr:from>
        <xdr:to>
          <xdr:col>2</xdr:col>
          <xdr:colOff>5410200</xdr:colOff>
          <xdr:row>1</xdr:row>
          <xdr:rowOff>31750</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oneCellAnchor>
    <xdr:from>
      <xdr:col>10</xdr:col>
      <xdr:colOff>142875</xdr:colOff>
      <xdr:row>0</xdr:row>
      <xdr:rowOff>171450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0" y="171450"/>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19</xdr:col>
      <xdr:colOff>180975</xdr:colOff>
      <xdr:row>0</xdr:row>
      <xdr:rowOff>114300</xdr:rowOff>
    </xdr:from>
    <xdr:ext cx="304800"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01325" y="1143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18</xdr:col>
      <xdr:colOff>0</xdr:colOff>
      <xdr:row>1</xdr:row>
      <xdr:rowOff>0</xdr:rowOff>
    </xdr:from>
    <xdr:to>
      <xdr:col>18</xdr:col>
      <xdr:colOff>304800</xdr:colOff>
      <xdr:row>2</xdr:row>
      <xdr:rowOff>7620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0915650" y="314325"/>
          <a:ext cx="304800" cy="312420"/>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35</xdr:col>
      <xdr:colOff>466724</xdr:colOff>
      <xdr:row>0</xdr:row>
      <xdr:rowOff>123825</xdr:rowOff>
    </xdr:from>
    <xdr:to>
      <xdr:col>35</xdr:col>
      <xdr:colOff>785195</xdr:colOff>
      <xdr:row>1</xdr:row>
      <xdr:rowOff>216362</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4487524" y="123825"/>
          <a:ext cx="318471" cy="283037"/>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oneCellAnchor>
    <xdr:from>
      <xdr:col>9</xdr:col>
      <xdr:colOff>192689</xdr:colOff>
      <xdr:row>0</xdr:row>
      <xdr:rowOff>66675</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93789" y="66675"/>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5.xml><?xml version="1.0" encoding="utf-8"?>
<xdr:wsDr xmlns:xdr="http://schemas.openxmlformats.org/drawingml/2006/spreadsheetDrawing" xmlns:a="http://schemas.openxmlformats.org/drawingml/2006/main">
  <xdr:oneCellAnchor>
    <xdr:from>
      <xdr:col>8</xdr:col>
      <xdr:colOff>106964</xdr:colOff>
      <xdr:row>1</xdr:row>
      <xdr:rowOff>12700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55889" y="203200"/>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6.xml><?xml version="1.0" encoding="utf-8"?>
<xdr:wsDr xmlns:xdr="http://schemas.openxmlformats.org/drawingml/2006/spreadsheetDrawing" xmlns:a="http://schemas.openxmlformats.org/drawingml/2006/main">
  <xdr:oneCellAnchor>
    <xdr:from>
      <xdr:col>4</xdr:col>
      <xdr:colOff>87914</xdr:colOff>
      <xdr:row>1</xdr:row>
      <xdr:rowOff>12700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22539" y="203200"/>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16</xdr:col>
      <xdr:colOff>139700</xdr:colOff>
      <xdr:row>0</xdr:row>
      <xdr:rowOff>146050</xdr:rowOff>
    </xdr:from>
    <xdr:ext cx="304800" cy="30861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93225" y="146050"/>
          <a:ext cx="304800" cy="308610"/>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19</xdr:col>
      <xdr:colOff>495300</xdr:colOff>
      <xdr:row>0</xdr:row>
      <xdr:rowOff>123825</xdr:rowOff>
    </xdr:from>
    <xdr:to>
      <xdr:col>20</xdr:col>
      <xdr:colOff>190500</xdr:colOff>
      <xdr:row>1</xdr:row>
      <xdr:rowOff>243840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1134725" y="123825"/>
          <a:ext cx="304800" cy="3048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15</xdr:col>
      <xdr:colOff>95250</xdr:colOff>
      <xdr:row>0</xdr:row>
      <xdr:rowOff>495300</xdr:rowOff>
    </xdr:from>
    <xdr:ext cx="281940"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39250" y="161925"/>
          <a:ext cx="281940" cy="304800"/>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6</xdr:col>
      <xdr:colOff>95250</xdr:colOff>
      <xdr:row>0</xdr:row>
      <xdr:rowOff>174624</xdr:rowOff>
    </xdr:from>
    <xdr:ext cx="377190" cy="407773"/>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429500" y="174624"/>
          <a:ext cx="377190" cy="407773"/>
        </a:xfrm>
        <a:prstGeom prst="rect">
          <a:avLst/>
        </a:prstGeom>
        <a:noFill/>
        <a:ln w="9525">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10</xdr:col>
      <xdr:colOff>127000</xdr:colOff>
      <xdr:row>1</xdr:row>
      <xdr:rowOff>0</xdr:rowOff>
    </xdr:from>
    <xdr:ext cx="281940" cy="304800"/>
    <xdr:pic>
      <xdr:nvPicPr>
        <xdr:cNvPr id="4" name="Imagem 3" descr="flecha054.gif">
          <a:hlinkClick xmlns:r="http://schemas.openxmlformats.org/officeDocument/2006/relationships" r:id="rId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8604250" y="158750"/>
          <a:ext cx="281940" cy="304800"/>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11</xdr:col>
      <xdr:colOff>76200</xdr:colOff>
      <xdr:row>1</xdr:row>
      <xdr:rowOff>6927</xdr:rowOff>
    </xdr:from>
    <xdr:to>
      <xdr:col>11</xdr:col>
      <xdr:colOff>381001</xdr:colOff>
      <xdr:row>2</xdr:row>
      <xdr:rowOff>6927</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343900" y="149802"/>
          <a:ext cx="304801" cy="30480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88323</xdr:colOff>
      <xdr:row>1</xdr:row>
      <xdr:rowOff>52820</xdr:rowOff>
    </xdr:from>
    <xdr:to>
      <xdr:col>11</xdr:col>
      <xdr:colOff>385504</xdr:colOff>
      <xdr:row>2</xdr:row>
      <xdr:rowOff>42775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489373" y="252845"/>
          <a:ext cx="304801" cy="30047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gfserv02\dados\Users\igf3242\AppData\Local\Microsoft\Windows\INetCache\Content.Outlook\B2C8SFCH\An&#225;liseDesvios_2008%20(Mar09)%20-%20SAMU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ário_Macro"/>
      <sheetName val="Cenários_Despesa"/>
      <sheetName val="Cenários_Orç"/>
      <sheetName val="Pensões"/>
      <sheetName val="Desemprego"/>
      <sheetName val="Social_Desemp"/>
      <sheetName val="Abono_Fam"/>
      <sheetName val="MapaSub_2008"/>
      <sheetName val="Mapa IX_2008"/>
      <sheetName val="2008"/>
    </sheetNames>
    <sheetDataSet>
      <sheetData sheetId="0"/>
      <sheetData sheetId="1"/>
      <sheetData sheetId="2"/>
      <sheetData sheetId="3"/>
      <sheetData sheetId="4"/>
      <sheetData sheetId="5"/>
      <sheetData sheetId="6"/>
      <sheetData sheetId="7">
        <row r="36">
          <cell r="B36">
            <v>9680204.2100000009</v>
          </cell>
        </row>
      </sheetData>
      <sheetData sheetId="8"/>
      <sheetData sheetId="9"/>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1">
    <pageSetUpPr fitToPage="1"/>
  </sheetPr>
  <dimension ref="A54"/>
  <sheetViews>
    <sheetView showGridLines="0" zoomScaleNormal="100" zoomScalePageLayoutView="50" workbookViewId="0">
      <selection activeCell="P1" sqref="P1"/>
    </sheetView>
  </sheetViews>
  <sheetFormatPr defaultColWidth="9.1796875" defaultRowHeight="14.5"/>
  <cols>
    <col min="1" max="10" width="9.1796875" style="1"/>
    <col min="11" max="11" width="9.1796875" style="1" customWidth="1"/>
    <col min="12" max="12" width="10.81640625" style="1" customWidth="1"/>
    <col min="13" max="16384" width="9.1796875" style="1"/>
  </cols>
  <sheetData>
    <row r="54" ht="21" customHeight="1"/>
  </sheetData>
  <printOptions horizontalCentered="1"/>
  <pageMargins left="0.70866141732283472" right="0.70866141732283472" top="0.74803149606299213" bottom="0.74803149606299213" header="0.74803149606299213" footer="0.35433070866141736"/>
  <pageSetup paperSize="9" scale="78" orientation="portrait" r:id="rId1"/>
  <headerFooter differentOddEven="1">
    <oddFooter>&amp;R&amp;G</oddFooter>
    <evenFooter>&amp;L&amp;G</even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0"/>
  <dimension ref="A1:W120"/>
  <sheetViews>
    <sheetView showGridLines="0" zoomScaleNormal="100" zoomScaleSheetLayoutView="100" workbookViewId="0">
      <selection activeCell="B2" sqref="B2"/>
    </sheetView>
  </sheetViews>
  <sheetFormatPr defaultColWidth="10" defaultRowHeight="15.5"/>
  <cols>
    <col min="1" max="1" width="1.1796875" style="42" customWidth="1"/>
    <col min="2" max="2" width="4.453125" style="42" customWidth="1"/>
    <col min="3" max="3" width="37.54296875" style="42" customWidth="1"/>
    <col min="4" max="5" width="9.453125" style="42" customWidth="1"/>
    <col min="6" max="7" width="9.453125" style="48" customWidth="1"/>
    <col min="8" max="10" width="9.453125" style="42" customWidth="1"/>
    <col min="11" max="12" width="8.54296875" style="42" customWidth="1"/>
    <col min="13" max="13" width="11.453125" style="42" bestFit="1" customWidth="1"/>
    <col min="14" max="14" width="8.54296875" style="42" customWidth="1"/>
    <col min="15" max="15" width="10.453125" style="42" bestFit="1" customWidth="1"/>
    <col min="16" max="17" width="6.1796875" style="42" bestFit="1" customWidth="1"/>
    <col min="18" max="18" width="8" style="42" bestFit="1" customWidth="1"/>
    <col min="19" max="19" width="7.54296875" style="42" bestFit="1" customWidth="1"/>
    <col min="20" max="16384" width="10" style="42"/>
  </cols>
  <sheetData>
    <row r="1" spans="2:23" ht="15" customHeight="1"/>
    <row r="2" spans="2:23" ht="24" customHeight="1">
      <c r="B2" s="8"/>
      <c r="C2" s="21" t="str">
        <f>IF(Indice_index!$Z$1=1,"6 - Conta Consolidada da Administração Central","6 - Central Government Account")</f>
        <v>6 - Central Government Account</v>
      </c>
      <c r="D2" s="21"/>
      <c r="E2" s="21"/>
      <c r="F2" s="21"/>
      <c r="G2" s="21"/>
      <c r="H2" s="21"/>
      <c r="I2" s="21"/>
      <c r="J2" s="21"/>
    </row>
    <row r="3" spans="2:23" ht="16.5" customHeight="1">
      <c r="B3" s="42" t="s">
        <v>4</v>
      </c>
      <c r="F3" s="42"/>
      <c r="G3" s="42"/>
    </row>
    <row r="4" spans="2:23" s="266" customFormat="1" ht="15" customHeight="1">
      <c r="C4" s="1000" t="str">
        <f>+'5 - Conta AC + SS'!C5</f>
        <v>Period: January to November</v>
      </c>
      <c r="D4" s="1000"/>
      <c r="E4" s="1000"/>
      <c r="F4" s="1037"/>
      <c r="G4" s="1038"/>
      <c r="H4" s="1039"/>
      <c r="I4" s="1039"/>
      <c r="J4" s="1040" t="str">
        <f>IF(Indice_index!$Z$1=1,"€ Milhões","€ Millions")</f>
        <v>€ Millions</v>
      </c>
    </row>
    <row r="5" spans="2:23" ht="37.5" customHeight="1">
      <c r="C5" s="1041"/>
      <c r="D5" s="813" t="str">
        <f>IF(Indice_index!$Z$1=1,"CGE","Final execution")</f>
        <v>Final execution</v>
      </c>
      <c r="E5" s="813" t="str">
        <f>IF(Indice_index!$Z$1=1,"Orçamento Inicial","Budget")</f>
        <v>Budget</v>
      </c>
      <c r="F5" s="1706" t="str">
        <f>IF(Indice_index!$Z$1=1,"Execução Acumulada","Accumulated Execution")</f>
        <v>Accumulated Execution</v>
      </c>
      <c r="G5" s="1706"/>
      <c r="H5" s="998" t="str">
        <f>IF(Indice_index!$Z$1=1,"Grau de Execução (%)","Execution Degree (%)")</f>
        <v>Execution Degree (%)</v>
      </c>
      <c r="I5" s="1707" t="str">
        <f>IF(Indice_index!$Z$1=1,"Variação Homóloga Acumulada","YOY Change Rate")</f>
        <v>YOY Change Rate</v>
      </c>
      <c r="J5" s="1708"/>
    </row>
    <row r="6" spans="2:23" ht="30.75" customHeight="1">
      <c r="C6" s="1042"/>
      <c r="D6" s="815" t="s">
        <v>67</v>
      </c>
      <c r="E6" s="815" t="s">
        <v>73</v>
      </c>
      <c r="F6" s="816" t="s">
        <v>67</v>
      </c>
      <c r="G6" s="816" t="s">
        <v>73</v>
      </c>
      <c r="H6" s="818" t="s">
        <v>73</v>
      </c>
      <c r="I6" s="818" t="str">
        <f>IF(Indice_index!$Z$1=1,"Relativa (%)","Relative change (%)")</f>
        <v>Relative change (%)</v>
      </c>
      <c r="J6" s="819" t="str">
        <f>IF(Indice_index!$Z$1=1,"Contributo VHA (p.p.)","YOY Change Rate Contrib. (p.p.)")</f>
        <v>YOY Change Rate Contrib. (p.p.)</v>
      </c>
    </row>
    <row r="7" spans="2:23" ht="3" customHeight="1">
      <c r="C7" s="44"/>
      <c r="D7" s="44"/>
      <c r="E7" s="44"/>
      <c r="F7" s="1043"/>
      <c r="G7" s="1044"/>
      <c r="H7" s="1044"/>
      <c r="I7" s="1044"/>
      <c r="J7" s="1044"/>
      <c r="L7" s="43"/>
    </row>
    <row r="8" spans="2:23" s="267" customFormat="1" ht="15" customHeight="1">
      <c r="C8" s="268" t="str">
        <f>IF(Indice_index!$Z$1=1,"Receita corrente","Current revenue")</f>
        <v>Current revenue</v>
      </c>
      <c r="D8" s="1045">
        <f t="shared" ref="D8:E8" si="0">+D10+D11+D12+D13+D16+D17</f>
        <v>62629.291973259998</v>
      </c>
      <c r="E8" s="1045">
        <f t="shared" si="0"/>
        <v>67867.200278999997</v>
      </c>
      <c r="F8" s="1045">
        <f t="shared" ref="F8:G8" si="1">+F10+F11+F12+F13+F16+F17</f>
        <v>55615.062086000013</v>
      </c>
      <c r="G8" s="1045">
        <f t="shared" si="1"/>
        <v>62831.598786080001</v>
      </c>
      <c r="H8" s="1046">
        <f>IFERROR(IF(G8/E8*100&lt;-500,"-",IF(G8/E8*100&gt;500,"-",G8/E8*100)),"-")</f>
        <v>92.580213310378511</v>
      </c>
      <c r="I8" s="1046">
        <f>IF(IFERROR((G8-F8)/F8*100,"")&gt;500,"-",IFERROR((G8-F8)/F8*100,""))</f>
        <v>12.975867380891785</v>
      </c>
      <c r="J8" s="1047">
        <f t="shared" ref="J8:J16" si="2">IFERROR((G8-F8)/$F$26*100,"")</f>
        <v>12.742022050427948</v>
      </c>
      <c r="K8" s="262"/>
      <c r="L8" s="262"/>
      <c r="M8" s="262"/>
      <c r="N8" s="269"/>
      <c r="O8" s="269"/>
      <c r="P8" s="269"/>
      <c r="Q8" s="269"/>
      <c r="R8" s="269"/>
      <c r="S8" s="269"/>
      <c r="T8" s="270"/>
      <c r="U8" s="270"/>
      <c r="V8" s="270"/>
      <c r="W8" s="270"/>
    </row>
    <row r="9" spans="2:23" s="44" customFormat="1" ht="15" customHeight="1">
      <c r="C9" s="1048" t="str">
        <f>IF(Indice_index!$Z$1=1,"Receita fiscal","Tax")</f>
        <v>Tax</v>
      </c>
      <c r="D9" s="113">
        <f t="shared" ref="D9:E9" si="3">+D10+D11</f>
        <v>46158.924833500001</v>
      </c>
      <c r="E9" s="113">
        <f t="shared" si="3"/>
        <v>49227.151018999997</v>
      </c>
      <c r="F9" s="113">
        <f t="shared" ref="F9:G9" si="4">+F10+F11</f>
        <v>40828.795419590009</v>
      </c>
      <c r="G9" s="113">
        <f t="shared" si="4"/>
        <v>47937.557732139998</v>
      </c>
      <c r="H9" s="1049">
        <f t="shared" ref="H9:H23" si="5">IFERROR(IF(G9/E9*100&lt;-500,"-",IF(G9/E9*100&gt;500,"-",G9/E9*100)),"-")</f>
        <v>97.380321102957467</v>
      </c>
      <c r="I9" s="1049">
        <f t="shared" ref="I9:I23" si="6">IF(IFERROR((G9-F9)/F9*100,"")&gt;500,"-",IFERROR((G9-F9)/F9*100,""))</f>
        <v>17.41114877256247</v>
      </c>
      <c r="J9" s="1050">
        <f t="shared" si="2"/>
        <v>12.55172805214988</v>
      </c>
      <c r="K9" s="26"/>
      <c r="L9" s="26"/>
      <c r="M9" s="26"/>
      <c r="N9" s="45"/>
      <c r="O9" s="45"/>
      <c r="P9" s="45"/>
      <c r="Q9" s="45"/>
      <c r="R9" s="45"/>
      <c r="S9" s="45"/>
      <c r="T9" s="46"/>
      <c r="U9" s="46"/>
      <c r="V9" s="46"/>
      <c r="W9" s="46"/>
    </row>
    <row r="10" spans="2:23" s="44" customFormat="1" ht="15" customHeight="1">
      <c r="C10" s="47" t="str">
        <f>IF(Indice_index!$Z$1=1,"Impostos diretos ","Direct taxes")</f>
        <v>Direct taxes</v>
      </c>
      <c r="D10" s="113">
        <v>19956.944554760001</v>
      </c>
      <c r="E10" s="113">
        <v>20904.899710000002</v>
      </c>
      <c r="F10" s="113">
        <v>16644.149495720001</v>
      </c>
      <c r="G10" s="113">
        <v>20659.391788260011</v>
      </c>
      <c r="H10" s="1049">
        <f t="shared" si="5"/>
        <v>98.825596270990232</v>
      </c>
      <c r="I10" s="1049">
        <f t="shared" si="6"/>
        <v>24.124046071398951</v>
      </c>
      <c r="J10" s="1050">
        <f t="shared" si="2"/>
        <v>7.0895926890787626</v>
      </c>
      <c r="K10" s="26"/>
      <c r="L10" s="26"/>
      <c r="M10" s="26"/>
      <c r="N10" s="45"/>
      <c r="O10" s="45"/>
      <c r="P10" s="45"/>
      <c r="Q10" s="45"/>
      <c r="R10" s="45"/>
      <c r="S10" s="45"/>
      <c r="T10" s="46"/>
      <c r="U10" s="46"/>
      <c r="V10" s="46"/>
      <c r="W10" s="46"/>
    </row>
    <row r="11" spans="2:23" s="44" customFormat="1" ht="15" customHeight="1">
      <c r="C11" s="47" t="str">
        <f>IF(Indice_index!$Z$1=1,"Impostos indiretos","Indirect taxes")</f>
        <v>Indirect taxes</v>
      </c>
      <c r="D11" s="113">
        <v>26201.980278739997</v>
      </c>
      <c r="E11" s="113">
        <v>28322.251308999999</v>
      </c>
      <c r="F11" s="113">
        <v>24184.645923870004</v>
      </c>
      <c r="G11" s="113">
        <v>27278.165943879987</v>
      </c>
      <c r="H11" s="1049">
        <f t="shared" si="5"/>
        <v>96.313550947172658</v>
      </c>
      <c r="I11" s="1049">
        <f t="shared" si="6"/>
        <v>12.791256195141187</v>
      </c>
      <c r="J11" s="1050">
        <f t="shared" si="2"/>
        <v>5.4621353630711242</v>
      </c>
      <c r="K11" s="26"/>
      <c r="L11" s="26"/>
      <c r="M11" s="26"/>
      <c r="N11" s="45"/>
      <c r="O11" s="45"/>
      <c r="P11" s="45"/>
      <c r="Q11" s="45"/>
      <c r="R11" s="45"/>
      <c r="S11" s="45"/>
      <c r="T11" s="46"/>
      <c r="U11" s="46"/>
      <c r="V11" s="46"/>
      <c r="W11" s="46"/>
    </row>
    <row r="12" spans="2:23" s="44" customFormat="1" ht="15" customHeight="1">
      <c r="C12" s="1051" t="str">
        <f>IF(Indice_index!$Z$1=1,"Contribuições para Segurança Social, CGA e ADSE","Social security, CGA and ADSE contributions")</f>
        <v>Social security, CGA and ADSE contributions</v>
      </c>
      <c r="D12" s="113">
        <v>4251.8208699400002</v>
      </c>
      <c r="E12" s="113">
        <v>4195.3064640000002</v>
      </c>
      <c r="F12" s="113">
        <v>3702.8542526400011</v>
      </c>
      <c r="G12" s="113">
        <v>3605.0418841400005</v>
      </c>
      <c r="H12" s="1049">
        <f t="shared" si="5"/>
        <v>85.930358486916973</v>
      </c>
      <c r="I12" s="1049">
        <f t="shared" si="6"/>
        <v>-2.6415397913721237</v>
      </c>
      <c r="J12" s="1050">
        <f t="shared" si="2"/>
        <v>-0.17270436055812977</v>
      </c>
      <c r="K12" s="26"/>
      <c r="L12" s="26"/>
      <c r="M12" s="26"/>
      <c r="N12" s="45"/>
      <c r="O12" s="45"/>
      <c r="P12" s="45"/>
      <c r="Q12" s="45"/>
      <c r="R12" s="45"/>
      <c r="S12" s="45"/>
      <c r="T12" s="46"/>
      <c r="U12" s="46"/>
      <c r="V12" s="46"/>
      <c r="W12" s="46"/>
    </row>
    <row r="13" spans="2:23" s="44" customFormat="1" ht="15" customHeight="1">
      <c r="C13" s="1051" t="str">
        <f>IF(Indice_index!$Z$1=1,"Transferências Correntes","Current transfers")</f>
        <v>Current transfers</v>
      </c>
      <c r="D13" s="113">
        <f t="shared" ref="D13:E13" si="7">+D14+D15</f>
        <v>3580.1694037100006</v>
      </c>
      <c r="E13" s="113">
        <f t="shared" si="7"/>
        <v>4811.3206229999996</v>
      </c>
      <c r="F13" s="113">
        <f t="shared" ref="F13:G13" si="8">+F14+F15</f>
        <v>3563.8340801700001</v>
      </c>
      <c r="G13" s="113">
        <f t="shared" si="8"/>
        <v>2899.5134414499998</v>
      </c>
      <c r="H13" s="1049">
        <f t="shared" si="5"/>
        <v>60.264398668199092</v>
      </c>
      <c r="I13" s="1049">
        <f t="shared" si="6"/>
        <v>-18.640616363607794</v>
      </c>
      <c r="J13" s="1050">
        <f t="shared" si="2"/>
        <v>-1.172970994110069</v>
      </c>
      <c r="K13" s="26"/>
      <c r="L13" s="26"/>
      <c r="M13" s="26"/>
      <c r="N13" s="45"/>
      <c r="O13" s="45"/>
      <c r="P13" s="45"/>
      <c r="Q13" s="45"/>
      <c r="R13" s="45"/>
      <c r="S13" s="45"/>
      <c r="T13" s="46"/>
      <c r="U13" s="46"/>
      <c r="V13" s="46"/>
      <c r="W13" s="46"/>
    </row>
    <row r="14" spans="2:23" s="44" customFormat="1" ht="15" customHeight="1">
      <c r="C14" s="1052" t="str">
        <f>IF(Indice_index!$Z$1=1,"Administrações Públicas","General Government subsectors")</f>
        <v>General Government subsectors</v>
      </c>
      <c r="D14" s="113">
        <v>2169.0692717900001</v>
      </c>
      <c r="E14" s="113">
        <v>1915.556742</v>
      </c>
      <c r="F14" s="113">
        <v>2009.3179492600002</v>
      </c>
      <c r="G14" s="113">
        <v>1712.9407345999996</v>
      </c>
      <c r="H14" s="1049">
        <f t="shared" si="5"/>
        <v>89.422604772936538</v>
      </c>
      <c r="I14" s="1049">
        <f t="shared" si="6"/>
        <v>-14.750140204000648</v>
      </c>
      <c r="J14" s="1050">
        <f t="shared" si="2"/>
        <v>-0.52330434409074467</v>
      </c>
      <c r="K14" s="26"/>
      <c r="L14" s="26"/>
      <c r="M14" s="26"/>
      <c r="N14" s="45"/>
      <c r="O14" s="45"/>
      <c r="P14" s="45"/>
      <c r="Q14" s="45"/>
      <c r="R14" s="45"/>
      <c r="S14" s="45"/>
      <c r="T14" s="46"/>
      <c r="U14" s="46"/>
      <c r="V14" s="46"/>
      <c r="W14" s="46"/>
    </row>
    <row r="15" spans="2:23" s="44" customFormat="1" ht="15" customHeight="1">
      <c r="C15" s="1052" t="str">
        <f>IF(Indice_index!$Z$1=1,"Outras","Others")</f>
        <v>Others</v>
      </c>
      <c r="D15" s="113">
        <v>1411.1001319200002</v>
      </c>
      <c r="E15" s="113">
        <v>2895.7638809999999</v>
      </c>
      <c r="F15" s="113">
        <v>1554.5161309099999</v>
      </c>
      <c r="G15" s="113">
        <v>1186.57270685</v>
      </c>
      <c r="H15" s="1049">
        <f t="shared" si="5"/>
        <v>40.976155363891017</v>
      </c>
      <c r="I15" s="1049">
        <f t="shared" si="6"/>
        <v>-23.669321710068655</v>
      </c>
      <c r="J15" s="1050">
        <f t="shared" si="2"/>
        <v>-0.64966665001932489</v>
      </c>
      <c r="K15" s="26"/>
      <c r="L15" s="26"/>
      <c r="M15" s="26"/>
      <c r="N15" s="45"/>
      <c r="O15" s="45"/>
      <c r="P15" s="45"/>
      <c r="Q15" s="45"/>
      <c r="R15" s="45"/>
      <c r="S15" s="45"/>
      <c r="T15" s="46"/>
      <c r="U15" s="46"/>
      <c r="V15" s="46"/>
      <c r="W15" s="46"/>
    </row>
    <row r="16" spans="2:23" s="44" customFormat="1" ht="15" customHeight="1">
      <c r="C16" s="1051" t="str">
        <f>IF(Indice_index!$Z$1=1,"Outras receitas correntes","Other current revenue")</f>
        <v>Other current revenue</v>
      </c>
      <c r="D16" s="113">
        <v>8598.4130747300005</v>
      </c>
      <c r="E16" s="113">
        <v>9616.8545289999984</v>
      </c>
      <c r="F16" s="113">
        <v>7492.9320718400013</v>
      </c>
      <c r="G16" s="113">
        <v>8291.2629687700028</v>
      </c>
      <c r="H16" s="1049">
        <f t="shared" si="5"/>
        <v>86.21595495457872</v>
      </c>
      <c r="I16" s="1049">
        <f t="shared" si="6"/>
        <v>10.654452613153872</v>
      </c>
      <c r="J16" s="1050">
        <f t="shared" si="2"/>
        <v>1.4095888810635786</v>
      </c>
      <c r="K16" s="26"/>
      <c r="L16" s="26"/>
      <c r="M16" s="26"/>
      <c r="N16" s="45"/>
      <c r="O16" s="45"/>
      <c r="P16" s="45"/>
      <c r="Q16" s="45"/>
      <c r="R16" s="45"/>
      <c r="S16" s="45"/>
      <c r="T16" s="46"/>
      <c r="U16" s="46"/>
      <c r="V16" s="46"/>
      <c r="W16" s="46"/>
    </row>
    <row r="17" spans="2:23" s="44" customFormat="1" ht="15" customHeight="1">
      <c r="C17" s="1051" t="str">
        <f>IF(Indice_index!$Z$1=1,"Diferenças de consolidação","Consolidation differences")</f>
        <v>Consolidation differences</v>
      </c>
      <c r="D17" s="113">
        <v>39.963791379997609</v>
      </c>
      <c r="E17" s="113">
        <v>16.567643999995955</v>
      </c>
      <c r="F17" s="113">
        <v>26.646261759999348</v>
      </c>
      <c r="G17" s="113">
        <v>98.222759579998979</v>
      </c>
      <c r="H17" s="1049"/>
      <c r="I17" s="1049"/>
      <c r="J17" s="1050"/>
      <c r="K17" s="26"/>
      <c r="L17" s="26"/>
      <c r="M17" s="26"/>
      <c r="N17" s="45"/>
      <c r="O17" s="45"/>
      <c r="P17" s="45"/>
      <c r="Q17" s="45"/>
      <c r="R17" s="45"/>
      <c r="S17" s="45"/>
      <c r="T17" s="46"/>
      <c r="U17" s="46"/>
      <c r="V17" s="46"/>
      <c r="W17" s="46"/>
    </row>
    <row r="18" spans="2:23" s="267" customFormat="1" ht="15" customHeight="1">
      <c r="C18" s="268" t="str">
        <f>IF(Indice_index!$Z$1=1,"Receita de capital","Capital revenue")</f>
        <v>Capital revenue</v>
      </c>
      <c r="D18" s="1045">
        <f t="shared" ref="D18:E18" si="9">+D19+D20+D23+D24</f>
        <v>1214.4512072300001</v>
      </c>
      <c r="E18" s="1045">
        <f t="shared" si="9"/>
        <v>3666.3722160000002</v>
      </c>
      <c r="F18" s="1045">
        <f t="shared" ref="F18:G18" si="10">+F19+F20+F23+F24</f>
        <v>1020.6639512000002</v>
      </c>
      <c r="G18" s="1045">
        <f t="shared" si="10"/>
        <v>1414.1732777899997</v>
      </c>
      <c r="H18" s="1045">
        <f t="shared" si="5"/>
        <v>38.571459592088495</v>
      </c>
      <c r="I18" s="1045">
        <f t="shared" si="6"/>
        <v>38.554249528196671</v>
      </c>
      <c r="J18" s="1047">
        <f t="shared" ref="J18:J23" si="11">IFERROR((G18-F18)/$F$26*100,"")</f>
        <v>0.69480759605965148</v>
      </c>
      <c r="K18" s="262"/>
      <c r="L18" s="262"/>
      <c r="M18" s="262"/>
      <c r="N18" s="269"/>
      <c r="O18" s="269"/>
      <c r="P18" s="269"/>
      <c r="Q18" s="269"/>
      <c r="R18" s="269"/>
      <c r="S18" s="269"/>
      <c r="T18" s="270"/>
      <c r="U18" s="270"/>
      <c r="V18" s="270"/>
      <c r="W18" s="270"/>
    </row>
    <row r="19" spans="2:23" s="44" customFormat="1" ht="15" customHeight="1">
      <c r="C19" s="1051" t="str">
        <f>IF(Indice_index!$Z$1=1,"Venda de bens de investimento","Sale of investment goods")</f>
        <v>Sale of investment goods</v>
      </c>
      <c r="D19" s="113">
        <v>154.44449596999999</v>
      </c>
      <c r="E19" s="113">
        <v>182.557568</v>
      </c>
      <c r="F19" s="113">
        <v>110.95593021000002</v>
      </c>
      <c r="G19" s="113">
        <v>126.55822533000001</v>
      </c>
      <c r="H19" s="1049">
        <f t="shared" si="5"/>
        <v>69.325104796531917</v>
      </c>
      <c r="I19" s="1049">
        <f t="shared" si="6"/>
        <v>14.061704579890783</v>
      </c>
      <c r="J19" s="1050">
        <f t="shared" si="11"/>
        <v>2.7548503765541819E-2</v>
      </c>
      <c r="K19" s="26"/>
      <c r="L19" s="26"/>
      <c r="M19" s="26"/>
      <c r="N19" s="45"/>
      <c r="O19" s="45"/>
      <c r="P19" s="45"/>
      <c r="Q19" s="45"/>
      <c r="R19" s="45"/>
      <c r="S19" s="45"/>
      <c r="T19" s="46"/>
      <c r="U19" s="46"/>
      <c r="V19" s="46"/>
      <c r="W19" s="46"/>
    </row>
    <row r="20" spans="2:23" s="44" customFormat="1" ht="15" customHeight="1">
      <c r="C20" s="1051" t="str">
        <f>IF(Indice_index!$Z$1=1,"Transferências de Capital","Capital transfers")</f>
        <v>Capital transfers</v>
      </c>
      <c r="D20" s="113">
        <f t="shared" ref="D20:E20" si="12">+D21+D22</f>
        <v>1020.93896993</v>
      </c>
      <c r="E20" s="113">
        <f t="shared" si="12"/>
        <v>3433.883237</v>
      </c>
      <c r="F20" s="113">
        <f t="shared" ref="F20:G20" si="13">+F21+F22</f>
        <v>883.95070153000006</v>
      </c>
      <c r="G20" s="113">
        <f t="shared" si="13"/>
        <v>1240.0843768399998</v>
      </c>
      <c r="H20" s="1049">
        <f t="shared" si="5"/>
        <v>36.113178324706084</v>
      </c>
      <c r="I20" s="1049">
        <f t="shared" si="6"/>
        <v>40.288861663165164</v>
      </c>
      <c r="J20" s="1050">
        <f t="shared" si="11"/>
        <v>0.62881453144271626</v>
      </c>
      <c r="K20" s="26"/>
      <c r="L20" s="26"/>
      <c r="M20" s="26"/>
      <c r="N20" s="45"/>
      <c r="O20" s="45"/>
      <c r="P20" s="45"/>
      <c r="Q20" s="45"/>
      <c r="R20" s="45"/>
      <c r="S20" s="45"/>
      <c r="T20" s="46"/>
      <c r="U20" s="46"/>
      <c r="V20" s="46"/>
      <c r="W20" s="46"/>
    </row>
    <row r="21" spans="2:23" s="44" customFormat="1" ht="15" customHeight="1">
      <c r="C21" s="1052" t="str">
        <f>IF(Indice_index!$Z$1=1,"Administrações Públicas","General Government subsectors")</f>
        <v>General Government subsectors</v>
      </c>
      <c r="D21" s="113">
        <v>10.4803914</v>
      </c>
      <c r="E21" s="113">
        <v>35.408985000000001</v>
      </c>
      <c r="F21" s="113">
        <v>7.89061068</v>
      </c>
      <c r="G21" s="113">
        <v>10.644750999999999</v>
      </c>
      <c r="H21" s="1049">
        <f t="shared" si="5"/>
        <v>30.062287862812219</v>
      </c>
      <c r="I21" s="1049">
        <f t="shared" si="6"/>
        <v>34.90401987492303</v>
      </c>
      <c r="J21" s="1050">
        <f t="shared" si="11"/>
        <v>4.8629028224887565E-3</v>
      </c>
      <c r="K21" s="26"/>
      <c r="L21" s="26"/>
      <c r="M21" s="26"/>
      <c r="N21" s="45"/>
      <c r="O21" s="45"/>
      <c r="P21" s="45"/>
      <c r="Q21" s="45"/>
      <c r="R21" s="45"/>
      <c r="S21" s="45"/>
      <c r="T21" s="46"/>
      <c r="U21" s="46"/>
      <c r="V21" s="46"/>
      <c r="W21" s="46"/>
    </row>
    <row r="22" spans="2:23" s="44" customFormat="1" ht="15" customHeight="1">
      <c r="B22" s="47"/>
      <c r="C22" s="1052" t="str">
        <f>IF(Indice_index!$Z$1=1,"Outras","Others")</f>
        <v>Others</v>
      </c>
      <c r="D22" s="113">
        <v>1010.45857853</v>
      </c>
      <c r="E22" s="113">
        <v>3398.474252</v>
      </c>
      <c r="F22" s="113">
        <v>876.06009085000005</v>
      </c>
      <c r="G22" s="113">
        <v>1229.4396258399997</v>
      </c>
      <c r="H22" s="1049">
        <f t="shared" si="5"/>
        <v>36.176223054109514</v>
      </c>
      <c r="I22" s="1049">
        <f t="shared" si="6"/>
        <v>40.337362548627468</v>
      </c>
      <c r="J22" s="1050">
        <f t="shared" si="11"/>
        <v>0.62395162862022746</v>
      </c>
      <c r="K22" s="26"/>
      <c r="L22" s="26"/>
      <c r="M22" s="26"/>
      <c r="N22" s="45"/>
      <c r="O22" s="45"/>
      <c r="P22" s="45"/>
      <c r="Q22" s="45"/>
      <c r="R22" s="45"/>
      <c r="S22" s="45"/>
      <c r="T22" s="46"/>
      <c r="U22" s="46"/>
      <c r="V22" s="46"/>
      <c r="W22" s="46"/>
    </row>
    <row r="23" spans="2:23" s="44" customFormat="1" ht="15" customHeight="1">
      <c r="C23" s="1051" t="str">
        <f>IF(Indice_index!$Z$1=1,"Outras receitas de capital","Other capital revenue")</f>
        <v>Other capital revenue</v>
      </c>
      <c r="D23" s="113">
        <v>26.772300769999998</v>
      </c>
      <c r="E23" s="113">
        <v>43.630996000000003</v>
      </c>
      <c r="F23" s="113">
        <v>15.30372908</v>
      </c>
      <c r="G23" s="113">
        <v>47.530675619999997</v>
      </c>
      <c r="H23" s="1049">
        <f t="shared" si="5"/>
        <v>108.93786522773854</v>
      </c>
      <c r="I23" s="1049">
        <f t="shared" si="6"/>
        <v>210.58231213800346</v>
      </c>
      <c r="J23" s="1050">
        <f t="shared" si="11"/>
        <v>5.6902151336123759E-2</v>
      </c>
      <c r="K23" s="26"/>
      <c r="L23" s="26"/>
      <c r="M23" s="26"/>
      <c r="N23" s="45"/>
      <c r="O23" s="45"/>
      <c r="P23" s="45"/>
      <c r="Q23" s="45"/>
      <c r="R23" s="45"/>
      <c r="S23" s="45"/>
      <c r="T23" s="46"/>
      <c r="U23" s="46"/>
      <c r="V23" s="46"/>
      <c r="W23" s="46"/>
    </row>
    <row r="24" spans="2:23" s="44" customFormat="1" ht="15" customHeight="1">
      <c r="C24" s="1051" t="str">
        <f>IF(Indice_index!$Z$1=1,"Diferenças de consolidação","Consolidation differences")</f>
        <v>Consolidation differences</v>
      </c>
      <c r="D24" s="113">
        <v>12.295440560000369</v>
      </c>
      <c r="E24" s="113">
        <v>6.3004149999999726</v>
      </c>
      <c r="F24" s="113">
        <v>10.453590379999987</v>
      </c>
      <c r="G24" s="113">
        <v>0</v>
      </c>
      <c r="H24" s="1050"/>
      <c r="I24" s="1050"/>
      <c r="J24" s="1050"/>
      <c r="K24" s="26"/>
      <c r="L24" s="26"/>
      <c r="M24" s="26"/>
      <c r="N24" s="45"/>
      <c r="O24" s="45"/>
      <c r="P24" s="45"/>
      <c r="Q24" s="45"/>
      <c r="R24" s="45"/>
      <c r="S24" s="45"/>
      <c r="T24" s="46"/>
      <c r="U24" s="46"/>
      <c r="V24" s="46"/>
      <c r="W24" s="46"/>
    </row>
    <row r="25" spans="2:23" s="44" customFormat="1" ht="4.5" customHeight="1">
      <c r="C25" s="1053"/>
      <c r="D25" s="1053"/>
      <c r="E25" s="1053"/>
      <c r="F25" s="113"/>
      <c r="G25" s="113"/>
      <c r="H25" s="1050"/>
      <c r="I25" s="1050"/>
      <c r="J25" s="1050"/>
      <c r="K25" s="26"/>
      <c r="L25" s="26"/>
      <c r="M25" s="26"/>
      <c r="N25" s="45"/>
      <c r="O25" s="45"/>
      <c r="P25" s="45"/>
      <c r="Q25" s="45"/>
      <c r="R25" s="45"/>
      <c r="S25" s="45"/>
      <c r="T25" s="46"/>
      <c r="U25" s="46"/>
      <c r="V25" s="46"/>
      <c r="W25" s="46"/>
    </row>
    <row r="26" spans="2:23" s="268" customFormat="1" ht="15" customHeight="1">
      <c r="C26" s="1054" t="str">
        <f>IF(Indice_index!$Z$1=1,"Receita efetiva","Effective revenue")</f>
        <v>Effective revenue</v>
      </c>
      <c r="D26" s="1055">
        <f t="shared" ref="D26:E26" si="14">+D8+D18</f>
        <v>63843.743180489997</v>
      </c>
      <c r="E26" s="1055">
        <f t="shared" si="14"/>
        <v>71533.572495</v>
      </c>
      <c r="F26" s="1055">
        <f t="shared" ref="F26:G26" si="15">+F8+F18</f>
        <v>56635.726037200016</v>
      </c>
      <c r="G26" s="1055">
        <f t="shared" si="15"/>
        <v>64245.772063869998</v>
      </c>
      <c r="H26" s="1056">
        <f>IFERROR(IF(G26/E26*100&lt;-500,"-",IF(G26/E26*100&gt;500,"-",G26/E26*100)),"-")</f>
        <v>89.812055826459101</v>
      </c>
      <c r="I26" s="1056">
        <f t="shared" ref="I26" si="16">IF(IFERROR((G26-F26)/F26*100,"")&gt;500,"-",IFERROR((G26-F26)/F26*100,""))</f>
        <v>13.436829646487586</v>
      </c>
      <c r="J26" s="1057"/>
      <c r="K26" s="262"/>
      <c r="L26" s="262"/>
      <c r="M26" s="262"/>
      <c r="N26" s="269"/>
      <c r="O26" s="269"/>
      <c r="P26" s="269"/>
      <c r="Q26" s="269"/>
      <c r="R26" s="269"/>
      <c r="S26" s="269"/>
      <c r="T26" s="270"/>
      <c r="U26" s="270"/>
      <c r="V26" s="270"/>
      <c r="W26" s="270"/>
    </row>
    <row r="27" spans="2:23" s="44" customFormat="1" ht="4.5" customHeight="1">
      <c r="C27" s="1053"/>
      <c r="D27" s="1053"/>
      <c r="E27" s="1053"/>
      <c r="F27" s="113"/>
      <c r="G27" s="113"/>
      <c r="H27" s="1050"/>
      <c r="I27" s="1050"/>
      <c r="J27" s="1050"/>
      <c r="K27" s="26"/>
      <c r="L27" s="26"/>
      <c r="M27" s="26"/>
      <c r="N27" s="45"/>
      <c r="O27" s="45"/>
      <c r="P27" s="45"/>
      <c r="Q27" s="45"/>
      <c r="R27" s="45"/>
      <c r="S27" s="45"/>
      <c r="T27" s="46"/>
      <c r="U27" s="46"/>
      <c r="V27" s="46"/>
      <c r="W27" s="46"/>
    </row>
    <row r="28" spans="2:23" s="267" customFormat="1" ht="15" customHeight="1">
      <c r="C28" s="268" t="str">
        <f>IF(Indice_index!$Z$1=1,"Despesa corrente","Current expenditure")</f>
        <v>Current expenditure</v>
      </c>
      <c r="D28" s="1045">
        <f t="shared" ref="D28:G28" si="17">+D29+D33+D34+D35+D38+D39+D40</f>
        <v>68940.759742010036</v>
      </c>
      <c r="E28" s="1045">
        <f t="shared" ref="E28" si="18">+E29+E33+E34+E35+E38+E39+E40</f>
        <v>71082.499699999986</v>
      </c>
      <c r="F28" s="1045">
        <f>+F29+F33+F34+F35+F38+F39+F40</f>
        <v>59753.325480619977</v>
      </c>
      <c r="G28" s="1045">
        <f t="shared" si="17"/>
        <v>62153.342676119959</v>
      </c>
      <c r="H28" s="1045">
        <f t="shared" ref="H28:H46" si="19">IFERROR(IF(G28/E28*100&lt;-500,"-",IF(G28/E28*100&gt;500,"-",G28/E28*100)),"-")</f>
        <v>87.438318768241032</v>
      </c>
      <c r="I28" s="1045">
        <f t="shared" ref="I28:I46" si="20">IF(IFERROR((G28-F28)/F28*100,"")&gt;500,"-",IFERROR((G28-F28)/F28*100,""))</f>
        <v>4.0165416337846986</v>
      </c>
      <c r="J28" s="1047">
        <f>IFERROR((G28-F28)/$F$49*100,"")</f>
        <v>3.7470984668994447</v>
      </c>
      <c r="K28" s="262"/>
      <c r="L28" s="262"/>
      <c r="M28" s="262"/>
      <c r="N28" s="269"/>
      <c r="O28" s="269"/>
      <c r="P28" s="269"/>
      <c r="Q28" s="269"/>
      <c r="R28" s="269"/>
      <c r="S28" s="269"/>
      <c r="T28" s="270"/>
      <c r="U28" s="270"/>
      <c r="V28" s="270"/>
      <c r="W28" s="270"/>
    </row>
    <row r="29" spans="2:23" s="44" customFormat="1" ht="15" customHeight="1">
      <c r="C29" s="1051" t="str">
        <f>IF(Indice_index!$Z$1=1,"Despesas com o pessoal","Employees")</f>
        <v>Employees</v>
      </c>
      <c r="D29" s="113">
        <f t="shared" ref="D29:E29" si="21">+D30+D31+D32</f>
        <v>18714.033484429998</v>
      </c>
      <c r="E29" s="113">
        <f t="shared" si="21"/>
        <v>18956.054237</v>
      </c>
      <c r="F29" s="113">
        <f t="shared" ref="F29:G29" si="22">+F30+F31+F32</f>
        <v>17051.389071789989</v>
      </c>
      <c r="G29" s="113">
        <f t="shared" si="22"/>
        <v>17237.033864189976</v>
      </c>
      <c r="H29" s="1049">
        <f t="shared" si="19"/>
        <v>90.931549618302427</v>
      </c>
      <c r="I29" s="1049">
        <f t="shared" si="20"/>
        <v>1.0887370619389625</v>
      </c>
      <c r="J29" s="1050">
        <f t="shared" ref="J29:J46" si="23">IFERROR((G29-F29)/$F$49*100,"")</f>
        <v>0.28984347207768352</v>
      </c>
      <c r="K29" s="26"/>
      <c r="L29" s="26"/>
      <c r="M29" s="26"/>
      <c r="N29" s="45"/>
      <c r="O29" s="45"/>
      <c r="P29" s="45"/>
      <c r="Q29" s="45"/>
      <c r="R29" s="45"/>
      <c r="S29" s="45"/>
      <c r="T29" s="46"/>
      <c r="U29" s="46"/>
      <c r="V29" s="46"/>
      <c r="W29" s="46"/>
    </row>
    <row r="30" spans="2:23" s="44" customFormat="1" ht="15" customHeight="1">
      <c r="C30" s="1058" t="str">
        <f>IF(Indice_index!$Z$1=1,"Remunerações Certas e Permanentes","Certain and permanent wages")</f>
        <v>Certain and permanent wages</v>
      </c>
      <c r="D30" s="113">
        <v>13299.923762189999</v>
      </c>
      <c r="E30" s="113">
        <v>13882.224843</v>
      </c>
      <c r="F30" s="113">
        <v>12187.65956197999</v>
      </c>
      <c r="G30" s="113">
        <v>12345.194592029982</v>
      </c>
      <c r="H30" s="1049">
        <f t="shared" si="19"/>
        <v>88.928069755727563</v>
      </c>
      <c r="I30" s="1049">
        <f t="shared" si="20"/>
        <v>1.2925781955826086</v>
      </c>
      <c r="J30" s="1050">
        <f t="shared" si="23"/>
        <v>0.24595626676762622</v>
      </c>
      <c r="K30" s="26"/>
      <c r="L30" s="26"/>
      <c r="M30" s="26"/>
      <c r="N30" s="45"/>
      <c r="O30" s="45"/>
      <c r="P30" s="45"/>
      <c r="Q30" s="45"/>
      <c r="R30" s="45"/>
      <c r="S30" s="45"/>
      <c r="T30" s="46"/>
      <c r="U30" s="46"/>
      <c r="V30" s="46"/>
      <c r="W30" s="46"/>
    </row>
    <row r="31" spans="2:23" s="44" customFormat="1" ht="15" customHeight="1">
      <c r="C31" s="1058" t="str">
        <f>IF(Indice_index!$Z$1=1,"Abonos Variáveis ou Eventuais","Variable or contingent bonuses")</f>
        <v>Variable or contingent bonuses</v>
      </c>
      <c r="D31" s="113">
        <v>1331.9491322400004</v>
      </c>
      <c r="E31" s="113">
        <v>1286.9144659999999</v>
      </c>
      <c r="F31" s="113">
        <v>1193.9202569099994</v>
      </c>
      <c r="G31" s="113">
        <v>1222.3562342400005</v>
      </c>
      <c r="H31" s="1049">
        <f t="shared" si="19"/>
        <v>94.983486978690976</v>
      </c>
      <c r="I31" s="1049">
        <f t="shared" si="20"/>
        <v>2.381731708246301</v>
      </c>
      <c r="J31" s="1050">
        <f t="shared" si="23"/>
        <v>4.4396518182377942E-2</v>
      </c>
      <c r="K31" s="26"/>
      <c r="L31" s="26"/>
      <c r="M31" s="26"/>
      <c r="N31" s="45"/>
      <c r="O31" s="45"/>
      <c r="P31" s="45"/>
      <c r="Q31" s="45"/>
      <c r="R31" s="45"/>
      <c r="S31" s="45"/>
      <c r="T31" s="46"/>
      <c r="U31" s="46"/>
      <c r="V31" s="46"/>
      <c r="W31" s="46"/>
    </row>
    <row r="32" spans="2:23" s="44" customFormat="1" ht="15" customHeight="1">
      <c r="C32" s="1058" t="str">
        <f>IF(Indice_index!$Z$1=1,"Segurança social","Social security")</f>
        <v>Social security</v>
      </c>
      <c r="D32" s="113">
        <v>4082.1605899999968</v>
      </c>
      <c r="E32" s="113">
        <v>3786.9149280000001</v>
      </c>
      <c r="F32" s="113">
        <v>3669.8092528999978</v>
      </c>
      <c r="G32" s="113">
        <v>3669.4830379199948</v>
      </c>
      <c r="H32" s="1049">
        <f t="shared" si="19"/>
        <v>96.899009026800996</v>
      </c>
      <c r="I32" s="1049">
        <f t="shared" si="20"/>
        <v>-8.8891535641859917E-3</v>
      </c>
      <c r="J32" s="1050">
        <f t="shared" si="23"/>
        <v>-5.093128723163918E-4</v>
      </c>
      <c r="K32" s="26"/>
      <c r="L32" s="26"/>
      <c r="M32" s="26"/>
      <c r="N32" s="45"/>
      <c r="O32" s="45"/>
      <c r="P32" s="45"/>
      <c r="Q32" s="45"/>
      <c r="R32" s="45"/>
      <c r="S32" s="45"/>
      <c r="T32" s="46"/>
      <c r="U32" s="46"/>
      <c r="V32" s="46"/>
      <c r="W32" s="46"/>
    </row>
    <row r="33" spans="3:23" s="44" customFormat="1" ht="15" customHeight="1">
      <c r="C33" s="1051" t="str">
        <f>IF(Indice_index!$Z$1=1,"Aquisição de bens e serviços","Purchase of goods and services")</f>
        <v>Purchase of goods and services</v>
      </c>
      <c r="D33" s="113">
        <v>11372.99176786004</v>
      </c>
      <c r="E33" s="113">
        <v>12326.024108999998</v>
      </c>
      <c r="F33" s="113">
        <v>8899.6835936599709</v>
      </c>
      <c r="G33" s="113">
        <v>9609.7653311199883</v>
      </c>
      <c r="H33" s="1049">
        <f t="shared" si="19"/>
        <v>77.963220306402775</v>
      </c>
      <c r="I33" s="1049">
        <f t="shared" si="20"/>
        <v>7.978730142337545</v>
      </c>
      <c r="J33" s="1050">
        <f t="shared" si="23"/>
        <v>1.1086363026059181</v>
      </c>
      <c r="K33" s="26"/>
      <c r="L33" s="26"/>
      <c r="M33" s="26"/>
      <c r="N33" s="45"/>
      <c r="O33" s="45"/>
      <c r="P33" s="45"/>
      <c r="Q33" s="45"/>
      <c r="R33" s="45"/>
      <c r="S33" s="45"/>
      <c r="T33" s="46"/>
      <c r="U33" s="46"/>
      <c r="V33" s="46"/>
      <c r="W33" s="46"/>
    </row>
    <row r="34" spans="3:23" s="44" customFormat="1" ht="15" customHeight="1">
      <c r="C34" s="1051" t="str">
        <f>IF(Indice_index!$Z$1=1,"Juros e outros encargos","Interests and other charges")</f>
        <v>Interests and other charges</v>
      </c>
      <c r="D34" s="113">
        <v>6796.6822999299993</v>
      </c>
      <c r="E34" s="113">
        <v>6631.3696349999991</v>
      </c>
      <c r="F34" s="113">
        <v>6579.0214011300004</v>
      </c>
      <c r="G34" s="113">
        <v>6209.1806406700007</v>
      </c>
      <c r="H34" s="1049">
        <f t="shared" si="19"/>
        <v>93.633457074965193</v>
      </c>
      <c r="I34" s="1049">
        <f t="shared" si="20"/>
        <v>-5.6215163002278201</v>
      </c>
      <c r="J34" s="1050">
        <f t="shared" si="23"/>
        <v>-0.57742492391930023</v>
      </c>
      <c r="K34" s="26"/>
      <c r="L34" s="26"/>
      <c r="M34" s="26"/>
      <c r="N34" s="45"/>
      <c r="O34" s="45"/>
      <c r="P34" s="45"/>
      <c r="Q34" s="45"/>
      <c r="R34" s="45"/>
      <c r="S34" s="45"/>
      <c r="T34" s="46"/>
      <c r="U34" s="46"/>
      <c r="V34" s="46"/>
      <c r="W34" s="46"/>
    </row>
    <row r="35" spans="3:23" s="44" customFormat="1" ht="15" customHeight="1">
      <c r="C35" s="1051" t="str">
        <f>IF(Indice_index!$Z$1=1,"Transferências Correntes","Current transfers")</f>
        <v>Current transfers</v>
      </c>
      <c r="D35" s="113">
        <f t="shared" ref="D35:E35" si="24">+D36+D37</f>
        <v>30173.699127129999</v>
      </c>
      <c r="E35" s="113">
        <f t="shared" si="24"/>
        <v>30080.527765999999</v>
      </c>
      <c r="F35" s="113">
        <f t="shared" ref="F35:G35" si="25">+F36+F37</f>
        <v>25791.982951580001</v>
      </c>
      <c r="G35" s="113">
        <f t="shared" si="25"/>
        <v>27681.669469749999</v>
      </c>
      <c r="H35" s="1049">
        <f t="shared" si="19"/>
        <v>92.025212074365839</v>
      </c>
      <c r="I35" s="1049">
        <f t="shared" si="20"/>
        <v>7.3266430181718025</v>
      </c>
      <c r="J35" s="1050">
        <f t="shared" si="23"/>
        <v>2.950329467818765</v>
      </c>
      <c r="K35" s="26"/>
      <c r="L35" s="26"/>
      <c r="M35" s="26"/>
      <c r="N35" s="45"/>
      <c r="O35" s="45"/>
      <c r="P35" s="45"/>
      <c r="Q35" s="45"/>
      <c r="R35" s="45"/>
      <c r="S35" s="45"/>
      <c r="T35" s="46"/>
      <c r="U35" s="46"/>
      <c r="V35" s="46"/>
      <c r="W35" s="46"/>
    </row>
    <row r="36" spans="3:23" s="44" customFormat="1" ht="15" customHeight="1">
      <c r="C36" s="1052" t="str">
        <f>IF(Indice_index!$Z$1=1,"Administrações Públicas","General Government subsectors")</f>
        <v>General Government subsectors</v>
      </c>
      <c r="D36" s="113">
        <v>15062.905607920004</v>
      </c>
      <c r="E36" s="113">
        <v>14210.651188</v>
      </c>
      <c r="F36" s="113">
        <v>12525.948582650002</v>
      </c>
      <c r="G36" s="113">
        <v>13452.147116469996</v>
      </c>
      <c r="H36" s="1049">
        <f t="shared" si="19"/>
        <v>94.662425658786759</v>
      </c>
      <c r="I36" s="1049">
        <f t="shared" si="20"/>
        <v>7.3942386695000017</v>
      </c>
      <c r="J36" s="1050">
        <f t="shared" si="23"/>
        <v>1.446055100200401</v>
      </c>
      <c r="K36" s="26"/>
      <c r="L36" s="26"/>
      <c r="M36" s="26"/>
      <c r="N36" s="45"/>
      <c r="O36" s="45"/>
      <c r="P36" s="45"/>
      <c r="Q36" s="45"/>
      <c r="R36" s="45"/>
      <c r="S36" s="45"/>
      <c r="T36" s="46"/>
      <c r="U36" s="46"/>
      <c r="V36" s="46"/>
      <c r="W36" s="46"/>
    </row>
    <row r="37" spans="3:23" s="44" customFormat="1" ht="15" customHeight="1">
      <c r="C37" s="1052" t="str">
        <f>IF(Indice_index!$Z$1=1,"Outras","Others")</f>
        <v>Others</v>
      </c>
      <c r="D37" s="113">
        <v>15110.793519209996</v>
      </c>
      <c r="E37" s="113">
        <v>15869.876577999999</v>
      </c>
      <c r="F37" s="113">
        <v>13266.034368929997</v>
      </c>
      <c r="G37" s="113">
        <v>14229.522353280001</v>
      </c>
      <c r="H37" s="1049">
        <f t="shared" si="19"/>
        <v>89.663724121245039</v>
      </c>
      <c r="I37" s="1049">
        <f t="shared" si="20"/>
        <v>7.2628183943693205</v>
      </c>
      <c r="J37" s="1050">
        <f t="shared" si="23"/>
        <v>1.5042743676183641</v>
      </c>
      <c r="K37" s="26"/>
      <c r="L37" s="26"/>
      <c r="M37" s="26"/>
      <c r="N37" s="45"/>
      <c r="O37" s="45"/>
      <c r="P37" s="45"/>
      <c r="Q37" s="45"/>
      <c r="R37" s="45"/>
      <c r="S37" s="45"/>
      <c r="T37" s="46"/>
      <c r="U37" s="46"/>
      <c r="V37" s="46"/>
      <c r="W37" s="46"/>
    </row>
    <row r="38" spans="3:23" s="44" customFormat="1" ht="15" customHeight="1">
      <c r="C38" s="1051" t="str">
        <f>IF(Indice_index!$Z$1=1,"Subsídios","Subsidies")</f>
        <v>Subsidies</v>
      </c>
      <c r="D38" s="113">
        <v>1111.77722782</v>
      </c>
      <c r="E38" s="113">
        <v>796.59153199999992</v>
      </c>
      <c r="F38" s="113">
        <v>915.05672048000031</v>
      </c>
      <c r="G38" s="113">
        <v>783.40239839999981</v>
      </c>
      <c r="H38" s="1049">
        <f t="shared" si="19"/>
        <v>98.344304066742183</v>
      </c>
      <c r="I38" s="1049">
        <f t="shared" si="20"/>
        <v>-14.387558621605464</v>
      </c>
      <c r="J38" s="1050">
        <f t="shared" si="23"/>
        <v>-0.20554923912696577</v>
      </c>
      <c r="K38" s="26"/>
      <c r="L38" s="26"/>
      <c r="M38" s="26"/>
      <c r="N38" s="45"/>
      <c r="O38" s="45"/>
      <c r="P38" s="45"/>
      <c r="Q38" s="45"/>
      <c r="R38" s="45"/>
      <c r="S38" s="45"/>
      <c r="T38" s="46"/>
      <c r="U38" s="46"/>
      <c r="V38" s="46"/>
      <c r="W38" s="46"/>
    </row>
    <row r="39" spans="3:23" s="44" customFormat="1" ht="15" customHeight="1">
      <c r="C39" s="1051" t="str">
        <f>IF(Indice_index!$Z$1=1,"Outras despesas correntes","Other current expenditure")</f>
        <v>Other current expenditure</v>
      </c>
      <c r="D39" s="113">
        <v>637.71143391999976</v>
      </c>
      <c r="E39" s="113">
        <v>2291.9324200000001</v>
      </c>
      <c r="F39" s="113">
        <v>503.08229874</v>
      </c>
      <c r="G39" s="113">
        <v>619.55993196999964</v>
      </c>
      <c r="H39" s="1049">
        <f t="shared" si="19"/>
        <v>27.032207693540965</v>
      </c>
      <c r="I39" s="1049">
        <f>IF(IFERROR((G39-F39)/F39*100,"")&gt;500,"-",IFERROR((G39-F39)/F39*100,""))</f>
        <v>23.152798959876925</v>
      </c>
      <c r="J39" s="1050">
        <f>IFERROR((G39-F39)/$F$49*100,"")</f>
        <v>0.18185418076276891</v>
      </c>
      <c r="K39" s="26"/>
      <c r="L39" s="26"/>
      <c r="M39" s="26"/>
      <c r="N39" s="45"/>
      <c r="O39" s="45"/>
      <c r="P39" s="45"/>
      <c r="Q39" s="45"/>
      <c r="R39" s="45"/>
      <c r="S39" s="45"/>
      <c r="T39" s="46"/>
      <c r="U39" s="46"/>
      <c r="V39" s="46"/>
      <c r="W39" s="46"/>
    </row>
    <row r="40" spans="3:23" s="44" customFormat="1" ht="15" customHeight="1">
      <c r="C40" s="1051" t="str">
        <f>IF(Indice_index!$Z$1=1,"Diferenças de consolidação","Consolidation differences")</f>
        <v>Consolidation differences</v>
      </c>
      <c r="D40" s="113">
        <v>133.86440091999941</v>
      </c>
      <c r="E40" s="113">
        <v>9.999994290410541E-7</v>
      </c>
      <c r="F40" s="113">
        <v>13.109443240004509</v>
      </c>
      <c r="G40" s="113">
        <v>12.731040020001331</v>
      </c>
      <c r="H40" s="1049"/>
      <c r="I40" s="1049"/>
      <c r="J40" s="1050"/>
      <c r="K40" s="26"/>
      <c r="L40" s="26"/>
      <c r="M40" s="26"/>
      <c r="N40" s="45"/>
      <c r="O40" s="45"/>
      <c r="P40" s="45"/>
      <c r="Q40" s="45"/>
      <c r="R40" s="45"/>
      <c r="S40" s="45"/>
      <c r="T40" s="46"/>
      <c r="U40" s="46"/>
      <c r="V40" s="46"/>
      <c r="W40" s="46"/>
    </row>
    <row r="41" spans="3:23" s="267" customFormat="1" ht="15" customHeight="1">
      <c r="C41" s="268" t="str">
        <f>IF(Indice_index!$Z$1=1,"Despesa de capital","Capital expenditure")</f>
        <v>Capital expenditure</v>
      </c>
      <c r="D41" s="1045">
        <f t="shared" ref="D41:E41" si="26">+D42+D43+D46+D47</f>
        <v>5525.7031684999965</v>
      </c>
      <c r="E41" s="1045">
        <f t="shared" si="26"/>
        <v>8220.6554530000012</v>
      </c>
      <c r="F41" s="1045">
        <f t="shared" ref="F41:G41" si="27">+F42+F43+F46+F47</f>
        <v>4296.6912643599999</v>
      </c>
      <c r="G41" s="1045">
        <f t="shared" si="27"/>
        <v>4314.5821650400012</v>
      </c>
      <c r="H41" s="1045">
        <f t="shared" si="19"/>
        <v>52.484649061231018</v>
      </c>
      <c r="I41" s="1045">
        <f t="shared" si="20"/>
        <v>0.41638785705647408</v>
      </c>
      <c r="J41" s="1047">
        <f t="shared" si="23"/>
        <v>2.7932702580290191E-2</v>
      </c>
      <c r="K41" s="262"/>
      <c r="L41" s="262"/>
      <c r="M41" s="262"/>
      <c r="N41" s="269"/>
      <c r="O41" s="269"/>
      <c r="P41" s="269"/>
      <c r="Q41" s="269"/>
      <c r="R41" s="269"/>
      <c r="S41" s="269"/>
      <c r="T41" s="270"/>
      <c r="U41" s="270"/>
      <c r="V41" s="270"/>
      <c r="W41" s="270"/>
    </row>
    <row r="42" spans="3:23" s="44" customFormat="1" ht="15" customHeight="1">
      <c r="C42" s="1051" t="str">
        <f>IF(Indice_index!$Z$1=1,"Investimento","Investments")</f>
        <v>Investments</v>
      </c>
      <c r="D42" s="113">
        <v>3423.9422135999971</v>
      </c>
      <c r="E42" s="113">
        <v>5795.8075239999998</v>
      </c>
      <c r="F42" s="113">
        <v>2663.119614369999</v>
      </c>
      <c r="G42" s="113">
        <v>2981.826853510001</v>
      </c>
      <c r="H42" s="1049">
        <f t="shared" si="19"/>
        <v>51.44799652442704</v>
      </c>
      <c r="I42" s="1049">
        <f t="shared" si="20"/>
        <v>11.96743989343479</v>
      </c>
      <c r="J42" s="1050">
        <f t="shared" si="23"/>
        <v>0.49759118785083101</v>
      </c>
      <c r="K42" s="26"/>
      <c r="L42" s="26"/>
      <c r="M42" s="26"/>
      <c r="N42" s="45"/>
      <c r="O42" s="45"/>
      <c r="P42" s="45"/>
      <c r="Q42" s="45"/>
      <c r="R42" s="45"/>
      <c r="S42" s="45"/>
      <c r="T42" s="46"/>
      <c r="U42" s="46"/>
      <c r="V42" s="46"/>
      <c r="W42" s="46"/>
    </row>
    <row r="43" spans="3:23" s="44" customFormat="1" ht="15" customHeight="1">
      <c r="C43" s="1051" t="str">
        <f>IF(Indice_index!$Z$1=1,"Transferências de capital","Capital transfers")</f>
        <v>Capital transfers</v>
      </c>
      <c r="D43" s="113">
        <f t="shared" ref="D43:E43" si="28">+D44+D45</f>
        <v>1900.2181322400002</v>
      </c>
      <c r="E43" s="113">
        <f t="shared" si="28"/>
        <v>2185.9625120000001</v>
      </c>
      <c r="F43" s="113">
        <f t="shared" ref="F43:G43" si="29">+F44+F45</f>
        <v>1558.30881236</v>
      </c>
      <c r="G43" s="113">
        <f t="shared" si="29"/>
        <v>1111.5414336700001</v>
      </c>
      <c r="H43" s="1049">
        <f t="shared" si="19"/>
        <v>50.849062029568785</v>
      </c>
      <c r="I43" s="1049">
        <f t="shared" si="20"/>
        <v>-28.670015541617044</v>
      </c>
      <c r="J43" s="1050">
        <f t="shared" si="23"/>
        <v>-0.69752890224656516</v>
      </c>
      <c r="K43" s="26"/>
      <c r="L43" s="26"/>
      <c r="M43" s="26"/>
      <c r="N43" s="45"/>
      <c r="O43" s="45"/>
      <c r="P43" s="45"/>
      <c r="Q43" s="45"/>
      <c r="R43" s="45"/>
      <c r="S43" s="45"/>
      <c r="T43" s="46"/>
      <c r="U43" s="46"/>
      <c r="V43" s="46"/>
      <c r="W43" s="46"/>
    </row>
    <row r="44" spans="3:23" s="44" customFormat="1" ht="15" customHeight="1">
      <c r="C44" s="1052" t="str">
        <f>IF(Indice_index!$Z$1=1,"Administrações Públicas","General Government subsectors")</f>
        <v>General Government subsectors</v>
      </c>
      <c r="D44" s="113">
        <v>607.72723998000015</v>
      </c>
      <c r="E44" s="113">
        <v>639.86872000000005</v>
      </c>
      <c r="F44" s="113">
        <v>541.94398742999988</v>
      </c>
      <c r="G44" s="113">
        <v>462.24941430999996</v>
      </c>
      <c r="H44" s="1049">
        <f t="shared" si="19"/>
        <v>72.241289480442163</v>
      </c>
      <c r="I44" s="1049">
        <f t="shared" si="20"/>
        <v>-14.705315488031623</v>
      </c>
      <c r="J44" s="1050">
        <f t="shared" si="23"/>
        <v>-0.12442553049956245</v>
      </c>
      <c r="K44" s="26"/>
      <c r="L44" s="26"/>
      <c r="M44" s="26"/>
      <c r="N44" s="45"/>
      <c r="O44" s="45"/>
      <c r="P44" s="45"/>
      <c r="Q44" s="45"/>
      <c r="R44" s="45"/>
      <c r="S44" s="45"/>
      <c r="T44" s="46"/>
      <c r="U44" s="46"/>
      <c r="V44" s="46"/>
      <c r="W44" s="46"/>
    </row>
    <row r="45" spans="3:23" s="44" customFormat="1" ht="15" customHeight="1">
      <c r="C45" s="1052" t="str">
        <f>IF(Indice_index!$Z$1=1,"Outras","Others")</f>
        <v>Others</v>
      </c>
      <c r="D45" s="113">
        <v>1292.49089226</v>
      </c>
      <c r="E45" s="113">
        <v>1546.0937920000001</v>
      </c>
      <c r="F45" s="113">
        <v>1016.3648249300002</v>
      </c>
      <c r="G45" s="113">
        <v>649.29201936000004</v>
      </c>
      <c r="H45" s="1049">
        <f t="shared" si="19"/>
        <v>41.995642354923831</v>
      </c>
      <c r="I45" s="1049">
        <f t="shared" si="20"/>
        <v>-36.116244538006463</v>
      </c>
      <c r="J45" s="1050">
        <f t="shared" si="23"/>
        <v>-0.57310337174700277</v>
      </c>
      <c r="K45" s="26"/>
      <c r="L45" s="26"/>
      <c r="M45" s="26"/>
      <c r="N45" s="45"/>
      <c r="O45" s="45"/>
      <c r="P45" s="45"/>
      <c r="Q45" s="45"/>
      <c r="R45" s="45"/>
      <c r="S45" s="45"/>
      <c r="T45" s="46"/>
      <c r="U45" s="46"/>
      <c r="V45" s="46"/>
      <c r="W45" s="46"/>
    </row>
    <row r="46" spans="3:23" s="44" customFormat="1" ht="15" customHeight="1">
      <c r="C46" s="1051" t="str">
        <f>IF(Indice_index!$Z$1=1,"Outras despesas de capital","Other capital expenditure")</f>
        <v>Other capital expenditure</v>
      </c>
      <c r="D46" s="113">
        <v>149.79872605000003</v>
      </c>
      <c r="E46" s="113">
        <v>236.364294</v>
      </c>
      <c r="F46" s="113">
        <v>48.178608920000002</v>
      </c>
      <c r="G46" s="113">
        <v>182.74174700999998</v>
      </c>
      <c r="H46" s="1049">
        <f t="shared" si="19"/>
        <v>77.313600932465704</v>
      </c>
      <c r="I46" s="1049">
        <f t="shared" si="20"/>
        <v>279.30058817895815</v>
      </c>
      <c r="J46" s="1050">
        <f t="shared" si="23"/>
        <v>0.21009071492638851</v>
      </c>
      <c r="K46" s="26"/>
      <c r="L46" s="26"/>
      <c r="M46" s="26"/>
      <c r="N46" s="45"/>
      <c r="O46" s="45"/>
      <c r="P46" s="45"/>
      <c r="Q46" s="45"/>
      <c r="R46" s="45"/>
      <c r="S46" s="45"/>
      <c r="T46" s="46"/>
      <c r="U46" s="46"/>
      <c r="V46" s="46"/>
      <c r="W46" s="46"/>
    </row>
    <row r="47" spans="3:23" s="44" customFormat="1" ht="15" customHeight="1">
      <c r="C47" s="1051" t="str">
        <f>IF(Indice_index!$Z$1=1,"Diferenças de consolidação","Consolidation differences")</f>
        <v>Consolidation differences</v>
      </c>
      <c r="D47" s="113">
        <v>51.744096609999815</v>
      </c>
      <c r="E47" s="113">
        <v>2.5211229999999887</v>
      </c>
      <c r="F47" s="113">
        <v>27.084228710000048</v>
      </c>
      <c r="G47" s="113">
        <v>38.472130850000056</v>
      </c>
      <c r="H47" s="1049"/>
      <c r="I47" s="1049"/>
      <c r="J47" s="1050"/>
      <c r="K47" s="26"/>
      <c r="L47" s="26"/>
      <c r="M47" s="26"/>
      <c r="N47" s="45"/>
      <c r="O47" s="45"/>
      <c r="P47" s="45"/>
      <c r="Q47" s="45"/>
      <c r="R47" s="45"/>
      <c r="S47" s="45"/>
      <c r="T47" s="46"/>
      <c r="U47" s="46"/>
      <c r="V47" s="46"/>
      <c r="W47" s="46"/>
    </row>
    <row r="48" spans="3:23" s="44" customFormat="1" ht="4.5" customHeight="1">
      <c r="F48" s="113"/>
      <c r="G48" s="113"/>
      <c r="H48" s="1050"/>
      <c r="I48" s="1050"/>
      <c r="J48" s="1050"/>
      <c r="K48" s="26"/>
      <c r="L48" s="26"/>
      <c r="M48" s="26"/>
      <c r="N48" s="45"/>
      <c r="O48" s="45"/>
      <c r="P48" s="45"/>
      <c r="Q48" s="45"/>
      <c r="R48" s="45"/>
      <c r="S48" s="45"/>
      <c r="T48" s="46"/>
      <c r="U48" s="46"/>
      <c r="V48" s="46"/>
      <c r="W48" s="46"/>
    </row>
    <row r="49" spans="3:23" s="268" customFormat="1" ht="15" customHeight="1">
      <c r="C49" s="1054" t="str">
        <f>IF(Indice_index!$Z$1=1,"Despesa efetiva","Effective Expenditure")</f>
        <v>Effective Expenditure</v>
      </c>
      <c r="D49" s="1055">
        <f t="shared" ref="D49:E49" si="30">+D28+D41</f>
        <v>74466.462910510032</v>
      </c>
      <c r="E49" s="1055">
        <f t="shared" si="30"/>
        <v>79303.155152999985</v>
      </c>
      <c r="F49" s="1055">
        <f t="shared" ref="F49:G49" si="31">+F28+F41</f>
        <v>64050.016744979977</v>
      </c>
      <c r="G49" s="1055">
        <f t="shared" si="31"/>
        <v>66467.924841159955</v>
      </c>
      <c r="H49" s="1057">
        <f>IFERROR(IF(G49/E49*100&lt;-500,"-",IF(G49/E49*100&gt;500,"-",G49/E49*100)),"-")</f>
        <v>83.814981526173895</v>
      </c>
      <c r="I49" s="1057">
        <f>IFERROR((G49-F49)/F49*100,"")</f>
        <v>3.7750311694797247</v>
      </c>
      <c r="J49" s="1057"/>
      <c r="K49" s="262"/>
      <c r="L49" s="262"/>
      <c r="M49" s="262"/>
      <c r="N49" s="269"/>
      <c r="O49" s="269"/>
      <c r="P49" s="269"/>
      <c r="Q49" s="269"/>
      <c r="R49" s="269"/>
      <c r="S49" s="269"/>
      <c r="T49" s="270"/>
      <c r="U49" s="270"/>
      <c r="V49" s="270"/>
      <c r="W49" s="270"/>
    </row>
    <row r="50" spans="3:23" ht="4.5" customHeight="1">
      <c r="F50" s="22"/>
      <c r="G50" s="22"/>
      <c r="H50" s="1059"/>
      <c r="I50" s="1059"/>
      <c r="J50" s="1059"/>
      <c r="K50" s="26"/>
      <c r="L50" s="26"/>
      <c r="M50" s="26"/>
      <c r="N50" s="45"/>
      <c r="O50" s="45"/>
      <c r="P50" s="45"/>
      <c r="Q50" s="45"/>
      <c r="R50" s="45"/>
      <c r="S50" s="45"/>
      <c r="T50" s="46"/>
      <c r="U50" s="46"/>
      <c r="V50" s="46"/>
      <c r="W50" s="46"/>
    </row>
    <row r="51" spans="3:23" s="266" customFormat="1" ht="15" customHeight="1">
      <c r="C51" s="1054" t="str">
        <f>IF(Indice_index!$Z$1=1,"Saldo global","Overall balance")</f>
        <v>Overall balance</v>
      </c>
      <c r="D51" s="1055">
        <f t="shared" ref="D51:E51" si="32">+D26-D49</f>
        <v>-10622.719730020035</v>
      </c>
      <c r="E51" s="1055">
        <f t="shared" si="32"/>
        <v>-7769.5826579999848</v>
      </c>
      <c r="F51" s="1055">
        <f t="shared" ref="F51:G51" si="33">+F26-F49</f>
        <v>-7414.2907077799609</v>
      </c>
      <c r="G51" s="1055">
        <f t="shared" si="33"/>
        <v>-2222.1527772899572</v>
      </c>
      <c r="H51" s="1057"/>
      <c r="I51" s="1057"/>
      <c r="J51" s="1057"/>
      <c r="K51" s="262"/>
      <c r="L51" s="262"/>
      <c r="M51" s="262"/>
      <c r="N51" s="269"/>
      <c r="O51" s="269"/>
      <c r="P51" s="269"/>
      <c r="Q51" s="269"/>
      <c r="R51" s="269"/>
      <c r="S51" s="269"/>
      <c r="T51" s="270"/>
      <c r="U51" s="270"/>
      <c r="V51" s="270"/>
      <c r="W51" s="270"/>
    </row>
    <row r="52" spans="3:23" ht="15" customHeight="1">
      <c r="C52" s="1060" t="str">
        <f>IF(Indice_index!$Z$1=1,"   Por memória:","   Memo item:")</f>
        <v xml:space="preserve">   Memo item:</v>
      </c>
      <c r="D52" s="1060"/>
      <c r="E52" s="1060"/>
      <c r="F52" s="22"/>
      <c r="G52" s="22"/>
      <c r="H52" s="1059"/>
      <c r="I52" s="1059"/>
      <c r="J52" s="1059"/>
      <c r="K52" s="26"/>
      <c r="L52" s="26"/>
      <c r="M52" s="26"/>
      <c r="N52" s="45"/>
      <c r="O52" s="45"/>
      <c r="P52" s="45"/>
      <c r="Q52" s="45"/>
      <c r="R52" s="45"/>
      <c r="S52" s="45"/>
      <c r="T52" s="46"/>
      <c r="U52" s="46"/>
      <c r="V52" s="46"/>
      <c r="W52" s="46"/>
    </row>
    <row r="53" spans="3:23" ht="15" customHeight="1">
      <c r="C53" s="1051" t="str">
        <f>IF(Indice_index!$Z$1=1,"Despesa primária","Primary expenditure")</f>
        <v>Primary expenditure</v>
      </c>
      <c r="D53" s="113">
        <f t="shared" ref="D53:E53" si="34">+D49-D34</f>
        <v>67669.780610580026</v>
      </c>
      <c r="E53" s="113">
        <f t="shared" si="34"/>
        <v>72671.78551799999</v>
      </c>
      <c r="F53" s="113">
        <f t="shared" ref="F53:G53" si="35">+F49-F34</f>
        <v>57470.99534384998</v>
      </c>
      <c r="G53" s="113">
        <f t="shared" si="35"/>
        <v>60258.744200489957</v>
      </c>
      <c r="H53" s="1050">
        <f>IFERROR(IF(G53/E53*100&lt;-500,"-",IF(G53/E53*100&gt;500,"-",G53/E53*100)),"-")</f>
        <v>82.919036282058244</v>
      </c>
      <c r="I53" s="1050">
        <f t="shared" ref="I53" si="36">IFERROR((G53-F53)/F53*100,"")</f>
        <v>4.8507057167895322</v>
      </c>
      <c r="J53" s="1050">
        <f t="shared" ref="J53" si="37">IFERROR((G53-F53)/$F$49*100,"")</f>
        <v>4.3524560933990246</v>
      </c>
      <c r="K53" s="26"/>
      <c r="L53" s="26"/>
      <c r="M53" s="26"/>
      <c r="N53" s="45"/>
      <c r="O53" s="45"/>
      <c r="P53" s="45"/>
      <c r="Q53" s="45"/>
      <c r="R53" s="45"/>
      <c r="S53" s="45"/>
      <c r="T53" s="46"/>
      <c r="U53" s="46"/>
      <c r="V53" s="46"/>
      <c r="W53" s="46"/>
    </row>
    <row r="54" spans="3:23" s="44" customFormat="1" ht="15" customHeight="1">
      <c r="C54" s="1051" t="str">
        <f>IF(Indice_index!$Z$1=1,"Saldo corrente","Current balance")</f>
        <v>Current balance</v>
      </c>
      <c r="D54" s="113">
        <f t="shared" ref="D54:E54" si="38">+D8-D28</f>
        <v>-6311.4677687500371</v>
      </c>
      <c r="E54" s="113">
        <f t="shared" si="38"/>
        <v>-3215.2994209999888</v>
      </c>
      <c r="F54" s="113">
        <f t="shared" ref="F54:G54" si="39">+F8-F28</f>
        <v>-4138.2633946199639</v>
      </c>
      <c r="G54" s="113">
        <f t="shared" si="39"/>
        <v>678.25610996004252</v>
      </c>
      <c r="H54" s="113"/>
      <c r="I54" s="113"/>
      <c r="J54" s="113"/>
      <c r="K54" s="26"/>
      <c r="L54" s="26"/>
      <c r="M54" s="26"/>
      <c r="N54" s="45"/>
      <c r="O54" s="45"/>
      <c r="P54" s="45"/>
      <c r="Q54" s="45"/>
      <c r="R54" s="45"/>
      <c r="S54" s="45"/>
      <c r="T54" s="46"/>
      <c r="U54" s="46"/>
      <c r="V54" s="46"/>
      <c r="W54" s="46"/>
    </row>
    <row r="55" spans="3:23" s="44" customFormat="1" ht="15" customHeight="1">
      <c r="C55" s="1051" t="str">
        <f>IF(Indice_index!$Z$1=1,"Saldo de capital","Capital balance")</f>
        <v>Capital balance</v>
      </c>
      <c r="D55" s="113">
        <f t="shared" ref="D55:E55" si="40">+D18-D41</f>
        <v>-4311.2519612699962</v>
      </c>
      <c r="E55" s="113">
        <f t="shared" si="40"/>
        <v>-4554.2832370000015</v>
      </c>
      <c r="F55" s="113">
        <f t="shared" ref="F55:G55" si="41">+F18-F41</f>
        <v>-3276.0273131599997</v>
      </c>
      <c r="G55" s="113">
        <f t="shared" si="41"/>
        <v>-2900.4088872500015</v>
      </c>
      <c r="H55" s="113"/>
      <c r="I55" s="113"/>
      <c r="J55" s="113"/>
      <c r="K55" s="26"/>
      <c r="L55" s="26"/>
      <c r="M55" s="26"/>
      <c r="N55" s="45"/>
      <c r="O55" s="45"/>
      <c r="P55" s="45"/>
      <c r="Q55" s="45"/>
      <c r="R55" s="45"/>
      <c r="S55" s="45"/>
      <c r="T55" s="46"/>
      <c r="U55" s="46"/>
      <c r="V55" s="46"/>
      <c r="W55" s="46"/>
    </row>
    <row r="56" spans="3:23" ht="15" customHeight="1">
      <c r="C56" s="1061" t="str">
        <f>IF(Indice_index!$Z$1=1,"Saldo primário","Primary balance")</f>
        <v>Primary balance</v>
      </c>
      <c r="D56" s="1062">
        <f t="shared" ref="D56:E56" si="42">+D51+D34</f>
        <v>-3826.0374300900357</v>
      </c>
      <c r="E56" s="1062">
        <f t="shared" si="42"/>
        <v>-1138.2130229999857</v>
      </c>
      <c r="F56" s="1062">
        <f t="shared" ref="F56:G56" si="43">+F51+F34</f>
        <v>-835.26930664996053</v>
      </c>
      <c r="G56" s="1062">
        <f t="shared" si="43"/>
        <v>3987.0278633800435</v>
      </c>
      <c r="H56" s="1062"/>
      <c r="I56" s="1062"/>
      <c r="J56" s="1062"/>
      <c r="K56" s="26"/>
      <c r="L56" s="26"/>
      <c r="M56" s="26"/>
      <c r="N56" s="45"/>
      <c r="O56" s="45"/>
      <c r="P56" s="45"/>
      <c r="Q56" s="45"/>
      <c r="R56" s="45"/>
      <c r="S56" s="45"/>
      <c r="T56" s="46"/>
      <c r="U56" s="46"/>
      <c r="V56" s="46"/>
      <c r="W56" s="46"/>
    </row>
    <row r="57" spans="3:23" ht="4.5" customHeight="1">
      <c r="F57" s="42"/>
      <c r="G57" s="42"/>
      <c r="K57" s="24"/>
      <c r="L57" s="43"/>
      <c r="M57" s="45"/>
      <c r="N57" s="45"/>
      <c r="P57" s="45"/>
      <c r="Q57" s="45"/>
      <c r="R57" s="45"/>
      <c r="S57" s="45"/>
    </row>
    <row r="58" spans="3:23" ht="15" customHeight="1">
      <c r="C58" s="1035" t="str">
        <f>IF(Indice_index!$Z$1=1,"Nota:","Note:")</f>
        <v>Note:</v>
      </c>
      <c r="D58" s="62"/>
      <c r="E58" s="62"/>
      <c r="F58" s="53"/>
      <c r="G58" s="53"/>
      <c r="H58" s="53"/>
      <c r="I58" s="53"/>
      <c r="J58" s="53"/>
      <c r="K58" s="24"/>
      <c r="L58" s="43"/>
      <c r="M58" s="45"/>
      <c r="N58" s="45"/>
      <c r="P58" s="45"/>
      <c r="Q58" s="45"/>
      <c r="R58" s="45"/>
      <c r="S58" s="45"/>
    </row>
    <row r="59" spans="3:23" s="22" customFormat="1" ht="12.75" customHeight="1">
      <c r="C59" s="1705" t="str">
        <f>+'5 - Conta AC + SS'!$C$64</f>
        <v>2021 cumulative execution is monthly reviewed and updated and therefore may differ from data published in 2021.</v>
      </c>
      <c r="D59" s="1705"/>
      <c r="E59" s="1705"/>
      <c r="F59" s="1705"/>
      <c r="G59" s="1705"/>
      <c r="H59" s="1705"/>
      <c r="I59" s="1705"/>
      <c r="J59" s="1705"/>
      <c r="P59" s="24"/>
      <c r="Q59" s="24"/>
    </row>
    <row r="60" spans="3:23" ht="4.5" customHeight="1">
      <c r="F60" s="42"/>
      <c r="G60" s="42"/>
      <c r="K60" s="24"/>
      <c r="L60" s="43"/>
      <c r="M60" s="45"/>
      <c r="N60" s="45"/>
      <c r="P60" s="45"/>
      <c r="Q60" s="45"/>
      <c r="R60" s="45"/>
      <c r="S60" s="45"/>
    </row>
    <row r="61" spans="3:23" s="48" customFormat="1" ht="15" customHeight="1">
      <c r="C61" s="113" t="str">
        <f>IF(Indice_index!$Z$1=1,"Fonte: Direção-Geral do Orçamento","Source: Budget General Directorate")</f>
        <v>Source: Budget General Directorate</v>
      </c>
      <c r="D61" s="113"/>
      <c r="E61" s="113"/>
      <c r="F61" s="1063"/>
      <c r="G61" s="1063"/>
      <c r="H61" s="42"/>
      <c r="I61" s="639"/>
      <c r="L61" s="43"/>
      <c r="M61" s="45"/>
      <c r="N61" s="45"/>
    </row>
    <row r="62" spans="3:23" s="48" customFormat="1" ht="11.25" customHeight="1">
      <c r="F62" s="31"/>
      <c r="G62" s="31"/>
      <c r="H62" s="639"/>
      <c r="L62" s="43"/>
      <c r="M62" s="45"/>
      <c r="N62" s="45"/>
    </row>
    <row r="63" spans="3:23" s="48" customFormat="1" ht="11.25" customHeight="1">
      <c r="C63" s="1709"/>
      <c r="D63" s="1709"/>
      <c r="E63" s="1709"/>
      <c r="F63" s="1709"/>
      <c r="G63" s="1709"/>
      <c r="H63" s="1709"/>
      <c r="I63" s="1709"/>
      <c r="J63" s="1709"/>
      <c r="L63" s="43"/>
      <c r="M63" s="45"/>
      <c r="N63" s="45"/>
    </row>
    <row r="64" spans="3:23" s="48" customFormat="1" ht="11.25" customHeight="1">
      <c r="F64" s="31"/>
      <c r="G64" s="31"/>
      <c r="H64" s="31"/>
      <c r="I64" s="31"/>
      <c r="J64" s="31"/>
      <c r="L64" s="43"/>
      <c r="M64" s="45"/>
      <c r="N64" s="45"/>
    </row>
    <row r="65" spans="6:14" s="48" customFormat="1" ht="11.25" customHeight="1">
      <c r="F65" s="31"/>
      <c r="G65" s="31"/>
      <c r="H65" s="31"/>
      <c r="I65" s="31"/>
      <c r="J65" s="31"/>
      <c r="M65" s="45"/>
      <c r="N65" s="45"/>
    </row>
    <row r="66" spans="6:14" s="48" customFormat="1" ht="11.25" customHeight="1">
      <c r="F66" s="31"/>
      <c r="G66" s="31"/>
      <c r="H66" s="31"/>
      <c r="I66" s="31"/>
    </row>
    <row r="67" spans="6:14" s="48" customFormat="1" ht="11.25" customHeight="1">
      <c r="F67" s="31"/>
      <c r="G67" s="31"/>
      <c r="H67" s="31"/>
      <c r="I67" s="31"/>
    </row>
    <row r="68" spans="6:14" s="48" customFormat="1" ht="11.25" customHeight="1">
      <c r="F68" s="31"/>
      <c r="G68" s="31"/>
      <c r="H68" s="31"/>
      <c r="I68" s="31"/>
    </row>
    <row r="69" spans="6:14" s="48" customFormat="1" ht="11.25" customHeight="1">
      <c r="F69" s="31"/>
      <c r="G69" s="31"/>
      <c r="H69" s="31"/>
      <c r="I69" s="31"/>
    </row>
    <row r="70" spans="6:14" s="48" customFormat="1" ht="11.25" customHeight="1">
      <c r="F70" s="31"/>
      <c r="G70" s="31"/>
      <c r="H70" s="31"/>
      <c r="I70" s="31"/>
    </row>
    <row r="71" spans="6:14" s="48" customFormat="1" ht="11.25" customHeight="1">
      <c r="F71" s="31"/>
      <c r="G71" s="31"/>
      <c r="H71" s="31"/>
      <c r="I71" s="31"/>
    </row>
    <row r="72" spans="6:14" s="48" customFormat="1" ht="11.25" customHeight="1">
      <c r="F72" s="31"/>
      <c r="G72" s="31"/>
      <c r="H72" s="31"/>
      <c r="I72" s="31"/>
    </row>
    <row r="73" spans="6:14" s="48" customFormat="1" ht="11.25" customHeight="1">
      <c r="F73" s="31"/>
      <c r="G73" s="31"/>
      <c r="H73" s="31"/>
      <c r="I73" s="31"/>
    </row>
    <row r="74" spans="6:14" s="48" customFormat="1" ht="11.25" customHeight="1">
      <c r="H74" s="31"/>
    </row>
    <row r="75" spans="6:14" s="48" customFormat="1" ht="11.25" customHeight="1"/>
    <row r="76" spans="6:14" s="48" customFormat="1" ht="11.25" customHeight="1"/>
    <row r="77" spans="6:14" s="48" customFormat="1" ht="11.25" customHeight="1"/>
    <row r="78" spans="6:14" s="48" customFormat="1" ht="11.25" customHeight="1"/>
    <row r="79" spans="6:14" s="48" customFormat="1" ht="11.25" customHeight="1"/>
    <row r="80" spans="6:14" s="48" customFormat="1" ht="11.25" customHeight="1"/>
    <row r="81" s="48" customFormat="1" ht="11.25" customHeight="1"/>
    <row r="82" s="48" customFormat="1" ht="11.25" customHeight="1"/>
    <row r="83" s="48" customFormat="1" ht="11.25" customHeight="1"/>
    <row r="84" s="48" customFormat="1" ht="11.25" customHeight="1"/>
    <row r="85" s="48" customFormat="1" ht="11.25" customHeight="1"/>
    <row r="86" s="48" customFormat="1" ht="11.25" customHeight="1"/>
    <row r="87" s="48" customFormat="1" ht="11.25" customHeight="1"/>
    <row r="88" s="48" customFormat="1" ht="11.25" customHeight="1"/>
    <row r="89" s="48" customFormat="1" ht="11.25" customHeight="1"/>
    <row r="90" s="48" customFormat="1" ht="11.25" customHeight="1"/>
    <row r="91" s="48" customFormat="1" ht="11.25" customHeight="1"/>
    <row r="92" s="48" customFormat="1" ht="11.25" customHeight="1"/>
    <row r="93" s="48" customFormat="1" ht="11.25" customHeight="1"/>
    <row r="94" s="48" customFormat="1" ht="11.25" customHeight="1"/>
    <row r="95" s="48" customFormat="1" ht="11.25" customHeight="1"/>
    <row r="96" s="48" customFormat="1" ht="11.25" customHeight="1"/>
    <row r="97" spans="3:3" s="48" customFormat="1" ht="11.25" customHeight="1"/>
    <row r="98" spans="3:3" s="48" customFormat="1" ht="11.25" customHeight="1">
      <c r="C98" s="209"/>
    </row>
    <row r="99" spans="3:3" s="48" customFormat="1" ht="11.25" customHeight="1"/>
    <row r="100" spans="3:3" s="48" customFormat="1" ht="11.25" customHeight="1"/>
    <row r="101" spans="3:3" s="48" customFormat="1" ht="11.25" customHeight="1"/>
    <row r="102" spans="3:3" s="48" customFormat="1" ht="11.25" customHeight="1"/>
    <row r="103" spans="3:3" s="48" customFormat="1" ht="11.25" customHeight="1"/>
    <row r="104" spans="3:3" s="48" customFormat="1" ht="11.25" customHeight="1"/>
    <row r="105" spans="3:3" s="48" customFormat="1" ht="11.25" customHeight="1"/>
    <row r="106" spans="3:3" s="48" customFormat="1" ht="11.25" customHeight="1"/>
    <row r="107" spans="3:3" s="48" customFormat="1" ht="11.25" customHeight="1"/>
    <row r="108" spans="3:3" s="48" customFormat="1" ht="11.25" customHeight="1"/>
    <row r="109" spans="3:3" s="48" customFormat="1"/>
    <row r="110" spans="3:3" s="48" customFormat="1"/>
    <row r="111" spans="3:3" s="48" customFormat="1"/>
    <row r="112" spans="3:3" s="48" customFormat="1"/>
    <row r="113" spans="1:19" s="48" customFormat="1"/>
    <row r="114" spans="1:19" s="48" customFormat="1"/>
    <row r="115" spans="1:19" s="48" customFormat="1" ht="11.25" customHeight="1"/>
    <row r="116" spans="1:19" s="48" customFormat="1"/>
    <row r="117" spans="1:19" s="48" customFormat="1"/>
    <row r="118" spans="1:19" s="48" customFormat="1"/>
    <row r="119" spans="1:19" s="48" customFormat="1">
      <c r="A119" s="42"/>
      <c r="B119" s="42"/>
      <c r="C119" s="42"/>
      <c r="D119" s="42"/>
      <c r="E119" s="42"/>
      <c r="F119" s="42"/>
      <c r="G119" s="42"/>
      <c r="I119" s="42"/>
      <c r="J119" s="42"/>
      <c r="K119" s="42"/>
      <c r="M119" s="42"/>
      <c r="N119" s="42"/>
      <c r="O119" s="42"/>
      <c r="P119" s="42"/>
      <c r="Q119" s="42"/>
      <c r="R119" s="42"/>
      <c r="S119" s="42"/>
    </row>
    <row r="120" spans="1:19" s="48" customFormat="1">
      <c r="A120" s="42"/>
      <c r="B120" s="42"/>
      <c r="C120" s="42"/>
      <c r="D120" s="42"/>
      <c r="E120" s="42"/>
      <c r="F120" s="42"/>
      <c r="G120" s="42"/>
      <c r="H120" s="42"/>
      <c r="I120" s="42"/>
      <c r="J120" s="42"/>
      <c r="K120" s="42"/>
      <c r="L120" s="42"/>
      <c r="M120" s="42"/>
      <c r="N120" s="42"/>
      <c r="O120" s="42"/>
      <c r="P120" s="42"/>
      <c r="Q120" s="42"/>
      <c r="R120" s="42"/>
      <c r="S120" s="42"/>
    </row>
  </sheetData>
  <mergeCells count="4">
    <mergeCell ref="F5:G5"/>
    <mergeCell ref="I5:J5"/>
    <mergeCell ref="C63:J63"/>
    <mergeCell ref="C59:J59"/>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A5:C6 A59:B59 D59 A60:C97 D60:D121 I59:J59 I60:J121 F59:G59 F60:G121 I1:J4 I122:XFD1048576 A8:C58 K60:XFD121 A99:C121 A98:B98 D8:D9 G5:H5 J5 E5:F5 I6:J58 I5 D48:D58 D5 A1:D4 A122:D1048576 A7:D7 E48:E56 E7:G9 D43:G43 D35:G35 D25:G29 D20:G20 D13:G13 D41:H41 D18:G18 F122:G1048576 F1:G4 F48:G58 H18:H28 K1:XFD59" unlockedFormula="1"/>
    <ignoredError sqref="D6:E6 F6:H6" numberStoredAsText="1" unlockedFormula="1"/>
  </ignoredError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1"/>
  <dimension ref="B1:Q105"/>
  <sheetViews>
    <sheetView showGridLines="0" zoomScaleNormal="100" zoomScaleSheetLayoutView="100" workbookViewId="0">
      <selection activeCell="B2" sqref="B2"/>
    </sheetView>
  </sheetViews>
  <sheetFormatPr defaultColWidth="9.1796875" defaultRowHeight="10.5"/>
  <cols>
    <col min="1" max="1" width="2.453125" style="53" customWidth="1"/>
    <col min="2" max="2" width="4.453125" style="53" customWidth="1"/>
    <col min="3" max="3" width="37.1796875" style="62" customWidth="1"/>
    <col min="4" max="5" width="9.453125" style="62" customWidth="1"/>
    <col min="6" max="10" width="9.453125" style="53" customWidth="1"/>
    <col min="11" max="14" width="8.54296875" style="53" customWidth="1"/>
    <col min="15" max="16384" width="9.1796875" style="53"/>
  </cols>
  <sheetData>
    <row r="1" spans="2:15" s="50" customFormat="1" ht="15" customHeight="1">
      <c r="B1" s="49"/>
      <c r="C1" s="49"/>
      <c r="D1" s="49"/>
      <c r="E1" s="49"/>
    </row>
    <row r="2" spans="2:15" ht="24" customHeight="1">
      <c r="B2" s="8"/>
      <c r="C2" s="51" t="str">
        <f>IF(Indice_index!$Z$1=1,"7 - Execução Orçamental do Estado","7 - State Budget Execution")</f>
        <v>7 - State Budget Execution</v>
      </c>
      <c r="D2" s="51"/>
      <c r="E2" s="51"/>
      <c r="F2" s="51"/>
      <c r="G2" s="51"/>
      <c r="H2" s="51"/>
      <c r="I2" s="51"/>
      <c r="J2" s="51"/>
    </row>
    <row r="3" spans="2:15" ht="15" customHeight="1">
      <c r="C3" s="54"/>
      <c r="D3" s="54"/>
      <c r="E3" s="54"/>
    </row>
    <row r="4" spans="2:15" ht="15" customHeight="1">
      <c r="C4" s="53"/>
      <c r="D4" s="53"/>
      <c r="E4" s="53"/>
    </row>
    <row r="5" spans="2:15" s="271" customFormat="1" ht="15" customHeight="1">
      <c r="C5" s="696" t="str">
        <f>+'5 - Conta AC + SS'!C5</f>
        <v>Period: January to November</v>
      </c>
      <c r="D5" s="696"/>
      <c r="E5" s="696"/>
      <c r="F5" s="810"/>
      <c r="J5" s="1040" t="str">
        <f>IF(Indice_index!$Z$1=1,"€ Milhões","€ Millions")</f>
        <v>€ Millions</v>
      </c>
    </row>
    <row r="6" spans="2:15" ht="33" customHeight="1">
      <c r="C6" s="812"/>
      <c r="D6" s="813" t="str">
        <f>IF(Indice_index!$Z$1=1,"CGE","Final execution")</f>
        <v>Final execution</v>
      </c>
      <c r="E6" s="813" t="str">
        <f>IF(Indice_index!$Z$1=1,"Orçamento Inicial","Budget")</f>
        <v>Budget</v>
      </c>
      <c r="F6" s="1710" t="str">
        <f>IF(Indice_index!$Z$1=1,"Execução Acumulada","Accumulated Execution")</f>
        <v>Accumulated Execution</v>
      </c>
      <c r="G6" s="1710"/>
      <c r="H6" s="1065" t="str">
        <f>IF(Indice_index!$Z$1=1,"Grau de Execução (%)","Execution Degree (%)")</f>
        <v>Execution Degree (%)</v>
      </c>
      <c r="I6" s="1707" t="str">
        <f>IF(Indice_index!$Z$1=1,"Variação Homóloga Acumulada","YOY Change Rate")</f>
        <v>YOY Change Rate</v>
      </c>
      <c r="J6" s="1708"/>
    </row>
    <row r="7" spans="2:15" ht="33.75" customHeight="1">
      <c r="C7" s="1066"/>
      <c r="D7" s="815" t="s">
        <v>67</v>
      </c>
      <c r="E7" s="815" t="s">
        <v>73</v>
      </c>
      <c r="F7" s="816" t="s">
        <v>67</v>
      </c>
      <c r="G7" s="816" t="s">
        <v>73</v>
      </c>
      <c r="H7" s="818" t="s">
        <v>73</v>
      </c>
      <c r="I7" s="818" t="str">
        <f>IF(Indice_index!$Z$1=1,"Relativa (%)","Relative change (%)")</f>
        <v>Relative change (%)</v>
      </c>
      <c r="J7" s="819" t="str">
        <f>IF(Indice_index!$Z$1=1,"Contributo VHA (p.p.)","YOY Change Rate Contrib. (p.p.)")</f>
        <v>YOY Change Rate Contrib. (p.p.)</v>
      </c>
    </row>
    <row r="8" spans="2:15" ht="4.5" customHeight="1">
      <c r="C8" s="464"/>
      <c r="D8" s="464"/>
      <c r="E8" s="464"/>
      <c r="F8" s="842"/>
      <c r="G8" s="842"/>
      <c r="H8" s="85"/>
      <c r="I8" s="85"/>
      <c r="J8" s="85"/>
    </row>
    <row r="9" spans="2:15" s="271" customFormat="1" ht="15" customHeight="1">
      <c r="C9" s="696" t="str">
        <f>IF(Indice_index!$Z$1=1,"Receita corrente","Current revenue")</f>
        <v>Current revenue</v>
      </c>
      <c r="D9" s="843">
        <f>+D10+D13+D14+D15+D20+D21</f>
        <v>49989.363712130005</v>
      </c>
      <c r="E9" s="843">
        <f>+E10+E13+E14+E15+E20+E21</f>
        <v>53187.510257999995</v>
      </c>
      <c r="F9" s="843">
        <f>+F10+F13+F14+F15+F20+F21</f>
        <v>44056.262581649993</v>
      </c>
      <c r="G9" s="843">
        <f>+G10+G13+G14+G15+G20+G21</f>
        <v>51244.176670199995</v>
      </c>
      <c r="H9" s="844">
        <f>IFERROR(IF(G9/E9*100&lt;-500,"-",IF(G9/E9*100&gt;500,"-",G9/E9*100)),"-")</f>
        <v>96.346259529025986</v>
      </c>
      <c r="I9" s="844">
        <f>IF(IFERROR((G9-F9)/F9*100,"")&gt;500,"-",IFERROR((G9-F9)/F9*100,""))</f>
        <v>16.315306082145657</v>
      </c>
      <c r="J9" s="844">
        <f t="shared" ref="J9:J20" si="0">IFERROR((G9-F9)/$F$32*100,"-")</f>
        <v>16.285892434398225</v>
      </c>
      <c r="K9" s="273"/>
      <c r="M9" s="274"/>
      <c r="N9" s="275"/>
      <c r="O9" s="275"/>
    </row>
    <row r="10" spans="2:15" ht="15" customHeight="1">
      <c r="C10" s="845" t="str">
        <f>IF(Indice_index!$Z$1=1,"Receita Fiscal","Tax")</f>
        <v>Tax</v>
      </c>
      <c r="D10" s="846">
        <f t="shared" ref="D10:E10" si="1">SUM(D11:D12)</f>
        <v>45591.223834090008</v>
      </c>
      <c r="E10" s="846">
        <f t="shared" si="1"/>
        <v>48591.105513000002</v>
      </c>
      <c r="F10" s="846">
        <f t="shared" ref="F10" si="2">SUM(F11:F12)</f>
        <v>40305.956225230002</v>
      </c>
      <c r="G10" s="846">
        <f t="shared" ref="G10" si="3">SUM(G11:G12)</f>
        <v>47359.001035519999</v>
      </c>
      <c r="H10" s="847">
        <f t="shared" ref="H10:H29" si="4">IFERROR(IF(G10/E10*100&lt;-500,"-",IF(G10/E10*100&gt;500,"-",G10/E10*100)),"-")</f>
        <v>97.464341540551345</v>
      </c>
      <c r="I10" s="847">
        <f t="shared" ref="I10:I20" si="5">IF(IFERROR((G10-F10)/F10*100,"")&gt;500,"-",IFERROR((G10-F10)/F10*100,""))</f>
        <v>17.498765618851785</v>
      </c>
      <c r="J10" s="847">
        <f t="shared" si="0"/>
        <v>15.980314692178654</v>
      </c>
      <c r="K10" s="57"/>
      <c r="M10" s="58"/>
      <c r="N10" s="59"/>
      <c r="O10" s="59"/>
    </row>
    <row r="11" spans="2:15" ht="15" customHeight="1">
      <c r="C11" s="848" t="str">
        <f>IF(Indice_index!$Z$1=1,"Impostos diretos","Direct taxes")</f>
        <v>Direct taxes</v>
      </c>
      <c r="D11" s="700">
        <f>+'8 - R_Est'!D10</f>
        <v>19956.94299525</v>
      </c>
      <c r="E11" s="700">
        <f>+'8 - R_Est'!E10</f>
        <v>20904.899710000002</v>
      </c>
      <c r="F11" s="700">
        <f>+'8 - R_Est'!F10</f>
        <v>16644.14793621</v>
      </c>
      <c r="G11" s="700">
        <f>+'8 - R_Est'!G10</f>
        <v>20659.39178826</v>
      </c>
      <c r="H11" s="849">
        <f t="shared" si="4"/>
        <v>98.825596270990189</v>
      </c>
      <c r="I11" s="849">
        <f t="shared" si="5"/>
        <v>24.124057701474033</v>
      </c>
      <c r="J11" s="849">
        <f t="shared" si="0"/>
        <v>9.0974695393940621</v>
      </c>
      <c r="K11" s="57"/>
      <c r="M11" s="58"/>
      <c r="N11" s="59"/>
      <c r="O11" s="59"/>
    </row>
    <row r="12" spans="2:15" ht="15" customHeight="1">
      <c r="C12" s="848" t="str">
        <f>IF(Indice_index!$Z$1=1,"Impostos indiretos","Indirect taxes")</f>
        <v>Indirect taxes</v>
      </c>
      <c r="D12" s="700">
        <f>+'8 - R_Est'!D14</f>
        <v>25634.280838840004</v>
      </c>
      <c r="E12" s="700">
        <f>+'8 - R_Est'!E14</f>
        <v>27686.205802999997</v>
      </c>
      <c r="F12" s="700">
        <f>+'8 - R_Est'!F14</f>
        <v>23661.808289020002</v>
      </c>
      <c r="G12" s="700">
        <f>+'8 - R_Est'!G14</f>
        <v>26699.609247259999</v>
      </c>
      <c r="H12" s="849">
        <f t="shared" si="4"/>
        <v>96.436505013507144</v>
      </c>
      <c r="I12" s="849">
        <f t="shared" si="5"/>
        <v>12.8384142121955</v>
      </c>
      <c r="J12" s="849">
        <f t="shared" si="0"/>
        <v>6.8828451527845909</v>
      </c>
      <c r="K12" s="57"/>
      <c r="M12" s="58"/>
      <c r="N12" s="59"/>
      <c r="O12" s="59"/>
    </row>
    <row r="13" spans="2:15" ht="15" customHeight="1">
      <c r="C13" s="845" t="str">
        <f>IF(Indice_index!$Z$1=1,"Contribuições para Segurança Social, CGA e ADSE","Social security, CGA and ADSE contributions")</f>
        <v>Social security, CGA and ADSE contributions</v>
      </c>
      <c r="D13" s="700">
        <f>+'8 - R_Est'!D24</f>
        <v>66.578526589999996</v>
      </c>
      <c r="E13" s="700">
        <f>+'8 - R_Est'!E24</f>
        <v>75.073003999999997</v>
      </c>
      <c r="F13" s="700">
        <f>+'8 - R_Est'!F24</f>
        <v>58.034161189999999</v>
      </c>
      <c r="G13" s="700">
        <f>+'8 - R_Est'!G24</f>
        <v>64.551561390000003</v>
      </c>
      <c r="H13" s="849">
        <f t="shared" si="4"/>
        <v>85.985051817028662</v>
      </c>
      <c r="I13" s="849">
        <f t="shared" si="5"/>
        <v>11.230282417044796</v>
      </c>
      <c r="J13" s="849">
        <f t="shared" si="0"/>
        <v>1.4766687150338107E-2</v>
      </c>
      <c r="K13" s="57"/>
      <c r="M13" s="58"/>
      <c r="N13" s="59"/>
      <c r="O13" s="59"/>
    </row>
    <row r="14" spans="2:15" ht="15" customHeight="1">
      <c r="C14" s="845" t="str">
        <f>IF(Indice_index!$Z$1=1,"Taxas, Multas e Outras Penalidades","Taxes, fines and other penalties")</f>
        <v>Taxes, fines and other penalties</v>
      </c>
      <c r="D14" s="700">
        <f>+'8 - R_Est'!D30</f>
        <v>857.09185406000006</v>
      </c>
      <c r="E14" s="700">
        <f>+'8 - R_Est'!E30</f>
        <v>1005.0051129999999</v>
      </c>
      <c r="F14" s="700">
        <f>+'8 - R_Est'!F30</f>
        <v>774.10300992999998</v>
      </c>
      <c r="G14" s="700">
        <f>+'8 - R_Est'!G30</f>
        <v>919.52328601999989</v>
      </c>
      <c r="H14" s="849">
        <f t="shared" si="4"/>
        <v>91.494388846955047</v>
      </c>
      <c r="I14" s="849">
        <f t="shared" si="5"/>
        <v>18.785649225566228</v>
      </c>
      <c r="J14" s="849">
        <f t="shared" si="0"/>
        <v>0.32948348366528418</v>
      </c>
      <c r="K14" s="57"/>
      <c r="M14" s="58"/>
      <c r="N14" s="59"/>
      <c r="O14" s="59"/>
    </row>
    <row r="15" spans="2:15" ht="15" customHeight="1">
      <c r="C15" s="845" t="str">
        <f>IF(Indice_index!$Z$1=1,"Transferências Correntes","Current transfers")</f>
        <v>Current transfers</v>
      </c>
      <c r="D15" s="700">
        <f>SUM(D16:D19)</f>
        <v>1214.3733370100001</v>
      </c>
      <c r="E15" s="700">
        <f>SUM(E16:E19)</f>
        <v>1338.8009099999999</v>
      </c>
      <c r="F15" s="700">
        <f>SUM(F16:F19)</f>
        <v>1102.17214623</v>
      </c>
      <c r="G15" s="700">
        <f>SUM(G16:G19)</f>
        <v>882.92517694000003</v>
      </c>
      <c r="H15" s="849">
        <f t="shared" si="4"/>
        <v>65.948952554864931</v>
      </c>
      <c r="I15" s="849">
        <f t="shared" si="5"/>
        <v>-19.892261843119353</v>
      </c>
      <c r="J15" s="849">
        <f t="shared" si="0"/>
        <v>-0.49675504109218471</v>
      </c>
      <c r="K15" s="57"/>
      <c r="M15" s="58"/>
      <c r="N15" s="59"/>
      <c r="O15" s="59"/>
    </row>
    <row r="16" spans="2:15" ht="15" customHeight="1">
      <c r="C16" s="848" t="str">
        <f>IF(Indice_index!$Z$1=1,"Administração Central","Central Administration")</f>
        <v>Central Administration</v>
      </c>
      <c r="D16" s="700">
        <f>+'8 - R_Est'!D40</f>
        <v>528.42067895000002</v>
      </c>
      <c r="E16" s="700">
        <f>+'8 - R_Est'!E40</f>
        <v>559.4232750000001</v>
      </c>
      <c r="F16" s="700">
        <f>+'8 - R_Est'!F40</f>
        <v>485.18684302999998</v>
      </c>
      <c r="G16" s="700">
        <f>+'8 - R_Est'!G40</f>
        <v>438.88896262000003</v>
      </c>
      <c r="H16" s="847">
        <f t="shared" si="4"/>
        <v>78.453825972828881</v>
      </c>
      <c r="I16" s="847">
        <f t="shared" si="5"/>
        <v>-9.5422786242242079</v>
      </c>
      <c r="J16" s="847">
        <f t="shared" si="0"/>
        <v>-0.10489862441441543</v>
      </c>
      <c r="K16" s="57"/>
      <c r="M16" s="58"/>
      <c r="N16" s="59"/>
      <c r="O16" s="59"/>
    </row>
    <row r="17" spans="3:15" ht="15" customHeight="1">
      <c r="C17" s="850" t="str">
        <f>IF(Indice_index!$Z$1=1,"Outros subsectores das AP","Other General Government subsectors")</f>
        <v>Other General Government subsectors</v>
      </c>
      <c r="D17" s="700">
        <f>+'8 - R_Est'!D41</f>
        <v>215.78015270999998</v>
      </c>
      <c r="E17" s="700">
        <f>+'8 - R_Est'!E41</f>
        <v>260.91179099999999</v>
      </c>
      <c r="F17" s="700">
        <f>+'8 - R_Est'!F41</f>
        <v>186.43622450999999</v>
      </c>
      <c r="G17" s="700">
        <f>+'8 - R_Est'!G41</f>
        <v>238.62642260000001</v>
      </c>
      <c r="H17" s="847">
        <f t="shared" si="4"/>
        <v>91.458657995260936</v>
      </c>
      <c r="I17" s="847">
        <f t="shared" si="5"/>
        <v>27.99359310518577</v>
      </c>
      <c r="J17" s="847">
        <f t="shared" si="0"/>
        <v>0.11824904162079891</v>
      </c>
      <c r="K17" s="57"/>
      <c r="M17" s="58"/>
      <c r="N17" s="59"/>
      <c r="O17" s="59"/>
    </row>
    <row r="18" spans="3:15" ht="15" customHeight="1">
      <c r="C18" s="848" t="str">
        <f>IF(Indice_index!$Z$1=1,"União Europeia","European Union")</f>
        <v>European Union</v>
      </c>
      <c r="D18" s="700">
        <f>+'8 - R_Est'!D42</f>
        <v>456.44551322000001</v>
      </c>
      <c r="E18" s="700">
        <f>+'8 - R_Est'!E42</f>
        <v>485.50868800000001</v>
      </c>
      <c r="F18" s="700">
        <f>+'8 - R_Est'!F42</f>
        <v>417.15186004999998</v>
      </c>
      <c r="G18" s="700">
        <f>+'8 - R_Est'!G42</f>
        <v>185.93587680000002</v>
      </c>
      <c r="H18" s="847">
        <f t="shared" si="4"/>
        <v>38.297126579947012</v>
      </c>
      <c r="I18" s="847">
        <f t="shared" si="5"/>
        <v>-55.427292886165326</v>
      </c>
      <c r="J18" s="847">
        <f t="shared" si="0"/>
        <v>-0.52387362813941718</v>
      </c>
      <c r="K18" s="57"/>
      <c r="M18" s="58"/>
      <c r="N18" s="59"/>
      <c r="O18" s="59"/>
    </row>
    <row r="19" spans="3:15" ht="15" customHeight="1">
      <c r="C19" s="850" t="str">
        <f>IF(Indice_index!$Z$1=1,"Outras transferências","Other transfers")</f>
        <v>Other transfers</v>
      </c>
      <c r="D19" s="700">
        <f>+'8 - R_Est'!D43</f>
        <v>13.726992130000001</v>
      </c>
      <c r="E19" s="700">
        <f>+'8 - R_Est'!E43</f>
        <v>32.957155999999998</v>
      </c>
      <c r="F19" s="700">
        <f>+'8 - R_Est'!F43</f>
        <v>13.397218640000002</v>
      </c>
      <c r="G19" s="700">
        <f>+'8 - R_Est'!G43</f>
        <v>19.473914919999999</v>
      </c>
      <c r="H19" s="847">
        <f t="shared" si="4"/>
        <v>59.088578274169045</v>
      </c>
      <c r="I19" s="847">
        <f t="shared" si="5"/>
        <v>45.357894375604488</v>
      </c>
      <c r="J19" s="847">
        <f t="shared" si="0"/>
        <v>1.3768169840849002E-2</v>
      </c>
      <c r="K19" s="57"/>
      <c r="M19" s="58"/>
      <c r="N19" s="59"/>
      <c r="O19" s="59"/>
    </row>
    <row r="20" spans="3:15" ht="15" customHeight="1">
      <c r="C20" s="845" t="str">
        <f>IF(Indice_index!$Z$1=1,"Outras Receitas Correntes","Other current revenue")</f>
        <v>Other current revenue</v>
      </c>
      <c r="D20" s="700">
        <f>'8 - R_Est'!D35+'8 - R_Est'!D44+'8 - R_Est'!D45+'8 - R_Est'!D49+'8 - R_Est'!D50</f>
        <v>2260.0917186399997</v>
      </c>
      <c r="E20" s="700">
        <f>'8 - R_Est'!E35+'8 - R_Est'!E44+'8 - R_Est'!E45+'8 - R_Est'!E49+'8 - R_Est'!E50</f>
        <v>2175.6270149999996</v>
      </c>
      <c r="F20" s="700">
        <f>'8 - R_Est'!F35+'8 - R_Est'!F44+'8 - R_Est'!F45+'8 - R_Est'!F49+'8 - R_Est'!F50</f>
        <v>1815.99265917</v>
      </c>
      <c r="G20" s="700">
        <f>'8 - R_Est'!G35+'8 - R_Est'!G44+'8 - R_Est'!G45+'8 - R_Est'!G49+'8 - R_Est'!G50</f>
        <v>2018.1709117999999</v>
      </c>
      <c r="H20" s="849">
        <f t="shared" si="4"/>
        <v>92.762725314844474</v>
      </c>
      <c r="I20" s="849">
        <f t="shared" si="5"/>
        <v>11.133208694929719</v>
      </c>
      <c r="J20" s="849">
        <f t="shared" si="0"/>
        <v>0.45808189056569343</v>
      </c>
      <c r="K20" s="57"/>
      <c r="M20" s="58"/>
      <c r="N20" s="59"/>
      <c r="O20" s="59"/>
    </row>
    <row r="21" spans="3:15" ht="15" customHeight="1">
      <c r="C21" s="851" t="str">
        <f>IF(Indice_index!$Z$1=1,"Diferenças de consolidação","Consolidation differences")</f>
        <v>Consolidation differences</v>
      </c>
      <c r="D21" s="700">
        <f>+'8 - R_Est'!D51</f>
        <v>4.4417399999999996E-3</v>
      </c>
      <c r="E21" s="700">
        <f>+'8 - R_Est'!E51</f>
        <v>1.898703</v>
      </c>
      <c r="F21" s="700">
        <f>+'8 - R_Est'!F51</f>
        <v>4.3798999999999999E-3</v>
      </c>
      <c r="G21" s="700">
        <f>+'8 - R_Est'!G51</f>
        <v>4.6985300000000002E-3</v>
      </c>
      <c r="H21" s="849"/>
      <c r="I21" s="849"/>
      <c r="J21" s="849"/>
      <c r="K21" s="57"/>
      <c r="M21" s="58"/>
      <c r="N21" s="59"/>
      <c r="O21" s="59"/>
    </row>
    <row r="22" spans="3:15" s="271" customFormat="1" ht="15" customHeight="1">
      <c r="C22" s="696" t="str">
        <f>IF(Indice_index!$Z$1=1,"Receita de capital","Capital revenue")</f>
        <v>Capital revenue</v>
      </c>
      <c r="D22" s="843">
        <f t="shared" ref="D22:E22" si="6">D23+D24+D29+D30</f>
        <v>84.767693959999988</v>
      </c>
      <c r="E22" s="843">
        <f t="shared" si="6"/>
        <v>530.07363999999995</v>
      </c>
      <c r="F22" s="843">
        <f t="shared" ref="F22" si="7">F23+F24+F29+F30</f>
        <v>79.569197320000001</v>
      </c>
      <c r="G22" s="843">
        <f t="shared" ref="G22" si="8">G23+G24+G29+G30</f>
        <v>317.15701522000001</v>
      </c>
      <c r="H22" s="844">
        <f t="shared" si="4"/>
        <v>59.832632918701648</v>
      </c>
      <c r="I22" s="844">
        <f t="shared" ref="I22:I29" si="9">IF(IFERROR((G22-F22)/F22*100,"")&gt;500,"-",IFERROR((G22-F22)/F22*100,""))</f>
        <v>298.59270408937692</v>
      </c>
      <c r="J22" s="844">
        <f t="shared" ref="J22:J29" si="10">IFERROR((G22-F22)/$F$32*100,"-")</f>
        <v>0.53831050265423286</v>
      </c>
      <c r="K22" s="273"/>
      <c r="M22" s="274"/>
      <c r="N22" s="275"/>
      <c r="O22" s="275"/>
    </row>
    <row r="23" spans="3:15" ht="15" customHeight="1">
      <c r="C23" s="845" t="str">
        <f>IF(Indice_index!$Z$1=1,"Venda de bens de investimento","Sale of investment goods")</f>
        <v>Sale of investment goods</v>
      </c>
      <c r="D23" s="89">
        <f>+'8 - R_Est'!D53</f>
        <v>36.8988175</v>
      </c>
      <c r="E23" s="89">
        <f>+'8 - R_Est'!E53</f>
        <v>53.822319</v>
      </c>
      <c r="F23" s="89">
        <f>+'8 - R_Est'!F53</f>
        <v>36.513781819999998</v>
      </c>
      <c r="G23" s="89">
        <f>+'8 - R_Est'!G53</f>
        <v>35.257785650000002</v>
      </c>
      <c r="H23" s="852">
        <f t="shared" si="4"/>
        <v>65.507741593222704</v>
      </c>
      <c r="I23" s="852">
        <f t="shared" si="9"/>
        <v>-3.4397865885040666</v>
      </c>
      <c r="J23" s="853">
        <f t="shared" si="10"/>
        <v>-2.8457516701848084E-3</v>
      </c>
      <c r="K23" s="57"/>
      <c r="M23" s="58"/>
      <c r="N23" s="59"/>
      <c r="O23" s="59"/>
    </row>
    <row r="24" spans="3:15" ht="15" customHeight="1">
      <c r="C24" s="845" t="str">
        <f>IF(Indice_index!$Z$1=1,"Transferências de capital","Capital transfers")</f>
        <v>Capital transfers</v>
      </c>
      <c r="D24" s="700">
        <f t="shared" ref="D24:E24" si="11">SUM(D25:D28)</f>
        <v>45.685864639999998</v>
      </c>
      <c r="E24" s="700">
        <f t="shared" si="11"/>
        <v>469.99793599999998</v>
      </c>
      <c r="F24" s="700">
        <f t="shared" ref="F24" si="12">SUM(F25:F28)</f>
        <v>41.795383450000003</v>
      </c>
      <c r="G24" s="700">
        <f t="shared" ref="G24" si="13">SUM(G25:G28)</f>
        <v>261.61792231999999</v>
      </c>
      <c r="H24" s="849">
        <f t="shared" si="4"/>
        <v>55.663632173908098</v>
      </c>
      <c r="I24" s="849" t="str">
        <f t="shared" si="9"/>
        <v>-</v>
      </c>
      <c r="J24" s="849">
        <f t="shared" si="10"/>
        <v>0.49805912794588331</v>
      </c>
      <c r="K24" s="57"/>
      <c r="M24" s="58"/>
      <c r="N24" s="59"/>
      <c r="O24" s="59"/>
    </row>
    <row r="25" spans="3:15" ht="15" customHeight="1">
      <c r="C25" s="848" t="str">
        <f>IF(Indice_index!$Z$1=1,"Administração Central","Central Administration")</f>
        <v>Central Administration</v>
      </c>
      <c r="D25" s="700">
        <f>+'8 - R_Est'!D55</f>
        <v>17.407786689999998</v>
      </c>
      <c r="E25" s="700">
        <f>+'8 - R_Est'!E55</f>
        <v>33.988917999999998</v>
      </c>
      <c r="F25" s="700">
        <f>+'8 - R_Est'!F55</f>
        <v>11.878207059999998</v>
      </c>
      <c r="G25" s="700">
        <f>+'8 - R_Est'!G55</f>
        <v>12.737249700000001</v>
      </c>
      <c r="H25" s="849">
        <f t="shared" si="4"/>
        <v>37.474713669908532</v>
      </c>
      <c r="I25" s="849">
        <f t="shared" si="9"/>
        <v>7.2320901265717108</v>
      </c>
      <c r="J25" s="849">
        <f t="shared" si="10"/>
        <v>1.9463610526296313E-3</v>
      </c>
      <c r="K25" s="57"/>
      <c r="M25" s="58"/>
      <c r="N25" s="59"/>
      <c r="O25" s="59"/>
    </row>
    <row r="26" spans="3:15" ht="15" customHeight="1">
      <c r="C26" s="848" t="str">
        <f>IF(Indice_index!$Z$1=1,"Outros subsectores das AP","Other General Government subsectors")</f>
        <v>Other General Government subsectors</v>
      </c>
      <c r="D26" s="700">
        <f>+'8 - R_Est'!D56</f>
        <v>3.0124069999999999E-2</v>
      </c>
      <c r="E26" s="700">
        <f>+'8 - R_Est'!E56</f>
        <v>0</v>
      </c>
      <c r="F26" s="700">
        <f>+'8 - R_Est'!F56</f>
        <v>1.2405589999999999E-2</v>
      </c>
      <c r="G26" s="700">
        <f>+'8 - R_Est'!G56</f>
        <v>1.867427E-2</v>
      </c>
      <c r="H26" s="849" t="str">
        <f t="shared" si="4"/>
        <v>-</v>
      </c>
      <c r="I26" s="849">
        <f t="shared" si="9"/>
        <v>50.531091225810307</v>
      </c>
      <c r="J26" s="849">
        <f t="shared" si="10"/>
        <v>1.4203153644850816E-5</v>
      </c>
      <c r="K26" s="57"/>
      <c r="M26" s="58"/>
      <c r="N26" s="59"/>
      <c r="O26" s="59"/>
    </row>
    <row r="27" spans="3:15" ht="15" customHeight="1">
      <c r="C27" s="848" t="str">
        <f>IF(Indice_index!$Z$1=1,"União Europeia","European Union")</f>
        <v>European Union</v>
      </c>
      <c r="D27" s="700">
        <f>+'8 - R_Est'!D57</f>
        <v>18.856822619999999</v>
      </c>
      <c r="E27" s="700">
        <f>+'8 - R_Est'!E57</f>
        <v>435.52218199999999</v>
      </c>
      <c r="F27" s="700">
        <f>+'8 - R_Est'!F57</f>
        <v>20.550312160000001</v>
      </c>
      <c r="G27" s="700">
        <f>+'8 - R_Est'!G57</f>
        <v>247.28492269</v>
      </c>
      <c r="H27" s="849">
        <f t="shared" si="4"/>
        <v>56.778950168375118</v>
      </c>
      <c r="I27" s="849" t="str">
        <f t="shared" si="9"/>
        <v>-</v>
      </c>
      <c r="J27" s="849">
        <f t="shared" si="10"/>
        <v>0.51372003515301445</v>
      </c>
      <c r="K27" s="57"/>
      <c r="M27" s="58"/>
      <c r="N27" s="59"/>
      <c r="O27" s="59"/>
    </row>
    <row r="28" spans="3:15" ht="15" customHeight="1">
      <c r="C28" s="848" t="str">
        <f>IF(Indice_index!$Z$1=1,"Outras transferências","Other transfers")</f>
        <v>Other transfers</v>
      </c>
      <c r="D28" s="700">
        <f>+'8 - R_Est'!D58</f>
        <v>9.3911312599999999</v>
      </c>
      <c r="E28" s="700">
        <f>+'8 - R_Est'!E58</f>
        <v>0.48683600000000005</v>
      </c>
      <c r="F28" s="700">
        <f>+'8 - R_Est'!F58</f>
        <v>9.3544586400000007</v>
      </c>
      <c r="G28" s="700">
        <f>+'8 - R_Est'!G58</f>
        <v>1.57707566</v>
      </c>
      <c r="H28" s="849">
        <f t="shared" si="4"/>
        <v>323.94392772925585</v>
      </c>
      <c r="I28" s="849">
        <f t="shared" si="9"/>
        <v>-83.14092006076794</v>
      </c>
      <c r="J28" s="849">
        <f t="shared" si="10"/>
        <v>-1.7621471413405643E-2</v>
      </c>
      <c r="K28" s="57"/>
      <c r="M28" s="58"/>
      <c r="N28" s="59"/>
      <c r="O28" s="59"/>
    </row>
    <row r="29" spans="3:15" ht="15" customHeight="1">
      <c r="C29" s="845" t="str">
        <f>IF(Indice_index!$Z$1=1,"Outras Receitas de Capital","Other capital revenue")</f>
        <v>Other capital revenue</v>
      </c>
      <c r="D29" s="700">
        <f>+'8 - R_Est'!D59</f>
        <v>1.50296685</v>
      </c>
      <c r="E29" s="700">
        <f>+'8 - R_Est'!E59</f>
        <v>6.2533849999999997</v>
      </c>
      <c r="F29" s="700">
        <f>+'8 - R_Est'!F59</f>
        <v>0.33489271999999998</v>
      </c>
      <c r="G29" s="700">
        <f>+'8 - R_Est'!G59</f>
        <v>20.281307250000001</v>
      </c>
      <c r="H29" s="853">
        <f t="shared" si="4"/>
        <v>324.32526143840499</v>
      </c>
      <c r="I29" s="853" t="str">
        <f t="shared" si="9"/>
        <v>-</v>
      </c>
      <c r="J29" s="853">
        <f t="shared" si="10"/>
        <v>4.5193244867097179E-2</v>
      </c>
      <c r="K29" s="57"/>
      <c r="M29" s="58"/>
      <c r="N29" s="59"/>
      <c r="O29" s="59"/>
    </row>
    <row r="30" spans="3:15" ht="15" customHeight="1">
      <c r="C30" s="851" t="str">
        <f>IF(Indice_index!$Z$1=1,"Diferenças de consolidação","Consolidation differences")</f>
        <v>Consolidation differences</v>
      </c>
      <c r="D30" s="700">
        <f>+'8 - R_Est'!D60</f>
        <v>0.68004496999999997</v>
      </c>
      <c r="E30" s="700">
        <f>+'8 - R_Est'!E60</f>
        <v>0</v>
      </c>
      <c r="F30" s="700">
        <f>+'8 - R_Est'!F60</f>
        <v>0.92513933000000037</v>
      </c>
      <c r="G30" s="700">
        <f>+'8 - R_Est'!G60</f>
        <v>0</v>
      </c>
      <c r="H30" s="849"/>
      <c r="I30" s="849"/>
      <c r="J30" s="700"/>
      <c r="K30" s="57"/>
      <c r="M30" s="58"/>
      <c r="N30" s="59"/>
      <c r="O30" s="59"/>
    </row>
    <row r="31" spans="3:15" ht="4.5" customHeight="1">
      <c r="C31" s="848"/>
      <c r="D31" s="849"/>
      <c r="E31" s="849"/>
      <c r="F31" s="849"/>
      <c r="G31" s="849"/>
      <c r="H31" s="849"/>
      <c r="I31" s="849"/>
      <c r="J31" s="849"/>
      <c r="K31" s="57"/>
      <c r="M31" s="58"/>
      <c r="N31" s="59"/>
      <c r="O31" s="59"/>
    </row>
    <row r="32" spans="3:15" s="271" customFormat="1" ht="15" customHeight="1">
      <c r="C32" s="854" t="str">
        <f>IF(Indice_index!$Z$1=1,"Receita efetiva","Effective revenue")</f>
        <v>Effective revenue</v>
      </c>
      <c r="D32" s="855">
        <f>+D9+D22</f>
        <v>50074.131406090004</v>
      </c>
      <c r="E32" s="855">
        <f>+E9+E22</f>
        <v>53717.583897999997</v>
      </c>
      <c r="F32" s="855">
        <f>+F9+F22</f>
        <v>44135.831778969994</v>
      </c>
      <c r="G32" s="855">
        <f>+G9+G22</f>
        <v>51561.333685419995</v>
      </c>
      <c r="H32" s="855">
        <f>IFERROR(IF(G32/E32*100&lt;-500,"-",IF(G32/E32*100&gt;500,"-",G32/E32*100)),"-")</f>
        <v>95.985950863549022</v>
      </c>
      <c r="I32" s="855">
        <f>IFERROR((G32-F32)/F32*100,"-")</f>
        <v>16.824202937052458</v>
      </c>
      <c r="J32" s="855"/>
      <c r="K32" s="273"/>
      <c r="M32" s="274"/>
      <c r="N32" s="275"/>
      <c r="O32" s="275"/>
    </row>
    <row r="33" spans="3:12" ht="4.5" customHeight="1">
      <c r="C33" s="848"/>
      <c r="D33" s="700"/>
      <c r="E33" s="700"/>
      <c r="F33" s="700"/>
      <c r="G33" s="700"/>
      <c r="H33" s="849"/>
      <c r="I33" s="849"/>
      <c r="J33" s="849"/>
      <c r="K33" s="57"/>
    </row>
    <row r="34" spans="3:12" s="271" customFormat="1" ht="15" customHeight="1">
      <c r="C34" s="696" t="str">
        <f>IF(Indice_index!$Z$1=1,"Despesa corrente","Current Expenditure")</f>
        <v>Current Expenditure</v>
      </c>
      <c r="D34" s="844">
        <f>+D35+D39+D40+D41+D46+D47+D48</f>
        <v>56311.346025609979</v>
      </c>
      <c r="E34" s="844">
        <f>+E35+E39+E40+E41+E46+E47+E48</f>
        <v>57314.736388999991</v>
      </c>
      <c r="F34" s="844">
        <f>+F35+F39+F40+F41+F46+F47+F48</f>
        <v>50180.474782110003</v>
      </c>
      <c r="G34" s="844">
        <f>+G35+G39+G40+G41+G46+G47+G48</f>
        <v>52656.366734299991</v>
      </c>
      <c r="H34" s="844">
        <f>IFERROR(IF(G34/E34*100&lt;-500,"-",IF(G34/E34*100&gt;500,"-",G34/E34*100)),"-")</f>
        <v>91.872300304963019</v>
      </c>
      <c r="I34" s="844">
        <f t="shared" ref="I34:I47" si="14">IF(IFERROR((G34-F34)/F34*100,"")&gt;500,"-",IFERROR((G34-F34)/F34*100,""))</f>
        <v>4.9339747440426285</v>
      </c>
      <c r="J34" s="844">
        <f t="shared" ref="J34:J46" si="15">IFERROR((G34-F34)/$F$59*100,"-")</f>
        <v>4.6886104182680501</v>
      </c>
      <c r="K34" s="273"/>
    </row>
    <row r="35" spans="3:12" ht="15" customHeight="1">
      <c r="C35" s="845" t="str">
        <f>IF(Indice_index!$Z$1=1,"Despesas com o pessoal","Employees")</f>
        <v>Employees</v>
      </c>
      <c r="D35" s="700">
        <f t="shared" ref="D35:E35" si="16">SUM(D36:D38)</f>
        <v>10187.270213329986</v>
      </c>
      <c r="E35" s="700">
        <f t="shared" si="16"/>
        <v>10016.221926</v>
      </c>
      <c r="F35" s="700">
        <f>SUM(F36:F38)</f>
        <v>9411.2291222199819</v>
      </c>
      <c r="G35" s="700">
        <f t="shared" ref="G35" si="17">SUM(G36:G38)</f>
        <v>9387.3899588499899</v>
      </c>
      <c r="H35" s="849">
        <f t="shared" ref="H35:H56" si="18">IFERROR(IF(G35/E35*100&lt;-500,"-",IF(G35/E35*100&gt;500,"-",G35/E35*100)),"-")</f>
        <v>93.721864673168881</v>
      </c>
      <c r="I35" s="849">
        <f t="shared" si="14"/>
        <v>-0.25330552535064366</v>
      </c>
      <c r="J35" s="849">
        <f t="shared" si="15"/>
        <v>-4.5144356820770552E-2</v>
      </c>
      <c r="K35" s="57"/>
      <c r="L35" s="57"/>
    </row>
    <row r="36" spans="3:12" ht="15" customHeight="1">
      <c r="C36" s="848" t="str">
        <f>IF(Indice_index!$Z$1=1,"Remunerações Certas e Permanentes","Certain and permanent wages")</f>
        <v>Certain and permanent wages</v>
      </c>
      <c r="D36" s="700">
        <v>7352.8066867299895</v>
      </c>
      <c r="E36" s="700">
        <v>7559.328442</v>
      </c>
      <c r="F36" s="700">
        <v>6821.5330501399849</v>
      </c>
      <c r="G36" s="700">
        <v>6808.435388229992</v>
      </c>
      <c r="H36" s="849">
        <f t="shared" si="18"/>
        <v>90.066669816884669</v>
      </c>
      <c r="I36" s="849">
        <f t="shared" si="14"/>
        <v>-0.19200466836005603</v>
      </c>
      <c r="J36" s="849">
        <f t="shared" si="15"/>
        <v>-2.4803115512301237E-2</v>
      </c>
      <c r="K36" s="57"/>
      <c r="L36" s="57"/>
    </row>
    <row r="37" spans="3:12" ht="15" customHeight="1">
      <c r="C37" s="848" t="str">
        <f>IF(Indice_index!$Z$1=1,"Abonos Variáveis ou Eventuais","Variable or contingent bonuses")</f>
        <v>Variable or contingent bonuses</v>
      </c>
      <c r="D37" s="700">
        <v>386.88280049999992</v>
      </c>
      <c r="E37" s="700">
        <v>373.87042400000001</v>
      </c>
      <c r="F37" s="700">
        <v>334.85025766999922</v>
      </c>
      <c r="G37" s="700">
        <v>349.86748387000023</v>
      </c>
      <c r="H37" s="849">
        <f t="shared" si="18"/>
        <v>93.579877254479001</v>
      </c>
      <c r="I37" s="849">
        <f t="shared" si="14"/>
        <v>4.4847587409655647</v>
      </c>
      <c r="J37" s="849">
        <f t="shared" si="15"/>
        <v>2.8438205129482044E-2</v>
      </c>
      <c r="K37" s="57"/>
      <c r="L37" s="57"/>
    </row>
    <row r="38" spans="3:12" ht="15" customHeight="1">
      <c r="C38" s="848" t="str">
        <f>IF(Indice_index!$Z$1=1,"Segurança social","Social security")</f>
        <v>Social security</v>
      </c>
      <c r="D38" s="700">
        <v>2447.5807260999964</v>
      </c>
      <c r="E38" s="700">
        <v>2083.02306</v>
      </c>
      <c r="F38" s="700">
        <v>2254.8458144099968</v>
      </c>
      <c r="G38" s="700">
        <v>2229.087086749998</v>
      </c>
      <c r="H38" s="849">
        <f t="shared" si="18"/>
        <v>107.01211760708966</v>
      </c>
      <c r="I38" s="849">
        <f t="shared" si="14"/>
        <v>-1.1423720192034006</v>
      </c>
      <c r="J38" s="849">
        <f t="shared" si="15"/>
        <v>-4.8779446437948779E-2</v>
      </c>
      <c r="K38" s="57"/>
      <c r="L38" s="57"/>
    </row>
    <row r="39" spans="3:12" ht="15" customHeight="1">
      <c r="C39" s="845" t="str">
        <f>IF(Indice_index!$Z$1=1,"Aquisição de bens e serviços","Purchase of goods and services")</f>
        <v>Purchase of goods and services</v>
      </c>
      <c r="D39" s="700">
        <v>1801.2157903399941</v>
      </c>
      <c r="E39" s="700">
        <v>1842.417768</v>
      </c>
      <c r="F39" s="700">
        <v>1140.6981513400044</v>
      </c>
      <c r="G39" s="700">
        <v>1136.9055099999994</v>
      </c>
      <c r="H39" s="849">
        <f t="shared" si="18"/>
        <v>61.707259327733496</v>
      </c>
      <c r="I39" s="849">
        <f t="shared" si="14"/>
        <v>-0.33248421903285674</v>
      </c>
      <c r="J39" s="849">
        <f t="shared" si="15"/>
        <v>-7.1821460883109024E-3</v>
      </c>
      <c r="K39" s="57"/>
      <c r="L39" s="57"/>
    </row>
    <row r="40" spans="3:12" ht="15" customHeight="1">
      <c r="C40" s="845" t="str">
        <f>IF(Indice_index!$Z$1=1,"Juros e outros encargos","Interests")</f>
        <v>Interests</v>
      </c>
      <c r="D40" s="700">
        <v>6382.38636107</v>
      </c>
      <c r="E40" s="700">
        <v>6275.3246609999997</v>
      </c>
      <c r="F40" s="700">
        <v>6310.8840981200001</v>
      </c>
      <c r="G40" s="700">
        <v>5984.4431324200004</v>
      </c>
      <c r="H40" s="849">
        <f t="shared" si="18"/>
        <v>95.364677617593642</v>
      </c>
      <c r="I40" s="849">
        <f t="shared" si="14"/>
        <v>-5.172666153023564</v>
      </c>
      <c r="J40" s="849">
        <f t="shared" si="15"/>
        <v>-0.61818307999130895</v>
      </c>
      <c r="K40" s="57"/>
      <c r="L40" s="57"/>
    </row>
    <row r="41" spans="3:12" ht="15" customHeight="1">
      <c r="C41" s="845" t="str">
        <f>IF(Indice_index!$Z$1=1,"Transferências correntes","Current transfers")</f>
        <v>Current transfers</v>
      </c>
      <c r="D41" s="700">
        <f t="shared" ref="D41:E41" si="19">SUM(D42:D45)</f>
        <v>37389.805939689992</v>
      </c>
      <c r="E41" s="700">
        <f t="shared" si="19"/>
        <v>37830.540050999996</v>
      </c>
      <c r="F41" s="700">
        <f>SUM(F42:F45)</f>
        <v>32861.245465460015</v>
      </c>
      <c r="G41" s="700">
        <f t="shared" ref="G41" si="20">SUM(G42:G45)</f>
        <v>35584.818835649996</v>
      </c>
      <c r="H41" s="849">
        <f t="shared" si="18"/>
        <v>94.063734717182186</v>
      </c>
      <c r="I41" s="849">
        <f t="shared" si="14"/>
        <v>8.2881014751942068</v>
      </c>
      <c r="J41" s="849">
        <f t="shared" si="15"/>
        <v>5.1576461028903076</v>
      </c>
      <c r="K41" s="57"/>
      <c r="L41" s="57"/>
    </row>
    <row r="42" spans="3:12" ht="15" customHeight="1">
      <c r="C42" s="848" t="str">
        <f>IF(Indice_index!$Z$1=1,"Administração Central","Central Administration")</f>
        <v>Central Administration</v>
      </c>
      <c r="D42" s="700">
        <v>19715.334131929994</v>
      </c>
      <c r="E42" s="700">
        <v>20381.767323000004</v>
      </c>
      <c r="F42" s="700">
        <v>18179.999062210012</v>
      </c>
      <c r="G42" s="700">
        <v>19646.45593543</v>
      </c>
      <c r="H42" s="849">
        <f t="shared" si="18"/>
        <v>96.392308007852506</v>
      </c>
      <c r="I42" s="849">
        <f t="shared" si="14"/>
        <v>8.0663198507432767</v>
      </c>
      <c r="J42" s="849">
        <f t="shared" si="15"/>
        <v>2.7770375713036848</v>
      </c>
      <c r="K42" s="57"/>
      <c r="L42" s="58"/>
    </row>
    <row r="43" spans="3:12" ht="15" customHeight="1">
      <c r="C43" s="848" t="str">
        <f>IF(Indice_index!$Z$1=1,"Outros subsectores das Administrações Públicas","Other General Government subsectors")</f>
        <v>Other General Government subsectors</v>
      </c>
      <c r="D43" s="700">
        <v>14400.708377000003</v>
      </c>
      <c r="E43" s="700">
        <v>13671.139143</v>
      </c>
      <c r="F43" s="700">
        <v>11996.795585800002</v>
      </c>
      <c r="G43" s="700">
        <v>12957.598872319995</v>
      </c>
      <c r="H43" s="849">
        <f t="shared" si="18"/>
        <v>94.780681673879698</v>
      </c>
      <c r="I43" s="849">
        <f t="shared" si="14"/>
        <v>8.0088326890994708</v>
      </c>
      <c r="J43" s="849">
        <f t="shared" si="15"/>
        <v>1.8194785499824357</v>
      </c>
      <c r="K43" s="57"/>
      <c r="L43" s="60"/>
    </row>
    <row r="44" spans="3:12" ht="15" customHeight="1">
      <c r="C44" s="848" t="str">
        <f>IF(Indice_index!$Z$1=1,"União Europeia","European Union")</f>
        <v>European Union</v>
      </c>
      <c r="D44" s="700">
        <v>2699.4576824699993</v>
      </c>
      <c r="E44" s="700">
        <v>2664.1027219999996</v>
      </c>
      <c r="F44" s="700">
        <v>2216.4003755799995</v>
      </c>
      <c r="G44" s="700">
        <v>2452.2559722100004</v>
      </c>
      <c r="H44" s="849">
        <f t="shared" si="18"/>
        <v>92.048101297274258</v>
      </c>
      <c r="I44" s="849">
        <f t="shared" si="14"/>
        <v>10.641380466662346</v>
      </c>
      <c r="J44" s="849">
        <f t="shared" si="15"/>
        <v>0.44664106064406839</v>
      </c>
      <c r="K44" s="57"/>
    </row>
    <row r="45" spans="3:12" ht="15" customHeight="1">
      <c r="C45" s="848" t="str">
        <f>IF(Indice_index!$Z$1=1,"Outras transferências","Other transfers")</f>
        <v>Other transfers</v>
      </c>
      <c r="D45" s="700">
        <v>574.30574829000034</v>
      </c>
      <c r="E45" s="700">
        <v>1113.5308630000004</v>
      </c>
      <c r="F45" s="700">
        <v>468.05044186999976</v>
      </c>
      <c r="G45" s="700">
        <v>528.50805568999886</v>
      </c>
      <c r="H45" s="849">
        <f t="shared" si="18"/>
        <v>47.462362584735892</v>
      </c>
      <c r="I45" s="849">
        <f t="shared" si="14"/>
        <v>12.916901344746748</v>
      </c>
      <c r="J45" s="849">
        <f t="shared" si="15"/>
        <v>0.11448892096011898</v>
      </c>
      <c r="K45" s="57"/>
    </row>
    <row r="46" spans="3:12" ht="15" customHeight="1">
      <c r="C46" s="845" t="str">
        <f>IF(Indice_index!$Z$1=1,"Subsídios","Subsidies")</f>
        <v>Subsidies</v>
      </c>
      <c r="D46" s="700">
        <v>145.60353275000003</v>
      </c>
      <c r="E46" s="700">
        <v>102.26454699999999</v>
      </c>
      <c r="F46" s="700">
        <v>108.29718691000002</v>
      </c>
      <c r="G46" s="700">
        <v>164.15438354000005</v>
      </c>
      <c r="H46" s="849">
        <f t="shared" si="18"/>
        <v>160.51934747239437</v>
      </c>
      <c r="I46" s="849">
        <f t="shared" si="14"/>
        <v>51.577698575328604</v>
      </c>
      <c r="J46" s="849">
        <f t="shared" si="15"/>
        <v>0.10577708523306706</v>
      </c>
      <c r="K46" s="57"/>
      <c r="L46" s="57"/>
    </row>
    <row r="47" spans="3:12" ht="15" customHeight="1">
      <c r="C47" s="845" t="str">
        <f>IF(Indice_index!$Z$1=1,"Outras despesas correntes","Other current expenditure")</f>
        <v>Other current expenditure</v>
      </c>
      <c r="D47" s="700">
        <v>403.26112954999985</v>
      </c>
      <c r="E47" s="700">
        <v>1247.9674359999999</v>
      </c>
      <c r="F47" s="700">
        <v>339.93538963999998</v>
      </c>
      <c r="G47" s="700">
        <v>393.66906934999969</v>
      </c>
      <c r="H47" s="849">
        <f t="shared" si="18"/>
        <v>31.544819038851884</v>
      </c>
      <c r="I47" s="849">
        <f t="shared" si="14"/>
        <v>15.80702726094656</v>
      </c>
      <c r="J47" s="849">
        <f>IFERROR((G47-F47)/$F$59*100,"-")</f>
        <v>0.10175576938134931</v>
      </c>
      <c r="K47" s="57"/>
      <c r="L47" s="57"/>
    </row>
    <row r="48" spans="3:12" ht="15" customHeight="1">
      <c r="C48" s="851" t="str">
        <f>IF(Indice_index!$Z$1=1,"Diferenças de consolidação","Consolidation differences")</f>
        <v>Consolidation differences</v>
      </c>
      <c r="D48" s="700">
        <v>1.8030588800002478</v>
      </c>
      <c r="E48" s="700">
        <v>0</v>
      </c>
      <c r="F48" s="700">
        <v>8.1853684199999748</v>
      </c>
      <c r="G48" s="700">
        <v>4.9858444900000904</v>
      </c>
      <c r="H48" s="849"/>
      <c r="I48" s="849"/>
      <c r="J48" s="849"/>
      <c r="K48" s="57"/>
      <c r="L48" s="57"/>
    </row>
    <row r="49" spans="3:12" s="271" customFormat="1" ht="15" customHeight="1">
      <c r="C49" s="696" t="str">
        <f>IF(Indice_index!$Z$1=1,"Despesa de capital","Capital expenditure")</f>
        <v>Capital expenditure</v>
      </c>
      <c r="D49" s="844">
        <f>+D50+D51+D56+D57</f>
        <v>3234.1108962199992</v>
      </c>
      <c r="E49" s="844">
        <f>+E50+E51+E56+E57</f>
        <v>3262.7407289999996</v>
      </c>
      <c r="F49" s="844">
        <f>+F50+F51+F56+F57</f>
        <v>2626.0442356200001</v>
      </c>
      <c r="G49" s="844">
        <f>+G50+G51+G56+G57</f>
        <v>2167.8928423000007</v>
      </c>
      <c r="H49" s="844">
        <f t="shared" si="18"/>
        <v>66.443920077107691</v>
      </c>
      <c r="I49" s="844">
        <f t="shared" ref="I49:I56" si="21">IF(IFERROR((G49-F49)/F49*100,"")&gt;500,"-",IFERROR((G49-F49)/F49*100,""))</f>
        <v>-17.446446145330505</v>
      </c>
      <c r="J49" s="844">
        <f t="shared" ref="J49:J56" si="22">IFERROR((G49-F49)/$F$59*100,"-")</f>
        <v>-0.8676038524072629</v>
      </c>
      <c r="K49" s="273"/>
    </row>
    <row r="50" spans="3:12" ht="15" customHeight="1">
      <c r="C50" s="845" t="str">
        <f>IF(Indice_index!$Z$1=1,"Investimento","Investment")</f>
        <v>Investment</v>
      </c>
      <c r="D50" s="700">
        <v>680.48988800999905</v>
      </c>
      <c r="E50" s="700">
        <v>1260.250904</v>
      </c>
      <c r="F50" s="700">
        <v>399.17459536000018</v>
      </c>
      <c r="G50" s="700">
        <v>568.76430235000078</v>
      </c>
      <c r="H50" s="702">
        <f t="shared" si="18"/>
        <v>45.131037045461284</v>
      </c>
      <c r="I50" s="702">
        <f t="shared" si="21"/>
        <v>42.485095234343298</v>
      </c>
      <c r="J50" s="849">
        <f t="shared" si="22"/>
        <v>0.32115297532310388</v>
      </c>
      <c r="K50" s="57"/>
      <c r="L50" s="57"/>
    </row>
    <row r="51" spans="3:12" ht="15" customHeight="1">
      <c r="C51" s="845" t="str">
        <f>IF(Indice_index!$Z$1=1,"Transferências de capital","Capital transfers")</f>
        <v>Capital transfers</v>
      </c>
      <c r="D51" s="700">
        <f t="shared" ref="D51:E51" si="23">SUM(D52:D55)</f>
        <v>2519.64963008</v>
      </c>
      <c r="E51" s="700">
        <f t="shared" si="23"/>
        <v>1981.6639210000001</v>
      </c>
      <c r="F51" s="700">
        <f>SUM(F52:F55)</f>
        <v>2199.9627091499997</v>
      </c>
      <c r="G51" s="700">
        <f t="shared" ref="G51" si="24">SUM(G52:G55)</f>
        <v>1587.2728333699999</v>
      </c>
      <c r="H51" s="849">
        <f t="shared" si="18"/>
        <v>80.097983141814495</v>
      </c>
      <c r="I51" s="849">
        <f t="shared" si="21"/>
        <v>-27.85001187664335</v>
      </c>
      <c r="J51" s="849">
        <f t="shared" si="22"/>
        <v>-1.160254239773477</v>
      </c>
      <c r="K51" s="57"/>
      <c r="L51" s="57"/>
    </row>
    <row r="52" spans="3:12" ht="15" customHeight="1">
      <c r="C52" s="848" t="str">
        <f>IF(Indice_index!$Z$1=1,"Administração Central","Central Administration")</f>
        <v>Central Administration</v>
      </c>
      <c r="D52" s="700">
        <v>1891.6418273099998</v>
      </c>
      <c r="E52" s="700">
        <v>1459.703072</v>
      </c>
      <c r="F52" s="700">
        <v>1614.1807154299997</v>
      </c>
      <c r="G52" s="700">
        <v>1108.50933502</v>
      </c>
      <c r="H52" s="849">
        <f t="shared" si="18"/>
        <v>75.940741393466084</v>
      </c>
      <c r="I52" s="849">
        <f t="shared" si="21"/>
        <v>-31.326813384416784</v>
      </c>
      <c r="J52" s="849">
        <f t="shared" si="22"/>
        <v>-0.95759271736926743</v>
      </c>
      <c r="K52" s="57"/>
    </row>
    <row r="53" spans="3:12" ht="15" customHeight="1">
      <c r="C53" s="848" t="str">
        <f>IF(Indice_index!$Z$1=1,"Outros subsectores das Administrações Públicas","Other General Government subsectors")</f>
        <v>Other General Government subsectors</v>
      </c>
      <c r="D53" s="700">
        <v>564.64759928000012</v>
      </c>
      <c r="E53" s="700">
        <v>468.58874500000002</v>
      </c>
      <c r="F53" s="700">
        <v>524.25579248999998</v>
      </c>
      <c r="G53" s="700">
        <v>429.30036150999996</v>
      </c>
      <c r="H53" s="849">
        <f t="shared" si="18"/>
        <v>91.61559386365542</v>
      </c>
      <c r="I53" s="849">
        <f t="shared" si="21"/>
        <v>-18.112423809186861</v>
      </c>
      <c r="J53" s="849">
        <f t="shared" si="22"/>
        <v>-0.17981762999397546</v>
      </c>
      <c r="K53" s="57"/>
    </row>
    <row r="54" spans="3:12" ht="15" customHeight="1">
      <c r="C54" s="848" t="str">
        <f>IF(Indice_index!$Z$1=1,"União Europeia","European Union")</f>
        <v>European Union</v>
      </c>
      <c r="D54" s="700">
        <v>2.1391460000000002</v>
      </c>
      <c r="E54" s="700">
        <v>2.1066099999999999</v>
      </c>
      <c r="F54" s="700">
        <v>2.1391460000000002</v>
      </c>
      <c r="G54" s="700">
        <v>2.1066099999999999</v>
      </c>
      <c r="H54" s="849">
        <f t="shared" si="18"/>
        <v>100</v>
      </c>
      <c r="I54" s="849">
        <f t="shared" si="21"/>
        <v>-1.5209808026193787</v>
      </c>
      <c r="J54" s="849">
        <f t="shared" si="22"/>
        <v>-6.1613604920779288E-5</v>
      </c>
      <c r="K54" s="57"/>
    </row>
    <row r="55" spans="3:12" ht="15" customHeight="1">
      <c r="C55" s="848" t="str">
        <f>IF(Indice_index!$Z$1=1,"Outras transferências","Other transfers")</f>
        <v>Other transfers</v>
      </c>
      <c r="D55" s="700">
        <v>61.221057490000007</v>
      </c>
      <c r="E55" s="700">
        <v>51.265494000000004</v>
      </c>
      <c r="F55" s="700">
        <v>59.387055230000001</v>
      </c>
      <c r="G55" s="700">
        <v>47.356526840000001</v>
      </c>
      <c r="H55" s="849">
        <f t="shared" si="18"/>
        <v>92.3750521939767</v>
      </c>
      <c r="I55" s="849">
        <f t="shared" si="21"/>
        <v>-20.257829493998301</v>
      </c>
      <c r="J55" s="849">
        <f t="shared" si="22"/>
        <v>-2.2782278805313229E-2</v>
      </c>
      <c r="K55" s="57"/>
    </row>
    <row r="56" spans="3:12" ht="15" customHeight="1">
      <c r="C56" s="845" t="str">
        <f>IF(Indice_index!$Z$1=1,"Outras despesas de capital","Other capital expenditure")</f>
        <v>Other capital expenditure</v>
      </c>
      <c r="D56" s="700">
        <v>33.971378130000005</v>
      </c>
      <c r="E56" s="700">
        <v>20.825904000000001</v>
      </c>
      <c r="F56" s="700">
        <v>26.906931109999999</v>
      </c>
      <c r="G56" s="700">
        <v>10.729498660000003</v>
      </c>
      <c r="H56" s="702">
        <f t="shared" si="18"/>
        <v>51.519966000035353</v>
      </c>
      <c r="I56" s="702">
        <f t="shared" si="21"/>
        <v>-60.123662501174771</v>
      </c>
      <c r="J56" s="849">
        <f t="shared" si="22"/>
        <v>-3.0635294185114452E-2</v>
      </c>
      <c r="K56" s="57"/>
    </row>
    <row r="57" spans="3:12" ht="15" customHeight="1">
      <c r="C57" s="851" t="str">
        <f>IF(Indice_index!$Z$1=1,"Diferenças de consolidação","Consolidation differences")</f>
        <v>Consolidation differences</v>
      </c>
      <c r="D57" s="700">
        <v>0</v>
      </c>
      <c r="E57" s="700">
        <v>0</v>
      </c>
      <c r="F57" s="700">
        <v>0</v>
      </c>
      <c r="G57" s="700">
        <v>1.1262079200000006</v>
      </c>
      <c r="H57" s="849"/>
      <c r="I57" s="849"/>
      <c r="J57" s="849"/>
      <c r="K57" s="57"/>
      <c r="L57" s="57"/>
    </row>
    <row r="58" spans="3:12" ht="4.5" customHeight="1">
      <c r="C58" s="845"/>
      <c r="D58" s="1067"/>
      <c r="E58" s="1067"/>
      <c r="F58" s="1067"/>
      <c r="G58" s="1067"/>
      <c r="H58" s="1068"/>
      <c r="I58" s="1068"/>
      <c r="J58" s="1068"/>
      <c r="K58" s="57"/>
    </row>
    <row r="59" spans="3:12" s="271" customFormat="1" ht="15" customHeight="1">
      <c r="C59" s="854" t="str">
        <f>IF(Indice_index!$Z$1=1,"Despesa efetiva","Effective Expenditure")</f>
        <v>Effective Expenditure</v>
      </c>
      <c r="D59" s="1069">
        <f>+D34+D49</f>
        <v>59545.45692182998</v>
      </c>
      <c r="E59" s="1069">
        <f>+E34+E49</f>
        <v>60577.477117999988</v>
      </c>
      <c r="F59" s="1069">
        <f>+F34+F49</f>
        <v>52806.519017730003</v>
      </c>
      <c r="G59" s="1069">
        <f>+G34+G49</f>
        <v>54824.259576599994</v>
      </c>
      <c r="H59" s="855">
        <f>IFERROR(IF(G59/E59*100&lt;-500,"-",IF(G59/E59*100&gt;500,"-",G59/E59*100)),"-")</f>
        <v>90.502711873930977</v>
      </c>
      <c r="I59" s="855">
        <f>IFERROR((G59-F59)/F59*100,"-")</f>
        <v>3.8210065658607921</v>
      </c>
      <c r="J59" s="855"/>
      <c r="K59" s="273"/>
      <c r="L59" s="273"/>
    </row>
    <row r="60" spans="3:12" ht="4.5" customHeight="1">
      <c r="C60" s="1070"/>
      <c r="D60" s="700"/>
      <c r="E60" s="700"/>
      <c r="F60" s="700"/>
      <c r="G60" s="700"/>
      <c r="H60" s="700"/>
      <c r="I60" s="700"/>
      <c r="J60" s="700"/>
      <c r="K60" s="57"/>
    </row>
    <row r="61" spans="3:12" s="271" customFormat="1" ht="15" customHeight="1">
      <c r="C61" s="854" t="str">
        <f>IF(Indice_index!$Z$1=1,"Saldo global","Overall Balance")</f>
        <v>Overall Balance</v>
      </c>
      <c r="D61" s="855">
        <f>+D32-D59</f>
        <v>-9471.3255157399763</v>
      </c>
      <c r="E61" s="855">
        <f>+E32-E59</f>
        <v>-6859.8932199999908</v>
      </c>
      <c r="F61" s="855">
        <f>+F32-F59</f>
        <v>-8670.6872387600088</v>
      </c>
      <c r="G61" s="855">
        <f>+G32-G59</f>
        <v>-3262.9258911799989</v>
      </c>
      <c r="H61" s="855"/>
      <c r="I61" s="855"/>
      <c r="J61" s="855"/>
      <c r="K61" s="273"/>
    </row>
    <row r="62" spans="3:12" ht="4.5" customHeight="1">
      <c r="C62" s="1071"/>
      <c r="D62" s="1071"/>
      <c r="E62" s="1071"/>
      <c r="F62" s="700"/>
      <c r="H62" s="700"/>
      <c r="I62" s="700"/>
      <c r="J62" s="700"/>
      <c r="K62" s="57"/>
    </row>
    <row r="63" spans="3:12" ht="15" customHeight="1">
      <c r="C63" s="845" t="str">
        <f>IF(Indice_index!$Z$1=1,"Despesa  primária","Primary Expenditure")</f>
        <v>Primary Expenditure</v>
      </c>
      <c r="D63" s="700">
        <f>+D59-D40</f>
        <v>53163.070560759981</v>
      </c>
      <c r="E63" s="700">
        <f>+E59-E40</f>
        <v>54302.152456999989</v>
      </c>
      <c r="F63" s="700">
        <f>+F59-F40</f>
        <v>46495.634919610005</v>
      </c>
      <c r="G63" s="700">
        <f>+G59-G40</f>
        <v>48839.816444179996</v>
      </c>
      <c r="H63" s="849">
        <f>IFERROR(IF(G63/E63*100&lt;-500,"-",IF(G63/E63*100&gt;500,"-",G63/E63*100)),"-")</f>
        <v>89.940848077531683</v>
      </c>
      <c r="I63" s="849">
        <f t="shared" ref="I63" si="25">IF(IFERROR((G63-F63)/F63*100,"")&gt;500,"-",IFERROR((G63-F63)/F63*100,""))</f>
        <v>5.0417238706881458</v>
      </c>
      <c r="J63" s="700"/>
      <c r="K63" s="61"/>
    </row>
    <row r="64" spans="3:12" ht="15" customHeight="1">
      <c r="C64" s="1072" t="str">
        <f>IF(Indice_index!$Z$1=1,"Saldo corrente","Current balance")</f>
        <v>Current balance</v>
      </c>
      <c r="D64" s="700">
        <f>+D9-D34</f>
        <v>-6321.9823134799735</v>
      </c>
      <c r="E64" s="700">
        <f>+E9-E34</f>
        <v>-4127.2261309999958</v>
      </c>
      <c r="F64" s="700">
        <f>+F9-F34</f>
        <v>-6124.2122004600096</v>
      </c>
      <c r="G64" s="700">
        <f>+G9-G34</f>
        <v>-1412.1900640999957</v>
      </c>
      <c r="H64" s="849"/>
      <c r="I64" s="849"/>
      <c r="J64" s="700"/>
      <c r="K64" s="57"/>
    </row>
    <row r="65" spans="3:17" ht="15" customHeight="1">
      <c r="C65" s="1073" t="str">
        <f>IF(Indice_index!$Z$1=1,"Saldo de capital","Capital balance")</f>
        <v>Capital balance</v>
      </c>
      <c r="D65" s="701">
        <f>+D22-D49</f>
        <v>-3149.3432022599991</v>
      </c>
      <c r="E65" s="701">
        <f>+E22-E49</f>
        <v>-2732.6670889999996</v>
      </c>
      <c r="F65" s="701">
        <f>+F22-F49</f>
        <v>-2546.4750383000001</v>
      </c>
      <c r="G65" s="701">
        <f>+G22-G49</f>
        <v>-1850.7358270800007</v>
      </c>
      <c r="H65" s="849"/>
      <c r="I65" s="849"/>
      <c r="J65" s="701"/>
      <c r="K65" s="57"/>
    </row>
    <row r="66" spans="3:17" ht="15" customHeight="1">
      <c r="C66" s="1072" t="str">
        <f>IF(Indice_index!$Z$1=1,"Saldo primário","Primary balance")</f>
        <v>Primary balance</v>
      </c>
      <c r="D66" s="700">
        <f>+D61+D40</f>
        <v>-3088.9391546699762</v>
      </c>
      <c r="E66" s="700">
        <f>+E61+E40</f>
        <v>-584.56855899999118</v>
      </c>
      <c r="F66" s="700">
        <f>+F61+F40</f>
        <v>-2359.8031406400087</v>
      </c>
      <c r="G66" s="700">
        <f>+G61+G40</f>
        <v>2721.5172412400016</v>
      </c>
      <c r="H66" s="849"/>
      <c r="I66" s="849"/>
      <c r="J66" s="700"/>
      <c r="K66" s="57"/>
    </row>
    <row r="67" spans="3:17" ht="4.5" customHeight="1">
      <c r="C67" s="135"/>
      <c r="D67" s="701"/>
      <c r="E67" s="701"/>
      <c r="F67" s="701"/>
      <c r="G67" s="701"/>
      <c r="H67" s="701"/>
      <c r="I67" s="701"/>
      <c r="J67" s="701"/>
      <c r="K67" s="57"/>
    </row>
    <row r="68" spans="3:17" ht="15" customHeight="1">
      <c r="C68" s="135" t="str">
        <f>IF(Indice_index!$Z$1=1,"Ativos financeiros líquidos de reembolsos","Financial assets net of reimbursements")</f>
        <v>Financial assets net of reimbursements</v>
      </c>
      <c r="D68" s="700">
        <f>4944.98849095-D71-D70</f>
        <v>4301.2560277199991</v>
      </c>
      <c r="E68" s="700">
        <f>11838.23886-E71-E70</f>
        <v>8490.9918880000005</v>
      </c>
      <c r="F68" s="700">
        <f>2967.17370351-F71-F70</f>
        <v>2476.1820231199999</v>
      </c>
      <c r="G68" s="700">
        <f>1882.23503774-G71-G70</f>
        <v>1608.93249461</v>
      </c>
      <c r="H68" s="700"/>
      <c r="I68" s="700"/>
      <c r="J68" s="700"/>
      <c r="K68" s="57"/>
      <c r="M68" s="58"/>
      <c r="N68" s="58"/>
    </row>
    <row r="69" spans="3:17" ht="15" customHeight="1">
      <c r="C69" s="856" t="str">
        <f>IF(Indice_index!$Z$1=1,"dos quais Receitas de:","of which revenue from:")</f>
        <v>of which revenue from:</v>
      </c>
      <c r="D69" s="700"/>
      <c r="E69" s="700"/>
      <c r="F69" s="701"/>
      <c r="G69" s="700"/>
      <c r="H69" s="700"/>
      <c r="I69" s="700"/>
      <c r="J69" s="700"/>
      <c r="K69" s="57"/>
      <c r="M69" s="58"/>
      <c r="N69" s="58"/>
    </row>
    <row r="70" spans="3:17" ht="15" customHeight="1">
      <c r="C70" s="857" t="str">
        <f>IF(Indice_index!$Z$1=1,"Alienação de partes de Capital","Disposal of Capital Shares")</f>
        <v>Disposal of Capital Shares</v>
      </c>
      <c r="D70" s="701">
        <f>+'8 - R_Est'!D65</f>
        <v>1.3794E-4</v>
      </c>
      <c r="E70" s="701">
        <f>+'8 - R_Est'!E65</f>
        <v>0</v>
      </c>
      <c r="F70" s="701">
        <f>+'8 - R_Est'!F65</f>
        <v>1.3794E-4</v>
      </c>
      <c r="G70" s="701">
        <f>+'8 - R_Est'!G65</f>
        <v>0</v>
      </c>
      <c r="H70" s="849"/>
      <c r="I70" s="849">
        <f t="shared" ref="I70:I71" si="26">IF(IFERROR((G70-F70)/F70*100,"")&gt;500,"-",IFERROR((G70-F70)/F70*100,""))</f>
        <v>-100</v>
      </c>
      <c r="J70" s="700"/>
      <c r="K70" s="57"/>
      <c r="M70" s="678"/>
      <c r="N70" s="678"/>
    </row>
    <row r="71" spans="3:17" ht="15" customHeight="1">
      <c r="C71" s="858" t="str">
        <f>IF(Indice_index!$Z$1=1,"Outros Ativos","Other Assets")</f>
        <v>Other Assets</v>
      </c>
      <c r="D71" s="701">
        <f>+'8 - R_Est'!D66</f>
        <v>643.73232529000006</v>
      </c>
      <c r="E71" s="701">
        <f>+'8 - R_Est'!E66</f>
        <v>3347.2469719999999</v>
      </c>
      <c r="F71" s="701">
        <f>+'8 - R_Est'!F66</f>
        <v>490.99154245</v>
      </c>
      <c r="G71" s="701">
        <f>+'8 - R_Est'!G66</f>
        <v>273.30254313</v>
      </c>
      <c r="H71" s="702"/>
      <c r="I71" s="702">
        <f t="shared" si="26"/>
        <v>-44.336608780215045</v>
      </c>
      <c r="J71" s="701"/>
      <c r="K71" s="57"/>
      <c r="M71" s="58"/>
      <c r="N71" s="58"/>
    </row>
    <row r="72" spans="3:17" ht="15" customHeight="1">
      <c r="C72" s="1074" t="str">
        <f>IF(Indice_index!$Z$1=1,"Passivos financeiros líquidos de amortizações","Financial liabilities net of amortizations")</f>
        <v>Financial liabilities net of amortizations</v>
      </c>
      <c r="D72" s="1075">
        <f>+'8 - R_Est'!D67-49865.83276538</f>
        <v>13779.601644429997</v>
      </c>
      <c r="E72" s="1075">
        <f>+'8 - R_Est'!E67-83676</f>
        <v>15350.885108000002</v>
      </c>
      <c r="F72" s="1075">
        <f>+'8 - R_Est'!F67-46174.533232</f>
        <v>3147.8931391199949</v>
      </c>
      <c r="G72" s="1075">
        <f>+'8 - R_Est'!G67-53418.261612</f>
        <v>-7597.5272704000017</v>
      </c>
      <c r="H72" s="1075"/>
      <c r="I72" s="1075"/>
      <c r="J72" s="1075"/>
      <c r="K72" s="57"/>
      <c r="M72" s="58"/>
      <c r="N72" s="58"/>
    </row>
    <row r="73" spans="3:17" ht="4.5" customHeight="1">
      <c r="K73" s="57"/>
    </row>
    <row r="74" spans="3:17" ht="15" customHeight="1">
      <c r="C74" s="1035" t="str">
        <f>IF(Indice_index!$Z$1=1,"Nota:","Note:")</f>
        <v>Note:</v>
      </c>
      <c r="K74" s="57"/>
    </row>
    <row r="75" spans="3:17" s="22" customFormat="1" ht="12.75" customHeight="1">
      <c r="C75" s="1705" t="str">
        <f>+'5 - Conta AC + SS'!$C$64</f>
        <v>2021 cumulative execution is monthly reviewed and updated and therefore may differ from data published in 2021.</v>
      </c>
      <c r="D75" s="1705"/>
      <c r="E75" s="1705"/>
      <c r="F75" s="1705"/>
      <c r="G75" s="1705"/>
      <c r="H75" s="1705"/>
      <c r="I75" s="1705"/>
      <c r="J75" s="1705"/>
      <c r="K75" s="62"/>
      <c r="P75" s="24"/>
      <c r="Q75" s="24"/>
    </row>
    <row r="76" spans="3:17" s="22" customFormat="1" ht="26.25" customHeight="1">
      <c r="C76" s="1694" t="str">
        <f>IF(Indice_index!$Z$1=1,C87,C88)</f>
        <v>Due to technical reasons, the budget implementation data regarding the Air Force for November 2021, was not fully transposed from the local to the central budget information systems. The required information was later sent by the aforementioned entity.</v>
      </c>
      <c r="D76" s="1694"/>
      <c r="E76" s="1694"/>
      <c r="F76" s="1694"/>
      <c r="G76" s="1694"/>
      <c r="H76" s="1694"/>
      <c r="I76" s="1694"/>
      <c r="J76" s="1694"/>
      <c r="K76" s="62"/>
      <c r="P76" s="24"/>
      <c r="Q76" s="24"/>
    </row>
    <row r="77" spans="3:17" s="22" customFormat="1" ht="34.5" customHeight="1">
      <c r="C77" s="1694" t="str">
        <f>IF(Indice_index!$Z$1=1,C89,C90)</f>
        <v>The November 2022 period is adjusted for payments made by the Directorate-General of the Treasury and Finance relating to the AUTOvoucher programme. In order to include this expense in measure 103 "Impact of the geopolitical shock", it was necessary to carry out a reversal procedure which, for technical reasons, it was not possible to complete before the end of the period, making it impossible to re-register this expense in the budget systems.</v>
      </c>
      <c r="D77" s="1694"/>
      <c r="E77" s="1694"/>
      <c r="F77" s="1694"/>
      <c r="G77" s="1694"/>
      <c r="H77" s="1694"/>
      <c r="I77" s="1694"/>
      <c r="J77" s="1694"/>
      <c r="K77" s="62"/>
      <c r="P77" s="24"/>
      <c r="Q77" s="24"/>
    </row>
    <row r="78" spans="3:17" ht="15" customHeight="1">
      <c r="C78" s="135" t="str">
        <f>IF(Indice_index!$Z$1=1,"Fonte: Direção-Geral do Orçamento","Source: Budget General Directorate")</f>
        <v>Source: Budget General Directorate</v>
      </c>
      <c r="D78" s="135"/>
      <c r="E78" s="135"/>
      <c r="F78" s="675"/>
    </row>
    <row r="79" spans="3:17">
      <c r="F79" s="675"/>
      <c r="G79" s="58"/>
    </row>
    <row r="80" spans="3:17" s="378" customFormat="1" ht="11.25" customHeight="1">
      <c r="C80" s="513"/>
      <c r="D80" s="513"/>
      <c r="E80" s="513"/>
      <c r="F80" s="374"/>
      <c r="G80" s="374"/>
    </row>
    <row r="81" spans="2:7" s="101" customFormat="1">
      <c r="C81" s="105"/>
      <c r="D81" s="105"/>
      <c r="E81" s="105"/>
      <c r="G81" s="374"/>
    </row>
    <row r="82" spans="2:7" s="101" customFormat="1">
      <c r="C82" s="105"/>
      <c r="D82" s="105"/>
      <c r="E82" s="105"/>
      <c r="G82" s="374"/>
    </row>
    <row r="83" spans="2:7" s="101" customFormat="1">
      <c r="C83" s="105"/>
      <c r="D83" s="105"/>
      <c r="E83" s="105"/>
      <c r="G83" s="374"/>
    </row>
    <row r="84" spans="2:7" s="101" customFormat="1">
      <c r="C84" s="105"/>
      <c r="D84" s="105"/>
      <c r="E84" s="105"/>
      <c r="G84" s="374"/>
    </row>
    <row r="85" spans="2:7" s="101" customFormat="1">
      <c r="C85" s="105"/>
      <c r="D85" s="105"/>
      <c r="E85" s="105"/>
      <c r="G85" s="374"/>
    </row>
    <row r="86" spans="2:7" s="101" customFormat="1">
      <c r="C86" s="356"/>
      <c r="D86" s="105"/>
      <c r="E86" s="105"/>
      <c r="G86" s="374"/>
    </row>
    <row r="87" spans="2:7" s="99" customFormat="1">
      <c r="C87" s="356" t="s">
        <v>601</v>
      </c>
      <c r="D87" s="356"/>
      <c r="E87" s="356"/>
      <c r="G87" s="1064"/>
    </row>
    <row r="88" spans="2:7" s="99" customFormat="1">
      <c r="C88" s="356" t="s">
        <v>602</v>
      </c>
      <c r="D88" s="356"/>
      <c r="E88" s="356"/>
      <c r="F88" s="1064"/>
      <c r="G88" s="1064"/>
    </row>
    <row r="89" spans="2:7" s="99" customFormat="1">
      <c r="C89" s="356" t="s">
        <v>603</v>
      </c>
      <c r="D89" s="356"/>
      <c r="E89" s="356"/>
      <c r="G89" s="1064"/>
    </row>
    <row r="90" spans="2:7" s="99" customFormat="1">
      <c r="C90" s="356" t="s">
        <v>604</v>
      </c>
      <c r="D90" s="356"/>
      <c r="E90" s="356"/>
      <c r="G90" s="1064"/>
    </row>
    <row r="91" spans="2:7" s="101" customFormat="1">
      <c r="C91" s="105"/>
      <c r="D91" s="105"/>
      <c r="E91" s="105"/>
      <c r="G91" s="374"/>
    </row>
    <row r="92" spans="2:7" s="101" customFormat="1">
      <c r="C92" s="105"/>
      <c r="D92" s="105"/>
      <c r="E92" s="105"/>
      <c r="G92" s="374"/>
    </row>
    <row r="93" spans="2:7" s="101" customFormat="1">
      <c r="C93" s="105"/>
      <c r="D93" s="105"/>
      <c r="E93" s="105"/>
      <c r="G93" s="374"/>
    </row>
    <row r="94" spans="2:7" s="101" customFormat="1">
      <c r="C94" s="105"/>
      <c r="D94" s="105"/>
      <c r="E94" s="105"/>
      <c r="G94" s="374"/>
    </row>
    <row r="95" spans="2:7" s="105" customFormat="1">
      <c r="B95" s="101"/>
      <c r="F95" s="101"/>
      <c r="G95" s="374"/>
    </row>
    <row r="96" spans="2:7" s="105" customFormat="1">
      <c r="B96" s="101"/>
      <c r="C96" s="461"/>
      <c r="F96" s="101"/>
      <c r="G96" s="374"/>
    </row>
    <row r="97" spans="3:7" s="101" customFormat="1">
      <c r="C97" s="105"/>
      <c r="D97" s="105"/>
      <c r="E97" s="105"/>
      <c r="G97" s="374"/>
    </row>
    <row r="98" spans="3:7">
      <c r="G98" s="58"/>
    </row>
    <row r="99" spans="3:7">
      <c r="G99" s="58"/>
    </row>
    <row r="100" spans="3:7">
      <c r="G100" s="58"/>
    </row>
    <row r="101" spans="3:7">
      <c r="G101" s="58"/>
    </row>
    <row r="102" spans="3:7">
      <c r="G102" s="58"/>
    </row>
    <row r="103" spans="3:7">
      <c r="G103" s="58"/>
    </row>
    <row r="104" spans="3:7">
      <c r="G104" s="58"/>
    </row>
    <row r="105" spans="3:7">
      <c r="G105" s="58"/>
    </row>
  </sheetData>
  <mergeCells count="5">
    <mergeCell ref="F6:G6"/>
    <mergeCell ref="I6:J6"/>
    <mergeCell ref="C75:J75"/>
    <mergeCell ref="C76:J76"/>
    <mergeCell ref="C77:J77"/>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5 I6:I7 J6:J7 D6:E6" unlockedFormula="1"/>
    <ignoredError sqref="F49:G49 E35:G35 E41:G41 E51:G51 D35 D41 D49 D51" formulaRange="1"/>
    <ignoredError sqref="D7:E7" numberStoredAsText="1" unlockedFormula="1"/>
    <ignoredError sqref="F7:H7" numberStoredAsText="1"/>
  </ignoredError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2"/>
  <dimension ref="B1:P91"/>
  <sheetViews>
    <sheetView showGridLines="0" zoomScaleNormal="100" zoomScaleSheetLayoutView="100" workbookViewId="0">
      <selection activeCell="B2" sqref="B2"/>
    </sheetView>
  </sheetViews>
  <sheetFormatPr defaultColWidth="9.1796875" defaultRowHeight="10.5"/>
  <cols>
    <col min="1" max="1" width="3" style="63" customWidth="1"/>
    <col min="2" max="2" width="4.453125" style="63" customWidth="1"/>
    <col min="3" max="3" width="43.453125" style="63" customWidth="1"/>
    <col min="4" max="10" width="9.453125" style="63" customWidth="1"/>
    <col min="11" max="11" width="8.54296875" style="63" customWidth="1"/>
    <col min="12" max="12" width="13.81640625" style="63" customWidth="1"/>
    <col min="13" max="16384" width="9.1796875" style="63"/>
  </cols>
  <sheetData>
    <row r="1" spans="2:16" s="50" customFormat="1" ht="15" customHeight="1">
      <c r="B1" s="49"/>
      <c r="C1" s="49"/>
      <c r="D1" s="49"/>
      <c r="E1" s="49"/>
    </row>
    <row r="2" spans="2:16" ht="24" customHeight="1">
      <c r="B2" s="8"/>
      <c r="C2" s="51" t="str">
        <f>IF(Indice_index!$Z$1=1,"8 - Receita do Estado","8 - State Revenue")</f>
        <v>8 - State Revenue</v>
      </c>
      <c r="D2" s="51"/>
      <c r="E2" s="51"/>
      <c r="F2" s="51"/>
      <c r="G2" s="51"/>
      <c r="H2" s="51"/>
      <c r="I2" s="51"/>
      <c r="J2" s="51"/>
      <c r="K2" s="52"/>
    </row>
    <row r="3" spans="2:16" ht="15" customHeight="1">
      <c r="C3" s="64"/>
      <c r="D3" s="64"/>
      <c r="E3" s="64"/>
      <c r="F3" s="64"/>
      <c r="G3" s="64"/>
      <c r="H3" s="64"/>
      <c r="I3" s="64"/>
    </row>
    <row r="4" spans="2:16" ht="15" customHeight="1">
      <c r="C4" s="65"/>
      <c r="D4" s="65"/>
      <c r="E4" s="65"/>
      <c r="F4" s="64"/>
      <c r="G4" s="64"/>
      <c r="H4" s="64"/>
      <c r="I4" s="64"/>
    </row>
    <row r="5" spans="2:16" s="277" customFormat="1" ht="15" customHeight="1">
      <c r="C5" s="696" t="str">
        <f>+'5 - Conta AC + SS'!C5</f>
        <v>Period: January to November</v>
      </c>
      <c r="D5" s="696"/>
      <c r="E5" s="696"/>
      <c r="F5" s="810"/>
      <c r="G5" s="271"/>
      <c r="H5" s="271"/>
      <c r="I5" s="271"/>
      <c r="J5" s="811" t="str">
        <f>IF(Indice_index!$Z$1=1,"€ Milhões","€ Millions")</f>
        <v>€ Millions</v>
      </c>
      <c r="K5" s="272"/>
    </row>
    <row r="6" spans="2:16" ht="33" customHeight="1">
      <c r="C6" s="812"/>
      <c r="D6" s="813" t="str">
        <f>IF(Indice_index!$Z$1=1,"CGE","Final execution")</f>
        <v>Final execution</v>
      </c>
      <c r="E6" s="813" t="str">
        <f>IF(Indice_index!$Z$1=1,"Orçamento Inicial","Budget")</f>
        <v>Budget</v>
      </c>
      <c r="F6" s="1711" t="str">
        <f>IF(Indice_index!$Z$1=1,"Execução Acumulada","Accumulated Execution")</f>
        <v>Accumulated Execution</v>
      </c>
      <c r="G6" s="1712" t="str">
        <f>IF(Indice_index!$Z$1=1,"Execução","Execution")</f>
        <v>Execution</v>
      </c>
      <c r="H6" s="813" t="str">
        <f>IF(Indice_index!$Z$1=1,"Grau de Execução (%)","Execution Degree (%)")</f>
        <v>Execution Degree (%)</v>
      </c>
      <c r="I6" s="1707" t="str">
        <f>IF(Indice_index!$Z$1=1,"Variação Homóloga Acumulada","YOY Change Rate")</f>
        <v>YOY Change Rate</v>
      </c>
      <c r="J6" s="1708"/>
      <c r="K6" s="55"/>
    </row>
    <row r="7" spans="2:16" ht="31.5" customHeight="1">
      <c r="C7" s="814"/>
      <c r="D7" s="815" t="s">
        <v>67</v>
      </c>
      <c r="E7" s="815" t="s">
        <v>73</v>
      </c>
      <c r="F7" s="816" t="s">
        <v>67</v>
      </c>
      <c r="G7" s="816" t="s">
        <v>73</v>
      </c>
      <c r="H7" s="817" t="s">
        <v>73</v>
      </c>
      <c r="I7" s="818" t="str">
        <f>IF(Indice_index!$Z$1=1,"Relativa (%)","Relative change (%)")</f>
        <v>Relative change (%)</v>
      </c>
      <c r="J7" s="819" t="str">
        <f>IF(Indice_index!$Z$1=1,"Contributo VHA  (p.p.)","YOY Change Rate Contrib. (p.p.)")</f>
        <v>YOY Change Rate Contrib. (p.p.)</v>
      </c>
      <c r="K7" s="55"/>
    </row>
    <row r="8" spans="2:16" ht="4.5" customHeight="1">
      <c r="C8" s="66"/>
      <c r="D8" s="66"/>
      <c r="E8" s="66"/>
      <c r="F8" s="820"/>
      <c r="G8" s="820"/>
      <c r="H8" s="820"/>
      <c r="I8" s="820"/>
      <c r="J8" s="66"/>
      <c r="K8" s="66"/>
    </row>
    <row r="9" spans="2:16" s="277" customFormat="1" ht="15" customHeight="1">
      <c r="C9" s="821" t="str">
        <f>IF(Indice_index!$Z$1=1,"Receita fiscal","Tax revenue")</f>
        <v>Tax revenue</v>
      </c>
      <c r="D9" s="278">
        <f>SUM(D10,D14)</f>
        <v>45591.223834090008</v>
      </c>
      <c r="E9" s="278">
        <f>SUM(E10,E14)</f>
        <v>48591.105513000002</v>
      </c>
      <c r="F9" s="278">
        <f>SUM(F10,F14)</f>
        <v>40305.956225230002</v>
      </c>
      <c r="G9" s="278">
        <f>SUM(G10,G14)</f>
        <v>47359.001035519999</v>
      </c>
      <c r="H9" s="278">
        <f>IFERROR(IF(G9/E9*100&lt;-500,"-",IF(G9/E9*100&gt;500,"-",G9/E9*100)),"-")</f>
        <v>97.464341540551345</v>
      </c>
      <c r="I9" s="278">
        <f t="shared" ref="I9:I22" si="0">IF(IFERROR((G9-F9)/F9*100,"")&gt;500,"-",IFERROR((G9-F9)/F9*100,""))</f>
        <v>17.498765618851785</v>
      </c>
      <c r="J9" s="278">
        <f t="shared" ref="J9:J22" si="1">IFERROR((G9-F9)/$F$62*100,"-")</f>
        <v>15.980314692178652</v>
      </c>
      <c r="K9" s="278"/>
      <c r="L9" s="279"/>
      <c r="M9" s="273"/>
      <c r="N9" s="273"/>
      <c r="O9" s="273"/>
      <c r="P9" s="273"/>
    </row>
    <row r="10" spans="2:16" ht="15" customHeight="1">
      <c r="C10" s="697" t="str">
        <f>IF(Indice_index!$Z$1=1,"Impostos Diretos","Direct taxes")</f>
        <v>Direct taxes</v>
      </c>
      <c r="D10" s="71">
        <f t="shared" ref="D10:G10" si="2">SUM(D11:D13)</f>
        <v>19956.94299525</v>
      </c>
      <c r="E10" s="71">
        <f t="shared" si="2"/>
        <v>20904.899710000002</v>
      </c>
      <c r="F10" s="71">
        <f t="shared" si="2"/>
        <v>16644.14793621</v>
      </c>
      <c r="G10" s="71">
        <f t="shared" si="2"/>
        <v>20659.39178826</v>
      </c>
      <c r="H10" s="71">
        <f t="shared" ref="H10:H60" si="3">IFERROR(IF(G10/E10*100&lt;-500,"-",IF(G10/E10*100&gt;500,"-",G10/E10*100)),"-")</f>
        <v>98.825596270990189</v>
      </c>
      <c r="I10" s="822">
        <f t="shared" si="0"/>
        <v>24.124057701474033</v>
      </c>
      <c r="J10" s="68">
        <f t="shared" si="1"/>
        <v>9.0974695393940603</v>
      </c>
      <c r="K10" s="68"/>
      <c r="L10" s="69"/>
      <c r="M10" s="65"/>
      <c r="N10" s="65"/>
      <c r="O10" s="65"/>
      <c r="P10" s="65"/>
    </row>
    <row r="11" spans="2:16" ht="15" customHeight="1">
      <c r="C11" s="698" t="str">
        <f>IF(Indice_index!$Z$1=1,"Imposto sobre o Rendimento Pessoas Singulares (IRS)","Personal income tax (IRS)")</f>
        <v>Personal income tax (IRS)</v>
      </c>
      <c r="D11" s="71">
        <v>14534.07338527</v>
      </c>
      <c r="E11" s="71">
        <v>15202.600006000001</v>
      </c>
      <c r="F11" s="71">
        <v>12708.31886281</v>
      </c>
      <c r="G11" s="71">
        <v>13847.969785339999</v>
      </c>
      <c r="H11" s="71">
        <f>IFERROR(IF(G11/E11*100&lt;-500,"-",IF(G11/E11*100&gt;500,"-",G11/E11*100)),"-")</f>
        <v>91.089483245462162</v>
      </c>
      <c r="I11" s="822">
        <f t="shared" si="0"/>
        <v>8.9677551754316447</v>
      </c>
      <c r="J11" s="68">
        <f t="shared" si="1"/>
        <v>2.5821444313937789</v>
      </c>
      <c r="K11" s="68"/>
      <c r="L11" s="69"/>
      <c r="M11" s="65"/>
      <c r="N11" s="65"/>
      <c r="O11" s="65"/>
      <c r="P11" s="65"/>
    </row>
    <row r="12" spans="2:16" ht="15" customHeight="1">
      <c r="C12" s="698" t="str">
        <f>IF(Indice_index!$Z$1=1,"Imposto sobre o Rendimento Pessoas Coletivas (IRC)","Corporate income tax (IRC)")</f>
        <v>Corporate income tax (IRC)</v>
      </c>
      <c r="D12" s="71">
        <v>4933.5586337100003</v>
      </c>
      <c r="E12" s="71">
        <v>5211.299704</v>
      </c>
      <c r="F12" s="71">
        <v>3502.2047546399999</v>
      </c>
      <c r="G12" s="71">
        <v>6325.4050844200001</v>
      </c>
      <c r="H12" s="71">
        <f t="shared" si="3"/>
        <v>121.37864724158646</v>
      </c>
      <c r="I12" s="822">
        <f t="shared" si="0"/>
        <v>80.612086601721373</v>
      </c>
      <c r="J12" s="68">
        <f t="shared" si="1"/>
        <v>6.3966174783301781</v>
      </c>
      <c r="K12" s="68"/>
      <c r="L12" s="65"/>
      <c r="M12" s="65"/>
      <c r="N12" s="65"/>
      <c r="O12" s="65"/>
      <c r="P12" s="65"/>
    </row>
    <row r="13" spans="2:16" ht="15" customHeight="1">
      <c r="C13" s="698" t="str">
        <f>IF(Indice_index!$Z$1=1,"Outros","Others")</f>
        <v>Others</v>
      </c>
      <c r="D13" s="71">
        <v>489.31097627000003</v>
      </c>
      <c r="E13" s="71">
        <v>491</v>
      </c>
      <c r="F13" s="71">
        <v>433.62431875999999</v>
      </c>
      <c r="G13" s="71">
        <v>486.01691849999997</v>
      </c>
      <c r="H13" s="71">
        <f t="shared" si="3"/>
        <v>98.985115784114058</v>
      </c>
      <c r="I13" s="822">
        <f t="shared" si="0"/>
        <v>12.082486491952945</v>
      </c>
      <c r="J13" s="68">
        <f t="shared" si="1"/>
        <v>0.11870762967010444</v>
      </c>
      <c r="K13" s="68"/>
      <c r="L13" s="65"/>
      <c r="M13" s="65"/>
      <c r="N13" s="65"/>
      <c r="O13" s="65"/>
      <c r="P13" s="65"/>
    </row>
    <row r="14" spans="2:16" ht="15" customHeight="1">
      <c r="C14" s="697" t="str">
        <f>IF(Indice_index!$Z$1=1,"Impostos Indiretos","Indirect taxes")</f>
        <v>Indirect taxes</v>
      </c>
      <c r="D14" s="71">
        <f t="shared" ref="D14:E14" si="4">SUM(D15:D22)</f>
        <v>25634.280838840004</v>
      </c>
      <c r="E14" s="71">
        <f t="shared" si="4"/>
        <v>27686.205802999997</v>
      </c>
      <c r="F14" s="71">
        <f t="shared" ref="F14:G14" si="5">SUM(F15:F22)</f>
        <v>23661.808289020002</v>
      </c>
      <c r="G14" s="71">
        <f t="shared" si="5"/>
        <v>26699.609247259999</v>
      </c>
      <c r="H14" s="71">
        <f t="shared" si="3"/>
        <v>96.436505013507144</v>
      </c>
      <c r="I14" s="822">
        <f t="shared" si="0"/>
        <v>12.8384142121955</v>
      </c>
      <c r="J14" s="68">
        <f t="shared" si="1"/>
        <v>6.8828451527845891</v>
      </c>
      <c r="K14" s="68"/>
      <c r="L14" s="65"/>
      <c r="M14" s="65"/>
      <c r="N14" s="65"/>
      <c r="O14" s="65"/>
      <c r="P14" s="65"/>
    </row>
    <row r="15" spans="2:16" ht="15" customHeight="1">
      <c r="C15" s="698" t="str">
        <f>IF(Indice_index!$Z$1=1,"Imposto sobre os produtos petrolíferos e energéticos (ISP)","Tax on oil and energy products (ISP)")</f>
        <v>Tax on oil and energy products (ISP)</v>
      </c>
      <c r="D15" s="823">
        <v>3364.0679735099998</v>
      </c>
      <c r="E15" s="823">
        <v>3309.6347569999998</v>
      </c>
      <c r="F15" s="71">
        <v>3093.5566725100002</v>
      </c>
      <c r="G15" s="71">
        <v>2654.8069294500001</v>
      </c>
      <c r="H15" s="71">
        <f t="shared" si="3"/>
        <v>80.214498709713681</v>
      </c>
      <c r="I15" s="822">
        <f t="shared" si="0"/>
        <v>-14.182696149025595</v>
      </c>
      <c r="J15" s="68">
        <f t="shared" si="1"/>
        <v>-0.99408966677514199</v>
      </c>
      <c r="K15" s="68"/>
      <c r="L15" s="65"/>
      <c r="M15" s="65"/>
      <c r="N15" s="65"/>
      <c r="O15" s="65"/>
      <c r="P15" s="65"/>
    </row>
    <row r="16" spans="2:16" ht="15" customHeight="1">
      <c r="C16" s="698" t="str">
        <f>IF(Indice_index!$Z$1=1,"Imposto sobre o Valor Acrescentado (IVA)","Value-added tax (IVA)")</f>
        <v>Value-added tax (IVA)</v>
      </c>
      <c r="D16" s="823">
        <v>17728.253620750002</v>
      </c>
      <c r="E16" s="823">
        <v>19546.306274999999</v>
      </c>
      <c r="F16" s="71">
        <v>16379.32829386</v>
      </c>
      <c r="G16" s="71">
        <v>19567.70820185</v>
      </c>
      <c r="H16" s="71">
        <f t="shared" si="3"/>
        <v>100.10949345901416</v>
      </c>
      <c r="I16" s="822">
        <f t="shared" si="0"/>
        <v>19.465877054220869</v>
      </c>
      <c r="J16" s="68">
        <f t="shared" si="1"/>
        <v>7.2240168123651651</v>
      </c>
      <c r="K16" s="68"/>
      <c r="L16" s="65"/>
      <c r="M16" s="65"/>
      <c r="N16" s="65"/>
      <c r="O16" s="65"/>
      <c r="P16" s="65"/>
    </row>
    <row r="17" spans="3:16" ht="15" customHeight="1">
      <c r="C17" s="698" t="str">
        <f>IF(Indice_index!$Z$1=1,"Imposto sobre Veículos (ISV)","Tax on vehicles (ISV)")</f>
        <v>Tax on vehicles (ISV)</v>
      </c>
      <c r="D17" s="823">
        <v>421.86715766999998</v>
      </c>
      <c r="E17" s="823">
        <v>482.11346900000001</v>
      </c>
      <c r="F17" s="71">
        <v>389.15292460000001</v>
      </c>
      <c r="G17" s="71">
        <v>417.23057738</v>
      </c>
      <c r="H17" s="71">
        <f t="shared" si="3"/>
        <v>86.541987355263046</v>
      </c>
      <c r="I17" s="822">
        <f t="shared" si="0"/>
        <v>7.2150691939062952</v>
      </c>
      <c r="J17" s="68">
        <f t="shared" si="1"/>
        <v>6.3616457758429584E-2</v>
      </c>
      <c r="K17" s="68"/>
      <c r="L17" s="65"/>
      <c r="M17" s="65"/>
      <c r="N17" s="65"/>
      <c r="O17" s="65"/>
      <c r="P17" s="65"/>
    </row>
    <row r="18" spans="3:16" ht="15" customHeight="1">
      <c r="C18" s="698" t="str">
        <f>IF(Indice_index!$Z$1=1,"Imposto de consumo sobre o tabaco","Tax on tobacco")</f>
        <v>Tax on tobacco</v>
      </c>
      <c r="D18" s="823">
        <v>1413.60926199</v>
      </c>
      <c r="E18" s="823">
        <v>1433.6002309999999</v>
      </c>
      <c r="F18" s="71">
        <v>1330.58454209</v>
      </c>
      <c r="G18" s="71">
        <v>1366.6170138499999</v>
      </c>
      <c r="H18" s="71">
        <f t="shared" si="3"/>
        <v>95.327622324441435</v>
      </c>
      <c r="I18" s="822">
        <f t="shared" si="0"/>
        <v>2.7080182145662333</v>
      </c>
      <c r="J18" s="68">
        <f t="shared" si="1"/>
        <v>8.1639951730033522E-2</v>
      </c>
      <c r="K18" s="68"/>
      <c r="L18" s="65"/>
      <c r="M18" s="65"/>
      <c r="N18" s="65"/>
      <c r="O18" s="65"/>
      <c r="P18" s="65"/>
    </row>
    <row r="19" spans="3:16" ht="15" customHeight="1">
      <c r="C19" s="698" t="str">
        <f>IF(Indice_index!$Z$1=1,"Imposto sobre álcool e bebidas alcoólicas (IABA)","Tax on alcoholic beverages (IABA)")</f>
        <v>Tax on alcoholic beverages (IABA)</v>
      </c>
      <c r="D19" s="823">
        <v>256.87236737000001</v>
      </c>
      <c r="E19" s="823">
        <v>286.79578700000002</v>
      </c>
      <c r="F19" s="71">
        <v>231.45089960999999</v>
      </c>
      <c r="G19" s="71">
        <v>289.18237818</v>
      </c>
      <c r="H19" s="71">
        <f t="shared" si="3"/>
        <v>100.83215698702017</v>
      </c>
      <c r="I19" s="822">
        <f t="shared" si="0"/>
        <v>24.943294092733645</v>
      </c>
      <c r="J19" s="68">
        <f t="shared" si="1"/>
        <v>0.13080410234277742</v>
      </c>
      <c r="K19" s="68"/>
      <c r="L19" s="65"/>
      <c r="M19" s="65"/>
      <c r="N19" s="65"/>
      <c r="O19" s="65"/>
      <c r="P19" s="65"/>
    </row>
    <row r="20" spans="3:16" ht="15" customHeight="1">
      <c r="C20" s="698" t="str">
        <f>IF(Indice_index!$Z$1=1,"Imposto do selo","Stamp tax")</f>
        <v>Stamp tax</v>
      </c>
      <c r="D20" s="823">
        <v>1778.41239243</v>
      </c>
      <c r="E20" s="823">
        <v>1938.1549379999999</v>
      </c>
      <c r="F20" s="71">
        <v>1622.4892260300001</v>
      </c>
      <c r="G20" s="71">
        <v>1734.29424819</v>
      </c>
      <c r="H20" s="71">
        <f t="shared" si="3"/>
        <v>89.481713468152051</v>
      </c>
      <c r="I20" s="822">
        <f t="shared" si="0"/>
        <v>6.890956215072741</v>
      </c>
      <c r="J20" s="68">
        <f t="shared" si="1"/>
        <v>0.25332030156339586</v>
      </c>
      <c r="K20" s="68"/>
      <c r="L20" s="65"/>
      <c r="M20" s="65"/>
      <c r="N20" s="65"/>
      <c r="O20" s="65"/>
      <c r="P20" s="65"/>
    </row>
    <row r="21" spans="3:16" ht="15" customHeight="1">
      <c r="C21" s="698" t="str">
        <f>IF(Indice_index!$Z$1=1,"Imposto Único de Circulação (IUC)","Tax on vehicle circulation (IUC)")</f>
        <v>Tax on vehicle circulation (IUC)</v>
      </c>
      <c r="D21" s="823">
        <v>401.18201901999998</v>
      </c>
      <c r="E21" s="823">
        <v>408.600346</v>
      </c>
      <c r="F21" s="71">
        <v>366.47095667000002</v>
      </c>
      <c r="G21" s="71">
        <v>408.12417159</v>
      </c>
      <c r="H21" s="71">
        <f t="shared" si="3"/>
        <v>99.883462063930807</v>
      </c>
      <c r="I21" s="822">
        <f t="shared" si="0"/>
        <v>11.366034377864191</v>
      </c>
      <c r="J21" s="68">
        <f t="shared" si="1"/>
        <v>9.4375053649373056E-2</v>
      </c>
      <c r="K21" s="68"/>
      <c r="L21" s="65"/>
      <c r="M21" s="65"/>
      <c r="N21" s="65"/>
      <c r="O21" s="65"/>
      <c r="P21" s="65"/>
    </row>
    <row r="22" spans="3:16" ht="15" customHeight="1">
      <c r="C22" s="698" t="str">
        <f>IF(Indice_index!$Z$1=1,"Outros","Others")</f>
        <v>Others</v>
      </c>
      <c r="D22" s="823">
        <v>270.0160461000001</v>
      </c>
      <c r="E22" s="823">
        <f>221.898526-E20-E21+2405.856758</f>
        <v>281</v>
      </c>
      <c r="F22" s="71">
        <v>248.77477364999993</v>
      </c>
      <c r="G22" s="71">
        <v>261.6457267699999</v>
      </c>
      <c r="H22" s="71">
        <f t="shared" si="3"/>
        <v>93.112358281138754</v>
      </c>
      <c r="I22" s="822">
        <f t="shared" si="0"/>
        <v>5.1737372448012158</v>
      </c>
      <c r="J22" s="68">
        <f t="shared" si="1"/>
        <v>2.9162140150563027E-2</v>
      </c>
      <c r="K22" s="68"/>
      <c r="L22" s="65"/>
      <c r="M22" s="65"/>
      <c r="N22" s="65"/>
      <c r="O22" s="65"/>
      <c r="P22" s="65"/>
    </row>
    <row r="23" spans="3:16" ht="4.5" customHeight="1">
      <c r="C23" s="698"/>
      <c r="D23" s="71"/>
      <c r="E23" s="71"/>
      <c r="F23" s="71"/>
      <c r="G23" s="71"/>
      <c r="H23" s="71"/>
      <c r="I23" s="824"/>
      <c r="J23" s="68"/>
      <c r="K23" s="68"/>
      <c r="L23" s="65"/>
      <c r="M23" s="65"/>
      <c r="N23" s="65"/>
      <c r="O23" s="65"/>
      <c r="P23" s="65"/>
    </row>
    <row r="24" spans="3:16" s="277" customFormat="1" ht="15" customHeight="1">
      <c r="C24" s="821" t="str">
        <f>IF(Indice_index!$Z$1=1,"Contribuições para Segurança Social, CGA e ADSE","Social security, CGA and ADSE contributions")</f>
        <v>Social security, CGA and ADSE contributions</v>
      </c>
      <c r="D24" s="278">
        <f>SUM(D25:D26)</f>
        <v>66.578526589999996</v>
      </c>
      <c r="E24" s="278">
        <f>SUM(E25:E26)</f>
        <v>75.073003999999997</v>
      </c>
      <c r="F24" s="278">
        <f>SUM(F25:F26)</f>
        <v>58.034161189999999</v>
      </c>
      <c r="G24" s="278">
        <f>SUM(G25:G26)</f>
        <v>64.551561390000003</v>
      </c>
      <c r="H24" s="278">
        <f t="shared" si="3"/>
        <v>85.985051817028662</v>
      </c>
      <c r="I24" s="278">
        <f>IF(IFERROR((G24-F24)/F24*100,"")&gt;500,"-",IFERROR((G24-F24)/F24*100,""))</f>
        <v>11.230282417044796</v>
      </c>
      <c r="J24" s="278">
        <f>IFERROR((G24-F24)/$F$62*100,"-")</f>
        <v>1.4766687150338104E-2</v>
      </c>
      <c r="K24" s="278"/>
      <c r="L24" s="273"/>
      <c r="M24" s="273"/>
      <c r="N24" s="273"/>
      <c r="O24" s="273"/>
      <c r="P24" s="273"/>
    </row>
    <row r="25" spans="3:16" ht="15" customHeight="1">
      <c r="C25" s="698" t="str">
        <f>IF(Indice_index!$Z$1=1,"Comparticipações para a ADSE","ADSE co-payments")</f>
        <v>ADSE co-payments</v>
      </c>
      <c r="D25" s="71">
        <v>0</v>
      </c>
      <c r="E25" s="71">
        <v>0</v>
      </c>
      <c r="F25" s="71">
        <v>0</v>
      </c>
      <c r="G25" s="71">
        <v>0</v>
      </c>
      <c r="H25" s="825" t="str">
        <f t="shared" si="3"/>
        <v>-</v>
      </c>
      <c r="I25" s="824" t="str">
        <f>IF(IFERROR((G25-F25)/F25*100,"")&gt;500,"-",IFERROR((G25-F25)/F25*100,""))</f>
        <v>-</v>
      </c>
      <c r="J25" s="68">
        <f>IFERROR((G25-F25)/$F$62*100,"-")</f>
        <v>0</v>
      </c>
      <c r="K25" s="68"/>
      <c r="L25" s="65"/>
      <c r="M25" s="65"/>
      <c r="N25" s="65"/>
      <c r="O25" s="65"/>
      <c r="P25" s="65"/>
    </row>
    <row r="26" spans="3:16" ht="15" customHeight="1">
      <c r="C26" s="698" t="str">
        <f>IF(Indice_index!$Z$1=1,"Outros","Others")</f>
        <v>Others</v>
      </c>
      <c r="D26" s="71">
        <v>66.578526589999996</v>
      </c>
      <c r="E26" s="71">
        <v>75.073003999999997</v>
      </c>
      <c r="F26" s="71">
        <v>58.034161189999999</v>
      </c>
      <c r="G26" s="71">
        <v>64.551561390000003</v>
      </c>
      <c r="H26" s="71">
        <f t="shared" si="3"/>
        <v>85.985051817028662</v>
      </c>
      <c r="I26" s="824">
        <f>IF(IFERROR((G26-F26)/F26*100,"")&gt;500,"-",IFERROR((G26-F26)/F26*100,""))</f>
        <v>11.230282417044796</v>
      </c>
      <c r="J26" s="68">
        <f>IFERROR((G26-F26)/$F$62*100,"-")</f>
        <v>1.4766687150338104E-2</v>
      </c>
      <c r="K26" s="68"/>
      <c r="M26" s="65"/>
      <c r="N26" s="65"/>
      <c r="O26" s="65"/>
      <c r="P26" s="65"/>
    </row>
    <row r="27" spans="3:16" ht="4.5" customHeight="1">
      <c r="C27" s="699"/>
      <c r="D27" s="826"/>
      <c r="E27" s="826"/>
      <c r="F27" s="826"/>
      <c r="G27" s="826"/>
      <c r="H27" s="826"/>
      <c r="I27" s="822"/>
      <c r="J27" s="70"/>
      <c r="K27" s="70"/>
      <c r="M27" s="65"/>
      <c r="N27" s="65"/>
      <c r="O27" s="65"/>
      <c r="P27" s="65"/>
    </row>
    <row r="28" spans="3:16" s="277" customFormat="1" ht="15" customHeight="1">
      <c r="C28" s="821" t="str">
        <f>IF(Indice_index!$Z$1=1,"Receita não fiscal","Non-tax revenue")</f>
        <v>Non-tax revenue</v>
      </c>
      <c r="D28" s="278">
        <f>+D29+D52</f>
        <v>4416.3290454100006</v>
      </c>
      <c r="E28" s="278">
        <f>+E29+E52</f>
        <v>5051.4053809999996</v>
      </c>
      <c r="F28" s="278">
        <f>+F29+F52</f>
        <v>3771.8413925499999</v>
      </c>
      <c r="G28" s="278">
        <f>+G29+G52</f>
        <v>4137.7810885099998</v>
      </c>
      <c r="H28" s="278">
        <f t="shared" si="3"/>
        <v>81.913463213100229</v>
      </c>
      <c r="I28" s="278">
        <f t="shared" ref="I28:I50" si="6">IF(IFERROR((G28-F28)/F28*100,"")&gt;500,"-",IFERROR((G28-F28)/F28*100,""))</f>
        <v>9.7018845140941039</v>
      </c>
      <c r="J28" s="278">
        <f t="shared" ref="J28:J50" si="7">IFERROR((G28-F28)/$F$62*100,"-")</f>
        <v>0.8291215577234553</v>
      </c>
      <c r="K28" s="278"/>
      <c r="L28" s="279"/>
      <c r="M28" s="273"/>
      <c r="N28" s="273"/>
      <c r="O28" s="273"/>
      <c r="P28" s="273"/>
    </row>
    <row r="29" spans="3:16" ht="15" customHeight="1">
      <c r="C29" s="697" t="str">
        <f>IF(Indice_index!$Z$1=1,"Correntes","Current")</f>
        <v>Current</v>
      </c>
      <c r="D29" s="71">
        <f>SUM(D30,D35,D39,D44:D45,D49:D51)</f>
        <v>4331.561351450001</v>
      </c>
      <c r="E29" s="71">
        <f>SUM(E30,E35,E39,E44:E45,E49:E51)</f>
        <v>4521.331741</v>
      </c>
      <c r="F29" s="71">
        <f>SUM(F30,F35,F39,F44:F45,F49:F51)</f>
        <v>3692.2721952299999</v>
      </c>
      <c r="G29" s="71">
        <f>SUM(G30,G35,G39,G44:G45,G49:G51)</f>
        <v>3820.6240732900001</v>
      </c>
      <c r="H29" s="71">
        <f t="shared" si="3"/>
        <v>84.502184138449849</v>
      </c>
      <c r="I29" s="824">
        <f t="shared" si="6"/>
        <v>3.476230117211196</v>
      </c>
      <c r="J29" s="68">
        <f t="shared" si="7"/>
        <v>0.29081105506922333</v>
      </c>
      <c r="K29" s="68"/>
      <c r="L29" s="67"/>
      <c r="M29" s="65"/>
      <c r="N29" s="65"/>
      <c r="O29" s="65"/>
      <c r="P29" s="65"/>
    </row>
    <row r="30" spans="3:16" ht="15" customHeight="1">
      <c r="C30" s="698" t="str">
        <f>IF(Indice_index!$Z$1=1,"Taxas, Multas e Outras Penalidades","Taxes, fines and other penalties")</f>
        <v>Taxes, fines and other penalties</v>
      </c>
      <c r="D30" s="71">
        <f t="shared" ref="D30:G30" si="8">SUM(D31:D34)</f>
        <v>857.09185406000006</v>
      </c>
      <c r="E30" s="71">
        <f t="shared" ref="E30" si="9">SUM(E31:E34)</f>
        <v>1005.0051129999999</v>
      </c>
      <c r="F30" s="71">
        <f t="shared" si="8"/>
        <v>774.10300992999998</v>
      </c>
      <c r="G30" s="71">
        <f t="shared" si="8"/>
        <v>919.52328601999989</v>
      </c>
      <c r="H30" s="71">
        <f t="shared" si="3"/>
        <v>91.494388846955047</v>
      </c>
      <c r="I30" s="824">
        <f t="shared" si="6"/>
        <v>18.785649225566228</v>
      </c>
      <c r="J30" s="68">
        <f t="shared" si="7"/>
        <v>0.32948348366528413</v>
      </c>
      <c r="K30" s="68"/>
      <c r="M30" s="65"/>
      <c r="N30" s="65"/>
      <c r="O30" s="65"/>
      <c r="P30" s="65"/>
    </row>
    <row r="31" spans="3:16" ht="15" customHeight="1">
      <c r="C31" s="827" t="str">
        <f>IF(Indice_index!$Z$1=1,"Taxas","Taxes")</f>
        <v>Taxes</v>
      </c>
      <c r="D31" s="71">
        <v>546.63159624000002</v>
      </c>
      <c r="E31" s="71">
        <v>626.43151399999999</v>
      </c>
      <c r="F31" s="71">
        <v>499.38293788999999</v>
      </c>
      <c r="G31" s="71">
        <v>621.46863687999996</v>
      </c>
      <c r="H31" s="71">
        <f t="shared" si="3"/>
        <v>99.207754238239033</v>
      </c>
      <c r="I31" s="824">
        <f t="shared" si="6"/>
        <v>24.447310816392374</v>
      </c>
      <c r="J31" s="68">
        <f t="shared" si="7"/>
        <v>0.27661356786340618</v>
      </c>
      <c r="K31" s="68"/>
      <c r="M31" s="65"/>
      <c r="N31" s="65"/>
      <c r="O31" s="65"/>
      <c r="P31" s="65"/>
    </row>
    <row r="32" spans="3:16" ht="15" customHeight="1">
      <c r="C32" s="827" t="str">
        <f>IF(Indice_index!$Z$1=1,"Juros de mora e compensatórios","Default and compensatory interests")</f>
        <v>Default and compensatory interests</v>
      </c>
      <c r="D32" s="71">
        <v>67.454711520000004</v>
      </c>
      <c r="E32" s="71">
        <v>64.604410999999999</v>
      </c>
      <c r="F32" s="71">
        <v>58.903736620000004</v>
      </c>
      <c r="G32" s="71">
        <v>86.80423055</v>
      </c>
      <c r="H32" s="71">
        <f t="shared" si="3"/>
        <v>134.36269939834293</v>
      </c>
      <c r="I32" s="824">
        <f t="shared" si="6"/>
        <v>47.366254725047007</v>
      </c>
      <c r="J32" s="68">
        <f t="shared" si="7"/>
        <v>6.3215063148065839E-2</v>
      </c>
      <c r="K32" s="68"/>
      <c r="M32" s="65"/>
      <c r="N32" s="65"/>
      <c r="O32" s="65"/>
      <c r="P32" s="65"/>
    </row>
    <row r="33" spans="3:16" ht="15" customHeight="1">
      <c r="C33" s="827" t="str">
        <f>IF(Indice_index!$Z$1=1,"Multas do Código da Estrada","Highway code fines")</f>
        <v>Highway code fines</v>
      </c>
      <c r="D33" s="71">
        <v>82.447458960000006</v>
      </c>
      <c r="E33" s="71">
        <v>127.320525</v>
      </c>
      <c r="F33" s="71">
        <v>78.004745900000003</v>
      </c>
      <c r="G33" s="71">
        <v>66.552057899999994</v>
      </c>
      <c r="H33" s="71">
        <f t="shared" si="3"/>
        <v>52.27127197284176</v>
      </c>
      <c r="I33" s="824">
        <f t="shared" si="6"/>
        <v>-14.682040006491462</v>
      </c>
      <c r="J33" s="68">
        <f t="shared" si="7"/>
        <v>-2.5948730404254047E-2</v>
      </c>
      <c r="K33" s="68"/>
      <c r="M33" s="65"/>
      <c r="N33" s="65"/>
      <c r="O33" s="65"/>
      <c r="P33" s="65"/>
    </row>
    <row r="34" spans="3:16" ht="15" customHeight="1">
      <c r="C34" s="827" t="str">
        <f>IF(Indice_index!$Z$1=1,"Outras multas e penalidades diversas","Other fines and diverse penalties")</f>
        <v>Other fines and diverse penalties</v>
      </c>
      <c r="D34" s="71">
        <v>160.55808733999999</v>
      </c>
      <c r="E34" s="71">
        <v>186.648663</v>
      </c>
      <c r="F34" s="71">
        <v>137.81158951999998</v>
      </c>
      <c r="G34" s="71">
        <v>144.69836069000002</v>
      </c>
      <c r="H34" s="71">
        <f t="shared" si="3"/>
        <v>77.524456036419622</v>
      </c>
      <c r="I34" s="824">
        <f t="shared" si="6"/>
        <v>4.9972365850990963</v>
      </c>
      <c r="J34" s="68">
        <f t="shared" si="7"/>
        <v>1.5603583058066361E-2</v>
      </c>
      <c r="K34" s="68"/>
      <c r="M34" s="65"/>
      <c r="N34" s="65"/>
      <c r="O34" s="65"/>
      <c r="P34" s="65"/>
    </row>
    <row r="35" spans="3:16" ht="15" customHeight="1">
      <c r="C35" s="698" t="str">
        <f>IF(Indice_index!$Z$1=1,"Rendimentos da Propriedade","Property income")</f>
        <v>Property income</v>
      </c>
      <c r="D35" s="71">
        <f>SUM(D36:D38)</f>
        <v>759.19899399999997</v>
      </c>
      <c r="E35" s="71">
        <f>SUM(E36:E38)</f>
        <v>694.07876799999997</v>
      </c>
      <c r="F35" s="71">
        <f>SUM(F36:F38)</f>
        <v>748.26906033</v>
      </c>
      <c r="G35" s="71">
        <f>SUM(G36:G38)</f>
        <v>733.77902457000005</v>
      </c>
      <c r="H35" s="71">
        <f t="shared" si="3"/>
        <v>105.7198488702366</v>
      </c>
      <c r="I35" s="824">
        <f t="shared" si="6"/>
        <v>-1.9364739942086595</v>
      </c>
      <c r="J35" s="68">
        <f t="shared" si="7"/>
        <v>-3.283054873093888E-2</v>
      </c>
      <c r="K35" s="68"/>
      <c r="M35" s="65"/>
      <c r="N35" s="65"/>
      <c r="O35" s="65"/>
      <c r="P35" s="65"/>
    </row>
    <row r="36" spans="3:16" ht="15" customHeight="1">
      <c r="C36" s="827" t="str">
        <f>IF(Indice_index!$Z$1=1,"Juros","Interests")</f>
        <v>Interests</v>
      </c>
      <c r="D36" s="71">
        <v>110.78467236</v>
      </c>
      <c r="E36" s="71">
        <v>179.26851599999998</v>
      </c>
      <c r="F36" s="71">
        <v>100.46738073999998</v>
      </c>
      <c r="G36" s="71">
        <v>116.26100450999999</v>
      </c>
      <c r="H36" s="71">
        <f t="shared" si="3"/>
        <v>64.852996557410009</v>
      </c>
      <c r="I36" s="824">
        <f t="shared" si="6"/>
        <v>15.720150812802022</v>
      </c>
      <c r="J36" s="68">
        <f t="shared" si="7"/>
        <v>3.5784130792172839E-2</v>
      </c>
      <c r="K36" s="68"/>
      <c r="L36" s="71"/>
      <c r="M36" s="65"/>
      <c r="N36" s="65"/>
      <c r="O36" s="65"/>
      <c r="P36" s="65"/>
    </row>
    <row r="37" spans="3:16" ht="15" customHeight="1">
      <c r="C37" s="827" t="str">
        <f>IF(Indice_index!$Z$1=1,"Dividendos e participações nos lucros","Dividends and profit participations")</f>
        <v>Dividends and profit participations</v>
      </c>
      <c r="D37" s="825">
        <v>644.85672493000004</v>
      </c>
      <c r="E37" s="825">
        <v>511.55187100000001</v>
      </c>
      <c r="F37" s="825">
        <v>644.85641750000002</v>
      </c>
      <c r="G37" s="825">
        <v>614.51568580000003</v>
      </c>
      <c r="H37" s="825">
        <f t="shared" si="3"/>
        <v>120.1277369191755</v>
      </c>
      <c r="I37" s="824">
        <f t="shared" si="6"/>
        <v>-4.7050367921631162</v>
      </c>
      <c r="J37" s="68">
        <f t="shared" si="7"/>
        <v>-6.874398980842783E-2</v>
      </c>
      <c r="K37" s="68"/>
      <c r="M37" s="65"/>
      <c r="N37" s="65"/>
      <c r="O37" s="65"/>
      <c r="P37" s="65"/>
    </row>
    <row r="38" spans="3:16" s="66" customFormat="1" ht="15" customHeight="1">
      <c r="C38" s="827" t="str">
        <f>IF(Indice_index!$Z$1=1,"Outros","Others")</f>
        <v>Others</v>
      </c>
      <c r="D38" s="71">
        <v>3.5575967099999999</v>
      </c>
      <c r="E38" s="71">
        <v>3.258381</v>
      </c>
      <c r="F38" s="71">
        <v>2.9452620899999999</v>
      </c>
      <c r="G38" s="71">
        <v>3.00233426</v>
      </c>
      <c r="H38" s="71">
        <f t="shared" si="3"/>
        <v>92.141902988017662</v>
      </c>
      <c r="I38" s="824">
        <f t="shared" si="6"/>
        <v>1.937762014245737</v>
      </c>
      <c r="J38" s="68">
        <f t="shared" si="7"/>
        <v>1.2931028531605479E-4</v>
      </c>
      <c r="K38" s="68"/>
      <c r="M38" s="65"/>
      <c r="N38" s="65"/>
      <c r="O38" s="65"/>
      <c r="P38" s="65"/>
    </row>
    <row r="39" spans="3:16" s="66" customFormat="1" ht="15" customHeight="1">
      <c r="C39" s="698" t="str">
        <f>IF(Indice_index!$Z$1=1,"Transferências Correntes","Current transfers")</f>
        <v>Current transfers</v>
      </c>
      <c r="D39" s="71">
        <f>SUM(D40:D43)</f>
        <v>1214.3733370100001</v>
      </c>
      <c r="E39" s="71">
        <f>SUM(E40:E43)</f>
        <v>1338.8009099999999</v>
      </c>
      <c r="F39" s="71">
        <f>SUM(F40:F43)</f>
        <v>1102.17214623</v>
      </c>
      <c r="G39" s="71">
        <f>SUM(G40:G43)</f>
        <v>882.92517694000003</v>
      </c>
      <c r="H39" s="71">
        <f t="shared" si="3"/>
        <v>65.948952554864931</v>
      </c>
      <c r="I39" s="824">
        <f t="shared" si="6"/>
        <v>-19.892261843119353</v>
      </c>
      <c r="J39" s="68">
        <f t="shared" si="7"/>
        <v>-0.4967550410921846</v>
      </c>
      <c r="K39" s="68"/>
      <c r="L39" s="72"/>
      <c r="M39" s="65"/>
      <c r="N39" s="65"/>
      <c r="O39" s="65"/>
      <c r="P39" s="65"/>
    </row>
    <row r="40" spans="3:16" s="66" customFormat="1" ht="15" customHeight="1">
      <c r="C40" s="827" t="str">
        <f>IF(Indice_index!$Z$1=1,"Administração Central","Central Administration")</f>
        <v>Central Administration</v>
      </c>
      <c r="D40" s="71">
        <v>528.42067895000002</v>
      </c>
      <c r="E40" s="71">
        <v>559.4232750000001</v>
      </c>
      <c r="F40" s="71">
        <v>485.18684302999998</v>
      </c>
      <c r="G40" s="71">
        <v>438.88896262000003</v>
      </c>
      <c r="H40" s="71">
        <f t="shared" si="3"/>
        <v>78.453825972828881</v>
      </c>
      <c r="I40" s="824">
        <f t="shared" si="6"/>
        <v>-9.5422786242242079</v>
      </c>
      <c r="J40" s="68">
        <f t="shared" si="7"/>
        <v>-0.10489862441441543</v>
      </c>
      <c r="K40" s="68"/>
      <c r="M40" s="65"/>
      <c r="N40" s="65"/>
      <c r="O40" s="65"/>
      <c r="P40" s="65"/>
    </row>
    <row r="41" spans="3:16" ht="15" customHeight="1">
      <c r="C41" s="827" t="str">
        <f>IF(Indice_index!$Z$1=1,"Outros subsectores das AP","Other General Government subsectors")</f>
        <v>Other General Government subsectors</v>
      </c>
      <c r="D41" s="71">
        <v>215.78015270999998</v>
      </c>
      <c r="E41" s="71">
        <v>260.91179099999999</v>
      </c>
      <c r="F41" s="71">
        <v>186.43622450999999</v>
      </c>
      <c r="G41" s="71">
        <v>238.62642260000001</v>
      </c>
      <c r="H41" s="71">
        <f t="shared" si="3"/>
        <v>91.458657995260936</v>
      </c>
      <c r="I41" s="824">
        <f t="shared" si="6"/>
        <v>27.99359310518577</v>
      </c>
      <c r="J41" s="68">
        <f t="shared" si="7"/>
        <v>0.11824904162079891</v>
      </c>
      <c r="K41" s="68"/>
      <c r="M41" s="65"/>
      <c r="N41" s="65"/>
      <c r="O41" s="65"/>
      <c r="P41" s="65"/>
    </row>
    <row r="42" spans="3:16" s="66" customFormat="1" ht="15" customHeight="1">
      <c r="C42" s="827" t="str">
        <f>IF(Indice_index!$Z$1=1,"União Europeia","European Union")</f>
        <v>European Union</v>
      </c>
      <c r="D42" s="71">
        <v>456.44551322000001</v>
      </c>
      <c r="E42" s="71">
        <v>485.50868800000001</v>
      </c>
      <c r="F42" s="71">
        <v>417.15186004999998</v>
      </c>
      <c r="G42" s="71">
        <v>185.93587680000002</v>
      </c>
      <c r="H42" s="71">
        <f t="shared" si="3"/>
        <v>38.297126579947012</v>
      </c>
      <c r="I42" s="824">
        <f t="shared" si="6"/>
        <v>-55.427292886165326</v>
      </c>
      <c r="J42" s="68">
        <f t="shared" si="7"/>
        <v>-0.52387362813941707</v>
      </c>
      <c r="K42" s="68"/>
      <c r="M42" s="65"/>
      <c r="N42" s="65"/>
      <c r="O42" s="65"/>
      <c r="P42" s="65"/>
    </row>
    <row r="43" spans="3:16" ht="15" customHeight="1">
      <c r="C43" s="827" t="str">
        <f>IF(Indice_index!$Z$1=1,"Outros","Others")</f>
        <v>Others</v>
      </c>
      <c r="D43" s="71">
        <v>13.726992130000001</v>
      </c>
      <c r="E43" s="71">
        <v>32.957155999999998</v>
      </c>
      <c r="F43" s="71">
        <v>13.397218640000002</v>
      </c>
      <c r="G43" s="71">
        <v>19.473914919999999</v>
      </c>
      <c r="H43" s="71">
        <f t="shared" si="3"/>
        <v>59.088578274169045</v>
      </c>
      <c r="I43" s="824">
        <f t="shared" si="6"/>
        <v>45.357894375604488</v>
      </c>
      <c r="J43" s="68">
        <f t="shared" si="7"/>
        <v>1.3768169840849002E-2</v>
      </c>
      <c r="K43" s="68"/>
      <c r="M43" s="65"/>
      <c r="N43" s="65"/>
      <c r="O43" s="65"/>
      <c r="P43" s="65"/>
    </row>
    <row r="44" spans="3:16" s="66" customFormat="1" ht="15" customHeight="1">
      <c r="C44" s="698" t="str">
        <f>IF(Indice_index!$Z$1=1,"Venda de Bens e Serviços Correntes","Sale of current goods and services")</f>
        <v>Sale of current goods and services</v>
      </c>
      <c r="D44" s="71">
        <v>736.75581270999999</v>
      </c>
      <c r="E44" s="71">
        <v>821.02860499999997</v>
      </c>
      <c r="F44" s="71">
        <v>361.05424054999997</v>
      </c>
      <c r="G44" s="71">
        <v>492.93009542999999</v>
      </c>
      <c r="H44" s="71">
        <f t="shared" si="3"/>
        <v>60.038114680547579</v>
      </c>
      <c r="I44" s="824">
        <f t="shared" si="6"/>
        <v>36.525219778366633</v>
      </c>
      <c r="J44" s="68">
        <f t="shared" si="7"/>
        <v>0.29879544479965303</v>
      </c>
      <c r="K44" s="68"/>
      <c r="M44" s="65"/>
      <c r="N44" s="65"/>
      <c r="O44" s="65"/>
      <c r="P44" s="65"/>
    </row>
    <row r="45" spans="3:16" ht="15" customHeight="1">
      <c r="C45" s="698" t="str">
        <f>IF(Indice_index!$Z$1=1,"Outras Receitas Correntes","Other current revenue")</f>
        <v>Other current revenue</v>
      </c>
      <c r="D45" s="825">
        <f t="shared" ref="D45:E45" si="10">SUM(D46:D48)</f>
        <v>351.11166080999999</v>
      </c>
      <c r="E45" s="825">
        <f t="shared" si="10"/>
        <v>408.08124099999998</v>
      </c>
      <c r="F45" s="825">
        <f t="shared" ref="F45:G45" si="11">SUM(F46:F48)</f>
        <v>331.86435397999998</v>
      </c>
      <c r="G45" s="825">
        <f t="shared" si="11"/>
        <v>229.15624434</v>
      </c>
      <c r="H45" s="825">
        <f t="shared" si="3"/>
        <v>56.154564659344388</v>
      </c>
      <c r="I45" s="824">
        <f t="shared" si="6"/>
        <v>-30.9488224355032</v>
      </c>
      <c r="J45" s="68">
        <f t="shared" si="7"/>
        <v>-0.23270912884197345</v>
      </c>
      <c r="K45" s="68"/>
      <c r="M45" s="65"/>
      <c r="N45" s="65"/>
      <c r="O45" s="65"/>
      <c r="P45" s="65"/>
    </row>
    <row r="46" spans="3:16" ht="15" customHeight="1">
      <c r="C46" s="827" t="str">
        <f>IF(Indice_index!$Z$1=1,"Prémios e taxas por garantias de riscos","Premiums and rates on risk guarantees")</f>
        <v>Premiums and rates on risk guarantees</v>
      </c>
      <c r="D46" s="825">
        <v>31.280779299999999</v>
      </c>
      <c r="E46" s="825">
        <v>23.531946000000001</v>
      </c>
      <c r="F46" s="825">
        <v>23.688256679999999</v>
      </c>
      <c r="G46" s="825">
        <v>37.038945329999997</v>
      </c>
      <c r="H46" s="825">
        <f t="shared" si="3"/>
        <v>157.39856504005235</v>
      </c>
      <c r="I46" s="824">
        <f t="shared" si="6"/>
        <v>56.359945902105956</v>
      </c>
      <c r="J46" s="68">
        <f>IFERROR((G46-F46)/$F$62*100,"-")</f>
        <v>3.0249092657547653E-2</v>
      </c>
      <c r="K46" s="68"/>
      <c r="M46" s="65"/>
      <c r="N46" s="65"/>
      <c r="O46" s="65"/>
      <c r="P46" s="65"/>
    </row>
    <row r="47" spans="3:16" ht="15" customHeight="1">
      <c r="C47" s="827" t="str">
        <f>IF(Indice_index!$Z$1=1,"Subsídios","Subsidies")</f>
        <v>Subsidies</v>
      </c>
      <c r="D47" s="71">
        <v>252.35391096000001</v>
      </c>
      <c r="E47" s="71">
        <v>313.19213500000001</v>
      </c>
      <c r="F47" s="71">
        <v>243.36020834999999</v>
      </c>
      <c r="G47" s="71">
        <v>140.55411935000001</v>
      </c>
      <c r="H47" s="71">
        <f t="shared" si="3"/>
        <v>44.877921136174123</v>
      </c>
      <c r="I47" s="824">
        <f t="shared" si="6"/>
        <v>-42.244411975578416</v>
      </c>
      <c r="J47" s="68">
        <f t="shared" si="7"/>
        <v>-0.23293112388783707</v>
      </c>
      <c r="K47" s="68"/>
      <c r="M47" s="65"/>
      <c r="N47" s="65"/>
      <c r="O47" s="65"/>
      <c r="P47" s="65"/>
    </row>
    <row r="48" spans="3:16" ht="15" customHeight="1">
      <c r="C48" s="827" t="str">
        <f>IF(Indice_index!$Z$1=1,"Outras","Others")</f>
        <v>Others</v>
      </c>
      <c r="D48" s="71">
        <v>67.476970550000004</v>
      </c>
      <c r="E48" s="71">
        <v>71.357159999999993</v>
      </c>
      <c r="F48" s="71">
        <v>64.815888950000002</v>
      </c>
      <c r="G48" s="71">
        <v>51.563179659999996</v>
      </c>
      <c r="H48" s="71">
        <f t="shared" si="3"/>
        <v>72.260694876309543</v>
      </c>
      <c r="I48" s="824">
        <f t="shared" si="6"/>
        <v>-20.446698340006346</v>
      </c>
      <c r="J48" s="68">
        <f t="shared" si="7"/>
        <v>-3.0027097611684084E-2</v>
      </c>
      <c r="K48" s="68"/>
      <c r="M48" s="65"/>
      <c r="N48" s="65"/>
      <c r="O48" s="65"/>
      <c r="P48" s="65"/>
    </row>
    <row r="49" spans="3:16" ht="15" customHeight="1">
      <c r="C49" s="698" t="str">
        <f>IF(Indice_index!$Z$1=1,"Recursos Próprios Comunitários","Community own resources")</f>
        <v>Community own resources</v>
      </c>
      <c r="D49" s="71">
        <v>238.33935378000001</v>
      </c>
      <c r="E49" s="71">
        <v>247.25</v>
      </c>
      <c r="F49" s="71">
        <v>210.37367451</v>
      </c>
      <c r="G49" s="71">
        <v>335.99543333000003</v>
      </c>
      <c r="H49" s="71">
        <f t="shared" si="3"/>
        <v>135.89299629120325</v>
      </c>
      <c r="I49" s="824">
        <f t="shared" si="6"/>
        <v>59.713630573120334</v>
      </c>
      <c r="J49" s="68">
        <f t="shared" si="7"/>
        <v>0.28462533446544613</v>
      </c>
      <c r="K49" s="68"/>
      <c r="M49" s="65"/>
      <c r="N49" s="65"/>
      <c r="O49" s="65"/>
      <c r="P49" s="65"/>
    </row>
    <row r="50" spans="3:16" ht="15" customHeight="1">
      <c r="C50" s="698" t="str">
        <f>IF(Indice_index!$Z$1=1,"Reposições Não Abatidas nos Pagamentos","Refunds not deducted from payments")</f>
        <v>Refunds not deducted from payments</v>
      </c>
      <c r="D50" s="71">
        <v>174.68589734</v>
      </c>
      <c r="E50" s="71">
        <v>5.1884009999999998</v>
      </c>
      <c r="F50" s="71">
        <v>164.43132979999999</v>
      </c>
      <c r="G50" s="71">
        <v>226.31011412999999</v>
      </c>
      <c r="H50" s="825" t="str">
        <f t="shared" si="3"/>
        <v>-</v>
      </c>
      <c r="I50" s="824">
        <f t="shared" si="6"/>
        <v>37.631991668050112</v>
      </c>
      <c r="J50" s="68">
        <f t="shared" si="7"/>
        <v>0.14020078887350715</v>
      </c>
      <c r="K50" s="68"/>
      <c r="M50" s="65"/>
      <c r="N50" s="65"/>
      <c r="O50" s="65"/>
      <c r="P50" s="65"/>
    </row>
    <row r="51" spans="3:16" ht="15" customHeight="1">
      <c r="C51" s="698" t="str">
        <f>IF(Indice_index!$Z$1=1,"Diferenças de consolidação","Consolidation differences")</f>
        <v>Consolidation differences</v>
      </c>
      <c r="D51" s="71">
        <v>4.4417399999999996E-3</v>
      </c>
      <c r="E51" s="71">
        <v>1.898703</v>
      </c>
      <c r="F51" s="71">
        <v>4.3798999999999999E-3</v>
      </c>
      <c r="G51" s="71">
        <v>4.6985300000000002E-3</v>
      </c>
      <c r="H51" s="825">
        <f t="shared" si="3"/>
        <v>0.24745997662614952</v>
      </c>
      <c r="I51" s="824"/>
      <c r="J51" s="68"/>
      <c r="K51" s="68"/>
      <c r="M51" s="65"/>
      <c r="N51" s="65"/>
      <c r="O51" s="65"/>
      <c r="P51" s="65"/>
    </row>
    <row r="52" spans="3:16" ht="15" customHeight="1">
      <c r="C52" s="697" t="s">
        <v>5</v>
      </c>
      <c r="D52" s="825">
        <f>SUM(D53:D54,D59:D60)</f>
        <v>84.767693959999988</v>
      </c>
      <c r="E52" s="825">
        <f>SUM(E53:E54,E59:E60)</f>
        <v>530.07363999999995</v>
      </c>
      <c r="F52" s="825">
        <f>SUM(F53:F54,F59:F60)</f>
        <v>79.569197320000001</v>
      </c>
      <c r="G52" s="825">
        <f>SUM(G53:G54,G59:G60)</f>
        <v>317.15701522000001</v>
      </c>
      <c r="H52" s="825">
        <f t="shared" si="3"/>
        <v>59.832632918701648</v>
      </c>
      <c r="I52" s="824">
        <f t="shared" ref="I52:I59" si="12">IF(IFERROR((G52-F52)/F52*100,"")&gt;500,"-",IFERROR((G52-F52)/F52*100,""))</f>
        <v>298.59270408937692</v>
      </c>
      <c r="J52" s="68">
        <f t="shared" ref="J52:J59" si="13">IFERROR((G52-F52)/$F$62*100,"-")</f>
        <v>0.53831050265423275</v>
      </c>
      <c r="K52" s="68"/>
      <c r="L52" s="65"/>
      <c r="M52" s="65"/>
      <c r="N52" s="65"/>
      <c r="O52" s="65"/>
      <c r="P52" s="65"/>
    </row>
    <row r="53" spans="3:16" ht="15" customHeight="1">
      <c r="C53" s="698" t="str">
        <f>IF(Indice_index!$Z$1=1,"Venda de Bens de Investimento","Sale of investment goods")</f>
        <v>Sale of investment goods</v>
      </c>
      <c r="D53" s="71">
        <v>36.8988175</v>
      </c>
      <c r="E53" s="71">
        <v>53.822319</v>
      </c>
      <c r="F53" s="71">
        <v>36.513781819999998</v>
      </c>
      <c r="G53" s="71">
        <v>35.257785650000002</v>
      </c>
      <c r="H53" s="71">
        <f t="shared" si="3"/>
        <v>65.507741593222704</v>
      </c>
      <c r="I53" s="824">
        <f t="shared" si="12"/>
        <v>-3.4397865885040666</v>
      </c>
      <c r="J53" s="68">
        <f t="shared" si="13"/>
        <v>-2.8457516701848079E-3</v>
      </c>
      <c r="K53" s="68"/>
      <c r="M53" s="65"/>
      <c r="N53" s="65"/>
      <c r="O53" s="65"/>
      <c r="P53" s="65"/>
    </row>
    <row r="54" spans="3:16" ht="15" customHeight="1">
      <c r="C54" s="698" t="str">
        <f>IF(Indice_index!$Z$1=1,"Transferências de Capital","Capital transfers")</f>
        <v>Capital transfers</v>
      </c>
      <c r="D54" s="825">
        <f>SUM(D55:D58)</f>
        <v>45.685864639999998</v>
      </c>
      <c r="E54" s="825">
        <f>SUM(E55:E58)</f>
        <v>469.99793599999998</v>
      </c>
      <c r="F54" s="825">
        <f>SUM(F55:F58)</f>
        <v>41.795383450000003</v>
      </c>
      <c r="G54" s="825">
        <f>SUM(G55:G58)</f>
        <v>261.61792231999999</v>
      </c>
      <c r="H54" s="825">
        <f t="shared" si="3"/>
        <v>55.663632173908098</v>
      </c>
      <c r="I54" s="824" t="str">
        <f t="shared" si="12"/>
        <v>-</v>
      </c>
      <c r="J54" s="68">
        <f t="shared" si="13"/>
        <v>0.49805912794588325</v>
      </c>
      <c r="K54" s="68"/>
      <c r="M54" s="65"/>
      <c r="N54" s="65"/>
      <c r="O54" s="65"/>
      <c r="P54" s="65"/>
    </row>
    <row r="55" spans="3:16" ht="15" customHeight="1">
      <c r="C55" s="827" t="str">
        <f>IF(Indice_index!$Z$1=1,"Administração Central","Central Administration")</f>
        <v>Central Administration</v>
      </c>
      <c r="D55" s="71">
        <v>17.407786689999998</v>
      </c>
      <c r="E55" s="71">
        <v>33.988917999999998</v>
      </c>
      <c r="F55" s="71">
        <v>11.878207059999998</v>
      </c>
      <c r="G55" s="71">
        <v>12.737249700000001</v>
      </c>
      <c r="H55" s="71">
        <f t="shared" si="3"/>
        <v>37.474713669908532</v>
      </c>
      <c r="I55" s="824">
        <f t="shared" si="12"/>
        <v>7.2320901265717108</v>
      </c>
      <c r="J55" s="68">
        <f t="shared" si="13"/>
        <v>1.9463610526296311E-3</v>
      </c>
      <c r="K55" s="68"/>
      <c r="L55" s="73"/>
      <c r="M55" s="65"/>
      <c r="N55" s="65"/>
      <c r="O55" s="65"/>
      <c r="P55" s="65"/>
    </row>
    <row r="56" spans="3:16" ht="15" customHeight="1">
      <c r="C56" s="827" t="str">
        <f>IF(Indice_index!$Z$1=1,"Outros subsectores das AP","Other General Government subsectors")</f>
        <v>Other General Government subsectors</v>
      </c>
      <c r="D56" s="71">
        <v>3.0124069999999999E-2</v>
      </c>
      <c r="E56" s="71">
        <v>0</v>
      </c>
      <c r="F56" s="71">
        <v>1.2405589999999999E-2</v>
      </c>
      <c r="G56" s="71">
        <v>1.867427E-2</v>
      </c>
      <c r="H56" s="825" t="str">
        <f>IFERROR(IF(G56/E56*100&lt;-500,"-",IF(G56/E56*100&gt;500,"-",G56/E56*100)),"-")</f>
        <v>-</v>
      </c>
      <c r="I56" s="824">
        <f t="shared" si="12"/>
        <v>50.531091225810307</v>
      </c>
      <c r="J56" s="68">
        <f t="shared" si="13"/>
        <v>1.4203153644850812E-5</v>
      </c>
      <c r="K56" s="68"/>
      <c r="L56" s="74"/>
      <c r="M56" s="65"/>
      <c r="N56" s="65"/>
      <c r="O56" s="65"/>
      <c r="P56" s="65"/>
    </row>
    <row r="57" spans="3:16" ht="15" customHeight="1">
      <c r="C57" s="827" t="str">
        <f>IF(Indice_index!$Z$1=1,"União Europeia","European Union")</f>
        <v>European Union</v>
      </c>
      <c r="D57" s="71">
        <v>18.856822619999999</v>
      </c>
      <c r="E57" s="71">
        <v>435.52218199999999</v>
      </c>
      <c r="F57" s="71">
        <v>20.550312160000001</v>
      </c>
      <c r="G57" s="71">
        <v>247.28492269</v>
      </c>
      <c r="H57" s="71">
        <f t="shared" si="3"/>
        <v>56.778950168375118</v>
      </c>
      <c r="I57" s="824" t="str">
        <f t="shared" si="12"/>
        <v>-</v>
      </c>
      <c r="J57" s="68">
        <f t="shared" si="13"/>
        <v>0.51372003515301445</v>
      </c>
      <c r="K57" s="68"/>
      <c r="L57" s="74"/>
      <c r="M57" s="65"/>
      <c r="N57" s="65"/>
      <c r="O57" s="65"/>
      <c r="P57" s="65"/>
    </row>
    <row r="58" spans="3:16" ht="15" customHeight="1">
      <c r="C58" s="827" t="str">
        <f>IF(Indice_index!$Z$1=1,"Outros","Others")</f>
        <v>Others</v>
      </c>
      <c r="D58" s="71">
        <v>9.3911312599999999</v>
      </c>
      <c r="E58" s="71">
        <v>0.48683600000000005</v>
      </c>
      <c r="F58" s="71">
        <v>9.3544586400000007</v>
      </c>
      <c r="G58" s="71">
        <v>1.57707566</v>
      </c>
      <c r="H58" s="71">
        <f t="shared" si="3"/>
        <v>323.94392772925585</v>
      </c>
      <c r="I58" s="824">
        <f t="shared" si="12"/>
        <v>-83.14092006076794</v>
      </c>
      <c r="J58" s="68">
        <f t="shared" si="13"/>
        <v>-1.7621471413405639E-2</v>
      </c>
      <c r="K58" s="68"/>
      <c r="M58" s="65"/>
      <c r="N58" s="65"/>
      <c r="O58" s="65"/>
      <c r="P58" s="65"/>
    </row>
    <row r="59" spans="3:16" ht="15" customHeight="1">
      <c r="C59" s="698" t="str">
        <f>IF(Indice_index!$Z$1=1,"Outras Receitas de Capital","Other capital revenue")</f>
        <v>Other capital revenue</v>
      </c>
      <c r="D59" s="71">
        <v>1.50296685</v>
      </c>
      <c r="E59" s="71">
        <v>6.2533849999999997</v>
      </c>
      <c r="F59" s="71">
        <v>0.33489271999999998</v>
      </c>
      <c r="G59" s="71">
        <v>20.281307250000001</v>
      </c>
      <c r="H59" s="71">
        <f t="shared" si="3"/>
        <v>324.32526143840499</v>
      </c>
      <c r="I59" s="824" t="str">
        <f t="shared" si="12"/>
        <v>-</v>
      </c>
      <c r="J59" s="68">
        <f t="shared" si="13"/>
        <v>4.5193244867097165E-2</v>
      </c>
      <c r="K59" s="68"/>
      <c r="M59" s="65"/>
      <c r="N59" s="65"/>
      <c r="O59" s="65"/>
      <c r="P59" s="65"/>
    </row>
    <row r="60" spans="3:16" ht="15" customHeight="1">
      <c r="C60" s="698" t="str">
        <f>IF(Indice_index!$Z$1=1,"Diferenças de consolidação","Consolidation differences")</f>
        <v>Consolidation differences</v>
      </c>
      <c r="D60" s="71">
        <v>0.68004496999999997</v>
      </c>
      <c r="E60" s="71">
        <v>0</v>
      </c>
      <c r="F60" s="71">
        <v>0.92513933000000037</v>
      </c>
      <c r="G60" s="71">
        <v>0</v>
      </c>
      <c r="H60" s="825" t="str">
        <f t="shared" si="3"/>
        <v>-</v>
      </c>
      <c r="I60" s="824"/>
      <c r="J60" s="68"/>
      <c r="K60" s="68"/>
      <c r="M60" s="65"/>
      <c r="N60" s="65"/>
      <c r="O60" s="65"/>
      <c r="P60" s="65"/>
    </row>
    <row r="61" spans="3:16" ht="4.5" customHeight="1">
      <c r="C61" s="699"/>
      <c r="D61" s="71"/>
      <c r="E61" s="71"/>
      <c r="F61" s="71"/>
      <c r="G61" s="71"/>
      <c r="H61" s="71"/>
      <c r="I61" s="822"/>
      <c r="J61" s="68"/>
      <c r="K61" s="68"/>
      <c r="M61" s="65"/>
      <c r="N61" s="65"/>
      <c r="O61" s="65"/>
      <c r="P61" s="65"/>
    </row>
    <row r="62" spans="3:16" s="277" customFormat="1" ht="15" customHeight="1">
      <c r="C62" s="828" t="str">
        <f>IF(Indice_index!$Z$1=1,"Receita efetiva","Effective Revenue")</f>
        <v>Effective Revenue</v>
      </c>
      <c r="D62" s="829">
        <f>+D9+D24+D28</f>
        <v>50074.131406090004</v>
      </c>
      <c r="E62" s="829">
        <f>+E9+E24+E28</f>
        <v>53717.583897999997</v>
      </c>
      <c r="F62" s="829">
        <f>+F9+F24+F28</f>
        <v>44135.831778970001</v>
      </c>
      <c r="G62" s="829">
        <f>+G9+G24+G28</f>
        <v>51561.333685419995</v>
      </c>
      <c r="H62" s="829">
        <f>IFERROR(IF(G62/E62*100&lt;-500,"-",IF(G62/E62*100&gt;500,"-",G62/E62*100)),"-")</f>
        <v>95.985950863549022</v>
      </c>
      <c r="I62" s="830">
        <f>IFERROR((G62-F62)/F62*100,"-")</f>
        <v>16.824202937052437</v>
      </c>
      <c r="J62" s="830"/>
      <c r="K62" s="280"/>
      <c r="L62" s="638"/>
      <c r="M62" s="273"/>
      <c r="N62" s="273"/>
      <c r="O62" s="273"/>
      <c r="P62" s="273"/>
    </row>
    <row r="63" spans="3:16" ht="15" customHeight="1">
      <c r="C63" s="831" t="str">
        <f>IF(Indice_index!$Z$1=1,"   Por memória:","   Memo item:")</f>
        <v xml:space="preserve">   Memo item:</v>
      </c>
      <c r="D63" s="832"/>
      <c r="E63" s="832"/>
      <c r="F63" s="832"/>
      <c r="G63" s="832"/>
      <c r="H63" s="832"/>
      <c r="I63" s="820"/>
      <c r="J63" s="66"/>
      <c r="K63" s="66"/>
      <c r="L63" s="69"/>
      <c r="M63" s="65"/>
      <c r="N63" s="65"/>
      <c r="O63" s="65"/>
      <c r="P63" s="65"/>
    </row>
    <row r="64" spans="3:16" ht="15" customHeight="1">
      <c r="C64" s="698" t="str">
        <f>IF(Indice_index!$Z$1=1,"Ativos Financeiros","Financial assets")</f>
        <v>Financial assets</v>
      </c>
      <c r="D64" s="71">
        <f>SUM(D65:D66)</f>
        <v>643.73246323000001</v>
      </c>
      <c r="E64" s="71">
        <f>SUM(E65:E66)</f>
        <v>3347.2469719999999</v>
      </c>
      <c r="F64" s="71">
        <f>SUM(F65:F66)</f>
        <v>490.99168039</v>
      </c>
      <c r="G64" s="71">
        <f>SUM(G65:G66)</f>
        <v>273.30254313</v>
      </c>
      <c r="H64" s="71"/>
      <c r="I64" s="822">
        <f>IF(IFERROR((G64-F64)/F64*100,"")&gt;500,"-",IFERROR((G64-F64)/F64*100,""))</f>
        <v>-44.33662441837857</v>
      </c>
      <c r="J64" s="66"/>
      <c r="K64" s="66"/>
      <c r="L64" s="67"/>
      <c r="M64" s="65"/>
      <c r="N64" s="65"/>
      <c r="O64" s="65"/>
      <c r="P64" s="65"/>
    </row>
    <row r="65" spans="3:16" ht="15" customHeight="1">
      <c r="C65" s="827" t="str">
        <f>IF(Indice_index!$Z$1=1,"Alienação de partes sociais de empresas","Divestment of company shares")</f>
        <v>Divestment of company shares</v>
      </c>
      <c r="D65" s="833">
        <v>1.3794E-4</v>
      </c>
      <c r="E65" s="833">
        <v>0</v>
      </c>
      <c r="F65" s="833">
        <v>1.3794E-4</v>
      </c>
      <c r="G65" s="833">
        <v>0</v>
      </c>
      <c r="H65" s="833"/>
      <c r="I65" s="822">
        <f>IF(IFERROR((G65-F65)/F65*100,"")&gt;500,"-",IFERROR((G65-F65)/F65*100,""))</f>
        <v>-100</v>
      </c>
      <c r="J65" s="66"/>
      <c r="K65" s="66"/>
      <c r="L65" s="75"/>
      <c r="M65" s="65"/>
      <c r="N65" s="65"/>
      <c r="O65" s="65"/>
      <c r="P65" s="65"/>
    </row>
    <row r="66" spans="3:16" ht="15" customHeight="1">
      <c r="C66" s="827" t="str">
        <f>IF(Indice_index!$Z$1=1,"Outros ativos","Other assets")</f>
        <v>Other assets</v>
      </c>
      <c r="D66" s="834">
        <v>643.73232529000006</v>
      </c>
      <c r="E66" s="834">
        <v>3347.2469719999999</v>
      </c>
      <c r="F66" s="834">
        <v>490.99154245</v>
      </c>
      <c r="G66" s="834">
        <v>273.30254313</v>
      </c>
      <c r="H66" s="834"/>
      <c r="I66" s="822">
        <f>IF(IFERROR((G66-F66)/F66*100,"")&gt;500,"-",IFERROR((G66-F66)/F66*100,""))</f>
        <v>-44.336608780215045</v>
      </c>
      <c r="J66" s="66"/>
      <c r="K66" s="66"/>
      <c r="L66" s="67"/>
      <c r="M66" s="65"/>
      <c r="N66" s="65"/>
      <c r="O66" s="65"/>
      <c r="P66" s="65"/>
    </row>
    <row r="67" spans="3:16" ht="15" customHeight="1">
      <c r="C67" s="698" t="str">
        <f>IF(Indice_index!$Z$1=1,"Passivos Financeiros","Financial liabilities")</f>
        <v>Financial liabilities</v>
      </c>
      <c r="D67" s="834">
        <v>63645.434409809997</v>
      </c>
      <c r="E67" s="834">
        <v>99026.885108000002</v>
      </c>
      <c r="F67" s="834">
        <v>49322.426371119996</v>
      </c>
      <c r="G67" s="834">
        <v>45820.7343416</v>
      </c>
      <c r="H67" s="834"/>
      <c r="I67" s="822">
        <f>IF(IFERROR((G67-F67)/F67*100,"")&gt;500,"-",IFERROR((G67-F67)/F67*100,""))</f>
        <v>-7.0995940126140242</v>
      </c>
      <c r="J67" s="66"/>
      <c r="K67" s="66"/>
      <c r="L67" s="75"/>
      <c r="M67" s="65"/>
      <c r="N67" s="65"/>
      <c r="O67" s="65"/>
      <c r="P67" s="65"/>
    </row>
    <row r="68" spans="3:16" ht="15" customHeight="1">
      <c r="C68" s="835" t="str">
        <f>IF(Indice_index!$Z$1=1,"Saldo da Gerência Anterior","Previous management balance")</f>
        <v>Previous management balance</v>
      </c>
      <c r="D68" s="836">
        <v>-7.0201009699999997</v>
      </c>
      <c r="E68" s="836">
        <v>0</v>
      </c>
      <c r="F68" s="836">
        <v>-6.9932465099999996</v>
      </c>
      <c r="G68" s="836">
        <v>-1.3900760000000001</v>
      </c>
      <c r="H68" s="836"/>
      <c r="I68" s="837">
        <f>IF(IFERROR((G68-F68)/F68*100,"")&gt;500,"-",IFERROR((G68-F68)/F68*100,""))</f>
        <v>-80.122594019640815</v>
      </c>
      <c r="J68" s="838"/>
      <c r="K68" s="66"/>
      <c r="M68" s="65"/>
      <c r="N68" s="65"/>
      <c r="O68" s="65"/>
      <c r="P68" s="65"/>
    </row>
    <row r="69" spans="3:16" ht="4.5" customHeight="1">
      <c r="C69" s="698"/>
      <c r="D69" s="698"/>
      <c r="E69" s="698"/>
      <c r="F69" s="71"/>
      <c r="G69" s="71"/>
      <c r="H69" s="71"/>
      <c r="I69" s="820"/>
      <c r="J69" s="66"/>
      <c r="K69" s="66"/>
      <c r="L69" s="67"/>
      <c r="M69" s="65"/>
      <c r="N69" s="65"/>
      <c r="O69" s="65"/>
      <c r="P69" s="65"/>
    </row>
    <row r="70" spans="3:16" ht="15" customHeight="1">
      <c r="C70" s="839" t="str">
        <f>IF(Indice_index!$Z$1=1,"Notas:","Notes:")</f>
        <v>Notes:</v>
      </c>
      <c r="D70" s="839"/>
      <c r="E70" s="839"/>
      <c r="F70" s="76"/>
      <c r="G70" s="840"/>
      <c r="H70" s="840"/>
      <c r="I70" s="76"/>
      <c r="J70" s="76"/>
      <c r="K70" s="76"/>
    </row>
    <row r="71" spans="3:16" ht="15" customHeight="1">
      <c r="C71" s="1713" t="str">
        <f>IF(Indice_index!$Z$1=1,"Valores registados no Sistema Central de Receitas (SCR).","Amounts accounted for on the Central Revenue System (SCR).")</f>
        <v>Amounts accounted for on the Central Revenue System (SCR).</v>
      </c>
      <c r="D71" s="1713"/>
      <c r="E71" s="1713"/>
      <c r="F71" s="1713"/>
      <c r="G71" s="1713"/>
      <c r="H71" s="1713"/>
      <c r="I71" s="1713"/>
      <c r="J71" s="1713"/>
      <c r="K71" s="76"/>
    </row>
    <row r="72" spans="3:16" ht="15.75" customHeight="1">
      <c r="C72" s="1714" t="str">
        <f>IF(Indice_index!$Z$1=1,"As cobranças líquidas negativas, ou inferiores ao mês anterior, resultam de estornos ou de pagamentos de reembolso e/ou restituição.","Negative net collections or inferior than those of the previous month result from reversals or reimbursement and/or restitution payments.")</f>
        <v>Negative net collections or inferior than those of the previous month result from reversals or reimbursement and/or restitution payments.</v>
      </c>
      <c r="D72" s="1714"/>
      <c r="E72" s="1714"/>
      <c r="F72" s="1714"/>
      <c r="G72" s="1714"/>
      <c r="H72" s="1714"/>
      <c r="I72" s="1714"/>
      <c r="J72" s="1714"/>
      <c r="K72" s="77"/>
    </row>
    <row r="73" spans="3:16" ht="4.5" customHeight="1">
      <c r="C73" s="416"/>
      <c r="D73" s="416"/>
      <c r="E73" s="416"/>
    </row>
    <row r="74" spans="3:16" ht="15" customHeight="1">
      <c r="C74" s="699" t="str">
        <f>IF(Indice_index!$Z$1=1,"Fonte: Direção-Geral do Orçamento","Source: Budget General Directorate")</f>
        <v>Source: Budget General Directorate</v>
      </c>
      <c r="D74" s="699"/>
      <c r="E74" s="699"/>
      <c r="L74" s="74"/>
    </row>
    <row r="75" spans="3:16" ht="11.25" customHeight="1">
      <c r="C75" s="604"/>
      <c r="D75" s="604"/>
      <c r="E75" s="649"/>
      <c r="F75" s="604"/>
      <c r="G75" s="604"/>
      <c r="H75" s="651"/>
      <c r="I75" s="604"/>
      <c r="J75" s="604"/>
      <c r="K75" s="78"/>
      <c r="L75" s="74"/>
    </row>
    <row r="76" spans="3:16">
      <c r="F76" s="841"/>
      <c r="G76" s="841"/>
    </row>
    <row r="91" spans="6:6">
      <c r="F91" s="79"/>
    </row>
  </sheetData>
  <mergeCells count="4">
    <mergeCell ref="F6:G6"/>
    <mergeCell ref="I6:J6"/>
    <mergeCell ref="C71:J71"/>
    <mergeCell ref="C72:J72"/>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D8 G6:H6 J6 I7 I6 J7 D6:E6" unlockedFormula="1"/>
    <ignoredError sqref="E29:G29 F35:G35 E39:G39 E52:G52 E54:G54 G62 E45:G45 D52 F63:G64 D54 D64:E64 D45 D39 D29" formulaRange="1"/>
    <ignoredError sqref="D7:E7 H7" numberStoredAsText="1" unlockedFormula="1"/>
    <ignoredError sqref="F7:G7" numberStoredAsText="1"/>
    <ignoredError sqref="E30" formula="1"/>
  </ignoredError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3">
    <pageSetUpPr fitToPage="1"/>
  </sheetPr>
  <dimension ref="B1:W130"/>
  <sheetViews>
    <sheetView showGridLines="0" zoomScaleNormal="100" zoomScaleSheetLayoutView="100" workbookViewId="0">
      <selection activeCell="B2" sqref="B2"/>
    </sheetView>
  </sheetViews>
  <sheetFormatPr defaultColWidth="9.1796875" defaultRowHeight="12"/>
  <cols>
    <col min="1" max="1" width="2.453125" style="53" customWidth="1"/>
    <col min="2" max="2" width="4.453125" style="53" customWidth="1"/>
    <col min="3" max="3" width="40" style="62" customWidth="1"/>
    <col min="4" max="6" width="9.453125" style="62" customWidth="1"/>
    <col min="7" max="10" width="9.453125" style="53" customWidth="1"/>
    <col min="11" max="14" width="8.54296875" style="53" customWidth="1"/>
    <col min="15" max="15" width="9.54296875" style="50" bestFit="1" customWidth="1"/>
    <col min="16" max="17" width="9.1796875" style="50" customWidth="1"/>
    <col min="18" max="16384" width="9.1796875" style="53"/>
  </cols>
  <sheetData>
    <row r="1" spans="2:23" s="50" customFormat="1" ht="15" customHeight="1">
      <c r="B1" s="49"/>
      <c r="C1" s="49"/>
      <c r="D1" s="49"/>
      <c r="E1" s="49"/>
    </row>
    <row r="2" spans="2:23" ht="38.25" customHeight="1">
      <c r="B2" s="8"/>
      <c r="C2" s="1720" t="str">
        <f>IF(Indice_index!$Z$1=1,"9 - Execução Orçamental dos Serviços e Fundos Autónomos 
(inclui Entidades Públicas Reclassificadas da Administração Central)","9 - Autonomous Services and Funds Budget Execution (including State Owned Enterprises)")</f>
        <v>9 - Autonomous Services and Funds Budget Execution (including State Owned Enterprises)</v>
      </c>
      <c r="D2" s="1720"/>
      <c r="E2" s="1720"/>
      <c r="F2" s="1720"/>
      <c r="G2" s="1720"/>
      <c r="H2" s="1720"/>
      <c r="I2" s="1720"/>
      <c r="J2" s="1720"/>
      <c r="O2" s="80"/>
      <c r="Q2" s="80"/>
    </row>
    <row r="3" spans="2:23" ht="15" customHeight="1">
      <c r="C3" s="54"/>
      <c r="D3" s="54"/>
      <c r="E3" s="54"/>
      <c r="F3" s="81"/>
      <c r="O3" s="80"/>
    </row>
    <row r="4" spans="2:23" ht="15" customHeight="1">
      <c r="C4" s="53"/>
      <c r="D4" s="53"/>
      <c r="E4" s="53"/>
    </row>
    <row r="5" spans="2:23" s="271" customFormat="1" ht="15" customHeight="1">
      <c r="C5" s="696" t="str">
        <f>+'5 - Conta AC + SS'!C5</f>
        <v>Period: January to November</v>
      </c>
      <c r="D5" s="696"/>
      <c r="E5" s="696"/>
      <c r="F5" s="1076"/>
      <c r="G5" s="1076"/>
      <c r="J5" s="1040" t="str">
        <f>IF(Indice_index!$Z$1=1,"€ Milhões","€ Millions")</f>
        <v>€ Millions</v>
      </c>
      <c r="K5" s="250"/>
      <c r="O5" s="248"/>
      <c r="P5" s="248"/>
      <c r="Q5" s="248"/>
    </row>
    <row r="6" spans="2:23" ht="30.75" customHeight="1">
      <c r="C6" s="812"/>
      <c r="D6" s="813" t="str">
        <f>IF(Indice_index!$Z$1=1,"CGE","Final execution")</f>
        <v>Final execution</v>
      </c>
      <c r="E6" s="813" t="str">
        <f>IF(Indice_index!$Z$1=1,"Orçamento Inicial","Budget")</f>
        <v>Budget</v>
      </c>
      <c r="F6" s="1721" t="str">
        <f>IF(Indice_index!$Z$1=1,"Execução Acumulada","Accumulated Execution")</f>
        <v>Accumulated Execution</v>
      </c>
      <c r="G6" s="1721"/>
      <c r="H6" s="1077" t="str">
        <f>IF(Indice_index!$Z$1=1,"Grau de Execução (%)","Execution Degree (%)")</f>
        <v>Execution Degree (%)</v>
      </c>
      <c r="I6" s="1707" t="str">
        <f>IF(Indice_index!$Z$1=1,"Variação Homóloga Acumulada","YOY Change Rate")</f>
        <v>YOY Change Rate</v>
      </c>
      <c r="J6" s="1708"/>
      <c r="K6" s="96"/>
      <c r="M6" s="82"/>
      <c r="N6" s="82"/>
      <c r="O6" s="83"/>
      <c r="P6" s="84"/>
      <c r="Q6" s="56"/>
      <c r="R6" s="56"/>
      <c r="S6" s="84"/>
      <c r="T6" s="84"/>
      <c r="U6" s="1722"/>
      <c r="V6" s="1722"/>
      <c r="W6" s="85"/>
    </row>
    <row r="7" spans="2:23" ht="30.75" customHeight="1">
      <c r="C7" s="1074"/>
      <c r="D7" s="815" t="s">
        <v>67</v>
      </c>
      <c r="E7" s="815" t="s">
        <v>73</v>
      </c>
      <c r="F7" s="816" t="s">
        <v>67</v>
      </c>
      <c r="G7" s="816" t="s">
        <v>73</v>
      </c>
      <c r="H7" s="818" t="s">
        <v>73</v>
      </c>
      <c r="I7" s="818" t="str">
        <f>IF(Indice_index!$Z$1=1,"Relativa (%)","Relative change (%)")</f>
        <v>Relative change (%)</v>
      </c>
      <c r="J7" s="819" t="str">
        <f>IF(Indice_index!$Z$1=1,"Contributo VHA (p.p.)","YOY Change Rate Contrib. (p.p.)")</f>
        <v>YOY Change Rate Contrib. (p.p.)</v>
      </c>
      <c r="K7" s="96"/>
      <c r="M7" s="82"/>
      <c r="N7" s="82"/>
      <c r="O7" s="83"/>
      <c r="P7" s="84"/>
      <c r="Q7" s="56"/>
      <c r="R7" s="56"/>
      <c r="S7" s="84"/>
      <c r="T7" s="84"/>
      <c r="U7" s="228"/>
      <c r="V7" s="228"/>
      <c r="W7" s="85"/>
    </row>
    <row r="8" spans="2:23" s="86" customFormat="1" ht="4.5" customHeight="1">
      <c r="C8" s="1078"/>
      <c r="D8" s="1078"/>
      <c r="E8" s="1078"/>
      <c r="F8" s="111"/>
      <c r="G8" s="111"/>
      <c r="H8" s="111"/>
      <c r="I8" s="111"/>
      <c r="J8" s="111"/>
      <c r="K8" s="96"/>
      <c r="L8" s="87"/>
    </row>
    <row r="9" spans="2:23" s="271" customFormat="1" ht="15" customHeight="1">
      <c r="C9" s="930" t="str">
        <f>IF(Indice_index!$Z$1=1,"Receita corrente","Current revenue")</f>
        <v>Current revenue</v>
      </c>
      <c r="D9" s="930">
        <f>SUM(D10:D21)-D10-D15</f>
        <v>33002.916678409994</v>
      </c>
      <c r="E9" s="930">
        <f>SUM(E10:E21)-E10-E15</f>
        <v>35774.327892000001</v>
      </c>
      <c r="F9" s="1079">
        <f>SUM(F10:F21)-F10-F15</f>
        <v>30338.022406060016</v>
      </c>
      <c r="G9" s="1079">
        <f>SUM(G10:G21)-G10-G15</f>
        <v>31697.590205630011</v>
      </c>
      <c r="H9" s="281">
        <f>IFERROR(IF(G9/E9*100&lt;-500,"-",IF(G9/E9*100&gt;500,"-",G9/E9*100)),"-")</f>
        <v>88.604292724443752</v>
      </c>
      <c r="I9" s="281">
        <f>IF(IFERROR((G9-F9)/F9*100,"")&gt;500,"-",IFERROR((G9-F9)/F9*100,""))</f>
        <v>4.4813988907148463</v>
      </c>
      <c r="J9" s="278">
        <f t="shared" ref="J9:J18" si="0">IFERROR((G9-F9)/$F$32*100,"-")</f>
        <v>4.1317505713568039</v>
      </c>
      <c r="K9" s="518"/>
      <c r="L9" s="282"/>
      <c r="M9" s="282"/>
      <c r="N9" s="283"/>
      <c r="O9" s="283"/>
      <c r="P9" s="283"/>
    </row>
    <row r="10" spans="2:23" ht="15" customHeight="1">
      <c r="C10" s="1080" t="str">
        <f>IF(Indice_index!$Z$1=1,"Receita Fiscal","Tax")</f>
        <v>Tax</v>
      </c>
      <c r="D10" s="220">
        <f>D11+D12</f>
        <v>567.70099941000012</v>
      </c>
      <c r="E10" s="220">
        <f>E11+E12</f>
        <v>636.04550600000005</v>
      </c>
      <c r="F10" s="113">
        <f>F11+F12</f>
        <v>522.83919435999996</v>
      </c>
      <c r="G10" s="113">
        <f>G11+G12</f>
        <v>578.55669662000003</v>
      </c>
      <c r="H10" s="221">
        <f>IFERROR(IF(G10/E10*100&lt;-500,"-",IF(G10/E10*100&gt;500,"-",G10/E10*100)),"-")</f>
        <v>90.961525733977908</v>
      </c>
      <c r="I10" s="221">
        <f t="shared" ref="I10:I28" si="1">IF(IFERROR((G10-F10)/F10*100,"")&gt;500,"-",IFERROR((G10-F10)/F10*100,""))</f>
        <v>10.656718712185123</v>
      </c>
      <c r="J10" s="221">
        <f t="shared" si="0"/>
        <v>0.16932647409723917</v>
      </c>
      <c r="K10" s="329"/>
      <c r="L10" s="88"/>
      <c r="N10" s="89"/>
      <c r="O10" s="89"/>
      <c r="P10" s="89"/>
      <c r="Q10" s="53"/>
    </row>
    <row r="11" spans="2:23" ht="15" customHeight="1">
      <c r="C11" s="858" t="str">
        <f>IF(Indice_index!$Z$1=1,"Impostos diretos","Direct taxes")</f>
        <v>Direct taxes</v>
      </c>
      <c r="D11" s="220">
        <v>1.5595100000000001E-3</v>
      </c>
      <c r="E11" s="220">
        <v>0</v>
      </c>
      <c r="F11" s="222">
        <v>1.5595100000000001E-3</v>
      </c>
      <c r="G11" s="222">
        <v>0</v>
      </c>
      <c r="H11" s="221" t="str">
        <f t="shared" ref="H11:H20" si="2">IFERROR(IF(G11/E11*100&lt;-500,"-",IF(G11/E11*100&gt;500,"-",G11/E11*100)),"-")</f>
        <v>-</v>
      </c>
      <c r="I11" s="221">
        <f t="shared" si="1"/>
        <v>-100</v>
      </c>
      <c r="J11" s="221">
        <f t="shared" si="0"/>
        <v>-4.7393784521629624E-6</v>
      </c>
      <c r="K11" s="329"/>
      <c r="L11" s="88"/>
      <c r="M11" s="89"/>
      <c r="N11" s="89"/>
      <c r="O11" s="89"/>
      <c r="P11" s="89"/>
      <c r="Q11" s="53"/>
    </row>
    <row r="12" spans="2:23" ht="15" customHeight="1">
      <c r="C12" s="858" t="str">
        <f>IF(Indice_index!$Z$1=1,"Impostos indiretos","Indirect taxes")</f>
        <v>Indirect taxes</v>
      </c>
      <c r="D12" s="220">
        <v>567.69943990000013</v>
      </c>
      <c r="E12" s="220">
        <v>636.04550600000005</v>
      </c>
      <c r="F12" s="222">
        <v>522.83763484999997</v>
      </c>
      <c r="G12" s="222">
        <v>578.55669662000003</v>
      </c>
      <c r="H12" s="221">
        <f t="shared" si="2"/>
        <v>90.961525733977908</v>
      </c>
      <c r="I12" s="221">
        <f t="shared" si="1"/>
        <v>10.657048776908654</v>
      </c>
      <c r="J12" s="221">
        <f t="shared" si="0"/>
        <v>0.1693312134756913</v>
      </c>
      <c r="K12" s="329"/>
      <c r="L12" s="88"/>
      <c r="M12" s="89"/>
      <c r="N12" s="89"/>
      <c r="O12" s="89"/>
      <c r="P12" s="89"/>
      <c r="Q12" s="53"/>
    </row>
    <row r="13" spans="2:23" ht="15" customHeight="1">
      <c r="C13" s="1080" t="str">
        <f>IF(Indice_index!$Z$1=1,"Contribuições para Segurança Social, CGA e ADSE","Social security, CGA and ADSE contributions")</f>
        <v>Social security, CGA and ADSE contributions</v>
      </c>
      <c r="D13" s="220">
        <v>4185.2423433499998</v>
      </c>
      <c r="E13" s="220">
        <v>4120.2334600000004</v>
      </c>
      <c r="F13" s="222">
        <v>3644.8200914500012</v>
      </c>
      <c r="G13" s="222">
        <v>3540.4903227500004</v>
      </c>
      <c r="H13" s="221">
        <f t="shared" si="2"/>
        <v>85.929361943242895</v>
      </c>
      <c r="I13" s="221">
        <f t="shared" si="1"/>
        <v>-2.8624120280926082</v>
      </c>
      <c r="J13" s="221">
        <f t="shared" si="0"/>
        <v>-0.31706001096237268</v>
      </c>
      <c r="K13" s="329"/>
      <c r="L13" s="88"/>
      <c r="M13" s="89"/>
      <c r="N13" s="89"/>
      <c r="O13" s="89"/>
      <c r="P13" s="89"/>
      <c r="Q13" s="53"/>
    </row>
    <row r="14" spans="2:23" ht="15" customHeight="1">
      <c r="C14" s="1080" t="str">
        <f>IF(Indice_index!$Z$1=1,"Taxas, Multas e Outras Penalidades","Taxes, fines and other penalties")</f>
        <v>Taxes, fines and other penalties</v>
      </c>
      <c r="D14" s="220">
        <v>2476.7495912099989</v>
      </c>
      <c r="E14" s="220">
        <v>2259.533868</v>
      </c>
      <c r="F14" s="222">
        <v>2203.9658437500002</v>
      </c>
      <c r="G14" s="222">
        <v>2090.5246524199983</v>
      </c>
      <c r="H14" s="221">
        <f t="shared" si="2"/>
        <v>92.520173387372225</v>
      </c>
      <c r="I14" s="221">
        <f t="shared" si="1"/>
        <v>-5.1471392649617531</v>
      </c>
      <c r="J14" s="221">
        <f t="shared" si="0"/>
        <v>-0.34474978536662582</v>
      </c>
      <c r="K14" s="329"/>
      <c r="L14" s="88"/>
      <c r="M14" s="89"/>
      <c r="N14" s="89"/>
      <c r="O14" s="89"/>
      <c r="P14" s="89"/>
      <c r="Q14" s="53"/>
    </row>
    <row r="15" spans="2:23" ht="15" customHeight="1">
      <c r="C15" s="1080" t="str">
        <f>IF(Indice_index!$Z$1=1,"Transferências Correntes","Current transfers")</f>
        <v>Current transfers</v>
      </c>
      <c r="D15" s="220">
        <f>SUM(D16:D19)</f>
        <v>22582.773708600002</v>
      </c>
      <c r="E15" s="220">
        <f>SUM(E16:E19)</f>
        <v>24412.603299999999</v>
      </c>
      <c r="F15" s="220">
        <f>SUM(F16:F19)</f>
        <v>21119.732173430013</v>
      </c>
      <c r="G15" s="220">
        <f>SUM(G16:G19)</f>
        <v>22104.708216849998</v>
      </c>
      <c r="H15" s="221">
        <f t="shared" si="2"/>
        <v>90.546296702613432</v>
      </c>
      <c r="I15" s="221">
        <f t="shared" si="1"/>
        <v>4.6637714689353338</v>
      </c>
      <c r="J15" s="221">
        <f t="shared" si="0"/>
        <v>2.9933596040303736</v>
      </c>
      <c r="K15" s="329"/>
      <c r="L15" s="90"/>
      <c r="M15" s="91"/>
      <c r="N15" s="89"/>
      <c r="O15" s="89"/>
      <c r="P15" s="89"/>
      <c r="Q15" s="53"/>
    </row>
    <row r="16" spans="2:23" ht="15" customHeight="1">
      <c r="C16" s="858" t="str">
        <f>IF(Indice_index!$Z$1=1,"Administração Central","Central Administration")</f>
        <v>Central Administration</v>
      </c>
      <c r="D16" s="220">
        <v>19688.556962950002</v>
      </c>
      <c r="E16" s="220">
        <v>20380.660312</v>
      </c>
      <c r="F16" s="113">
        <v>18172.883396460013</v>
      </c>
      <c r="G16" s="113">
        <v>19649.230989719999</v>
      </c>
      <c r="H16" s="221">
        <f t="shared" si="2"/>
        <v>96.411159839363307</v>
      </c>
      <c r="I16" s="221">
        <f t="shared" si="1"/>
        <v>8.1239039565266342</v>
      </c>
      <c r="J16" s="221">
        <f t="shared" si="0"/>
        <v>4.4866464283005749</v>
      </c>
      <c r="K16" s="329"/>
      <c r="L16" s="90"/>
      <c r="M16" s="89"/>
      <c r="N16" s="89"/>
      <c r="O16" s="89"/>
      <c r="P16" s="89"/>
      <c r="Q16" s="53"/>
    </row>
    <row r="17" spans="3:17" ht="15" customHeight="1">
      <c r="C17" s="973" t="str">
        <f>IF(Indice_index!$Z$1=1,"Outros subsectores das AP","Other General Government subsectors")</f>
        <v>Other General Government subsectors</v>
      </c>
      <c r="D17" s="220">
        <v>1953.2891190800001</v>
      </c>
      <c r="E17" s="220">
        <v>1654.644951</v>
      </c>
      <c r="F17" s="222">
        <v>1822.8817247500003</v>
      </c>
      <c r="G17" s="222">
        <v>1474.3143119999997</v>
      </c>
      <c r="H17" s="221">
        <f t="shared" si="2"/>
        <v>89.101550825691291</v>
      </c>
      <c r="I17" s="221">
        <f t="shared" si="1"/>
        <v>-19.121778885451548</v>
      </c>
      <c r="J17" s="221">
        <f t="shared" si="0"/>
        <v>-1.059302527789848</v>
      </c>
      <c r="K17" s="329"/>
      <c r="L17" s="90"/>
      <c r="M17" s="89"/>
      <c r="N17" s="89"/>
      <c r="O17" s="89"/>
      <c r="P17" s="89"/>
      <c r="Q17" s="53"/>
    </row>
    <row r="18" spans="3:17" ht="15" customHeight="1">
      <c r="C18" s="973" t="str">
        <f>IF(Indice_index!$Z$1=1,"União Europeia","European Union")</f>
        <v>European Union</v>
      </c>
      <c r="D18" s="220">
        <v>866.98542303000022</v>
      </c>
      <c r="E18" s="220">
        <v>2278.9706780000001</v>
      </c>
      <c r="F18" s="222">
        <v>1061.7705552299997</v>
      </c>
      <c r="G18" s="222">
        <v>907.74400628000001</v>
      </c>
      <c r="H18" s="221">
        <f t="shared" si="2"/>
        <v>39.831315735778851</v>
      </c>
      <c r="I18" s="221">
        <f t="shared" si="1"/>
        <v>-14.506575661879658</v>
      </c>
      <c r="J18" s="221">
        <f t="shared" si="0"/>
        <v>-0.46808940446335845</v>
      </c>
      <c r="K18" s="329"/>
      <c r="L18" s="90"/>
      <c r="M18" s="89"/>
      <c r="N18" s="89"/>
      <c r="O18" s="89"/>
      <c r="P18" s="89"/>
      <c r="Q18" s="53"/>
    </row>
    <row r="19" spans="3:17" ht="15" customHeight="1">
      <c r="C19" s="973" t="str">
        <f>IF(Indice_index!$Z$1=1,"Outras transferências","Other transfers")</f>
        <v>Other transfers</v>
      </c>
      <c r="D19" s="1081">
        <v>73.942203540000037</v>
      </c>
      <c r="E19" s="1081">
        <v>98.327358999999888</v>
      </c>
      <c r="F19" s="222">
        <v>62.196496990000242</v>
      </c>
      <c r="G19" s="222">
        <v>73.41890884999998</v>
      </c>
      <c r="H19" s="221">
        <f t="shared" si="2"/>
        <v>74.667833649432268</v>
      </c>
      <c r="I19" s="221">
        <f t="shared" si="1"/>
        <v>18.043478978894971</v>
      </c>
      <c r="J19" s="221">
        <f>IFERROR((G19-F19)/$F$32*100,"-")</f>
        <v>3.4105107983008011E-2</v>
      </c>
      <c r="K19" s="329"/>
      <c r="L19" s="90"/>
      <c r="M19" s="89"/>
      <c r="N19" s="89"/>
      <c r="O19" s="89"/>
      <c r="P19" s="89"/>
      <c r="Q19" s="53"/>
    </row>
    <row r="20" spans="3:17" ht="15" customHeight="1">
      <c r="C20" s="1080" t="str">
        <f>IF(Indice_index!$Z$1=1,"Outras Receitas Correntes","Other current revenue")</f>
        <v>Other current revenue</v>
      </c>
      <c r="D20" s="220">
        <v>3150.4906862000016</v>
      </c>
      <c r="E20" s="220">
        <v>4338.4852229999997</v>
      </c>
      <c r="F20" s="222">
        <v>2832.0902237900013</v>
      </c>
      <c r="G20" s="222">
        <v>3370.5084830800038</v>
      </c>
      <c r="H20" s="221">
        <f t="shared" si="2"/>
        <v>77.688601201442978</v>
      </c>
      <c r="I20" s="221">
        <f t="shared" si="1"/>
        <v>19.011338507763796</v>
      </c>
      <c r="J20" s="221">
        <f>IFERROR((G20-F20)/$F$32*100,"-")</f>
        <v>1.6362626057736904</v>
      </c>
      <c r="K20" s="329"/>
      <c r="L20" s="90"/>
      <c r="M20" s="89"/>
      <c r="N20" s="89"/>
      <c r="O20" s="89"/>
      <c r="P20" s="89"/>
      <c r="Q20" s="53"/>
    </row>
    <row r="21" spans="3:17" ht="15" customHeight="1">
      <c r="C21" s="851" t="str">
        <f>IF(Indice_index!$Z$1=1,"Diferenças de consolidação","Consolidation differences")</f>
        <v>Consolidation differences</v>
      </c>
      <c r="D21" s="220">
        <v>39.959349639997612</v>
      </c>
      <c r="E21" s="220">
        <v>7.4265349999996033</v>
      </c>
      <c r="F21" s="222">
        <v>14.574879279998873</v>
      </c>
      <c r="G21" s="222">
        <v>12.80183390999956</v>
      </c>
      <c r="H21" s="221"/>
      <c r="I21" s="221"/>
      <c r="J21" s="221"/>
      <c r="K21" s="329"/>
      <c r="L21" s="90"/>
      <c r="M21" s="88"/>
      <c r="N21" s="89"/>
      <c r="O21" s="89"/>
      <c r="P21" s="89"/>
      <c r="Q21" s="53"/>
    </row>
    <row r="22" spans="3:17" s="271" customFormat="1" ht="15" customHeight="1">
      <c r="C22" s="930" t="str">
        <f>IF(Indice_index!$Z$1=1,"Receita de capital","Capital revenue")</f>
        <v>Capital revenue</v>
      </c>
      <c r="D22" s="284">
        <f>SUM(D23:D30)-D24</f>
        <v>3034.4154667399998</v>
      </c>
      <c r="E22" s="284">
        <f>SUM(E23:E30)-E24</f>
        <v>4634.738566</v>
      </c>
      <c r="F22" s="284">
        <f>SUM(F23:F30)-F24</f>
        <v>2567.34726933</v>
      </c>
      <c r="G22" s="284">
        <f>SUM(G23:G30)-G24</f>
        <v>2210.709773600001</v>
      </c>
      <c r="H22" s="284">
        <f t="shared" ref="H22:H29" si="3">IFERROR(IF(G22/E22*100&lt;-500,"-",IF(G22/E22*100&gt;500,"-",G22/E22*100)),"-")</f>
        <v>47.698694157585436</v>
      </c>
      <c r="I22" s="284">
        <f t="shared" si="1"/>
        <v>-13.89128381619642</v>
      </c>
      <c r="J22" s="284">
        <f t="shared" ref="J22:J29" si="4">IFERROR((G22-F22)/$F$32*100,"-")</f>
        <v>-1.0838276525935184</v>
      </c>
      <c r="K22" s="518"/>
      <c r="L22" s="282"/>
      <c r="M22" s="282"/>
      <c r="N22" s="283"/>
      <c r="O22" s="283"/>
      <c r="P22" s="283"/>
    </row>
    <row r="23" spans="3:17" ht="15" customHeight="1">
      <c r="C23" s="1080" t="str">
        <f>IF(Indice_index!$Z$1=1,"Venda de bens de investimento","Sale of investment goods")</f>
        <v>Sale of investment goods</v>
      </c>
      <c r="D23" s="222">
        <v>117.54567847</v>
      </c>
      <c r="E23" s="222">
        <v>128.73524900000001</v>
      </c>
      <c r="F23" s="222">
        <v>74.442148390000028</v>
      </c>
      <c r="G23" s="222">
        <v>91.300439680000011</v>
      </c>
      <c r="H23" s="222">
        <f t="shared" si="3"/>
        <v>70.921088349314502</v>
      </c>
      <c r="I23" s="222">
        <f t="shared" si="1"/>
        <v>22.64616437677206</v>
      </c>
      <c r="J23" s="222">
        <f t="shared" si="4"/>
        <v>5.1232645177082842E-2</v>
      </c>
      <c r="K23" s="329"/>
      <c r="L23" s="88"/>
      <c r="M23" s="91"/>
      <c r="N23" s="89"/>
      <c r="O23" s="89"/>
      <c r="P23" s="89"/>
      <c r="Q23" s="53"/>
    </row>
    <row r="24" spans="3:17" ht="15" customHeight="1">
      <c r="C24" s="1080" t="str">
        <f>IF(Indice_index!$Z$1=1,"Transferências de capital","Capital transfers")</f>
        <v>Capital transfers</v>
      </c>
      <c r="D24" s="222">
        <f>SUM(D25:D28)</f>
        <v>2891.6004543500003</v>
      </c>
      <c r="E24" s="222">
        <f>SUM(E25:E28)</f>
        <v>4468.6257059999989</v>
      </c>
      <c r="F24" s="222">
        <f>SUM(F25:F28)</f>
        <v>2477.9362845799997</v>
      </c>
      <c r="G24" s="222">
        <f>SUM(G25:G28)</f>
        <v>2092.1599655499999</v>
      </c>
      <c r="H24" s="222">
        <f t="shared" si="3"/>
        <v>46.818867884613127</v>
      </c>
      <c r="I24" s="222">
        <f t="shared" si="1"/>
        <v>-15.568451918261783</v>
      </c>
      <c r="J24" s="222">
        <f t="shared" si="4"/>
        <v>-1.1723810515902593</v>
      </c>
      <c r="K24" s="329"/>
      <c r="L24" s="88"/>
      <c r="M24" s="91"/>
      <c r="N24" s="89"/>
      <c r="O24" s="89"/>
      <c r="P24" s="89"/>
      <c r="Q24" s="53"/>
    </row>
    <row r="25" spans="3:17" ht="15" customHeight="1">
      <c r="C25" s="858" t="str">
        <f>IF(Indice_index!$Z$1=1,"Administração Central","Central Administration")</f>
        <v>Central Administration</v>
      </c>
      <c r="D25" s="222">
        <v>1898.9395623700002</v>
      </c>
      <c r="E25" s="222">
        <v>1470.751487</v>
      </c>
      <c r="F25" s="222">
        <v>1623.9027594399997</v>
      </c>
      <c r="G25" s="222">
        <v>1100.95626133</v>
      </c>
      <c r="H25" s="222">
        <f t="shared" si="3"/>
        <v>74.856715839580858</v>
      </c>
      <c r="I25" s="222">
        <f t="shared" si="1"/>
        <v>-32.203067275428303</v>
      </c>
      <c r="J25" s="222">
        <f t="shared" si="4"/>
        <v>-1.5892436501058742</v>
      </c>
      <c r="K25" s="329"/>
      <c r="L25" s="88"/>
      <c r="M25" s="89"/>
      <c r="N25" s="89"/>
      <c r="O25" s="89"/>
      <c r="P25" s="89"/>
      <c r="Q25" s="53"/>
    </row>
    <row r="26" spans="3:17" ht="15" customHeight="1">
      <c r="C26" s="858" t="str">
        <f>IF(Indice_index!$Z$1=1,"Outros subsectores das AP","Other General Government subsectors")</f>
        <v>Other General Government subsectors</v>
      </c>
      <c r="D26" s="222">
        <v>10.450267329999999</v>
      </c>
      <c r="E26" s="222">
        <v>35.408985000000001</v>
      </c>
      <c r="F26" s="222">
        <v>7.8782050899999998</v>
      </c>
      <c r="G26" s="222">
        <v>10.626076729999999</v>
      </c>
      <c r="H26" s="222">
        <f t="shared" si="3"/>
        <v>30.00954907349081</v>
      </c>
      <c r="I26" s="222">
        <f t="shared" si="1"/>
        <v>34.879412361172733</v>
      </c>
      <c r="J26" s="222">
        <f t="shared" si="4"/>
        <v>8.3508304787565952E-3</v>
      </c>
      <c r="K26" s="329"/>
      <c r="L26" s="88"/>
      <c r="M26" s="92"/>
      <c r="N26" s="92"/>
      <c r="O26" s="89"/>
      <c r="P26" s="89"/>
      <c r="Q26" s="53"/>
    </row>
    <row r="27" spans="3:17" ht="15" customHeight="1">
      <c r="C27" s="858" t="str">
        <f>IF(Indice_index!$Z$1=1,"União Europeia","European Union")</f>
        <v>European Union</v>
      </c>
      <c r="D27" s="222">
        <v>765.82299568000008</v>
      </c>
      <c r="E27" s="222">
        <v>2726.0498779999998</v>
      </c>
      <c r="F27" s="222">
        <v>630.07218732000001</v>
      </c>
      <c r="G27" s="222">
        <v>731.12292877999994</v>
      </c>
      <c r="H27" s="222">
        <f t="shared" si="3"/>
        <v>26.819866161671165</v>
      </c>
      <c r="I27" s="222">
        <f t="shared" si="1"/>
        <v>16.037962553119083</v>
      </c>
      <c r="J27" s="222">
        <f t="shared" si="4"/>
        <v>0.30709498922777934</v>
      </c>
      <c r="K27" s="329"/>
      <c r="L27" s="88"/>
      <c r="M27" s="93"/>
      <c r="N27" s="89"/>
      <c r="O27" s="89"/>
      <c r="P27" s="89"/>
      <c r="Q27" s="53"/>
    </row>
    <row r="28" spans="3:17" ht="15" customHeight="1">
      <c r="C28" s="858" t="str">
        <f>IF(Indice_index!$Z$1=1,"Outras transferências","Other transfers")</f>
        <v>Other transfers</v>
      </c>
      <c r="D28" s="222">
        <v>216.38762896999992</v>
      </c>
      <c r="E28" s="222">
        <v>236.41535599999997</v>
      </c>
      <c r="F28" s="222">
        <v>216.08313272999999</v>
      </c>
      <c r="G28" s="222">
        <v>249.45469870999989</v>
      </c>
      <c r="H28" s="222">
        <f t="shared" si="3"/>
        <v>105.51543813845998</v>
      </c>
      <c r="I28" s="222">
        <f t="shared" si="1"/>
        <v>15.443855130376285</v>
      </c>
      <c r="J28" s="222">
        <f t="shared" si="4"/>
        <v>0.10141677880907857</v>
      </c>
      <c r="K28" s="329"/>
      <c r="L28" s="88"/>
      <c r="M28" s="89"/>
      <c r="N28" s="89"/>
      <c r="O28" s="89"/>
      <c r="P28" s="89"/>
      <c r="Q28" s="53"/>
    </row>
    <row r="29" spans="3:17" ht="15" customHeight="1">
      <c r="C29" s="1080" t="str">
        <f>IF(Indice_index!$Z$1=1,"Outras Receitas de Capital","Other capital revenue")</f>
        <v>Other capital revenue</v>
      </c>
      <c r="D29" s="222">
        <v>25.269333919999998</v>
      </c>
      <c r="E29" s="222">
        <v>37.377611000000002</v>
      </c>
      <c r="F29" s="222">
        <v>14.968836359999999</v>
      </c>
      <c r="G29" s="222">
        <v>27.249368369999996</v>
      </c>
      <c r="H29" s="222">
        <f t="shared" si="3"/>
        <v>72.902916053142064</v>
      </c>
      <c r="I29" s="222">
        <f>IF(IFERROR((G29-F29)/F29*100,"")&gt;500,"-",IFERROR((G29-F29)/F29*100,""))</f>
        <v>82.040659104379415</v>
      </c>
      <c r="J29" s="222">
        <f t="shared" si="4"/>
        <v>3.7320753819655848E-2</v>
      </c>
      <c r="K29" s="329"/>
      <c r="L29" s="88"/>
      <c r="M29" s="89"/>
      <c r="N29" s="89"/>
      <c r="O29" s="89"/>
      <c r="P29" s="89"/>
      <c r="Q29" s="53"/>
    </row>
    <row r="30" spans="3:17" ht="15" customHeight="1">
      <c r="C30" s="851" t="str">
        <f>IF(Indice_index!$Z$1=1,"Diferenças de consolidação","Consolidation differences")</f>
        <v>Consolidation differences</v>
      </c>
      <c r="D30" s="222">
        <v>0</v>
      </c>
      <c r="E30" s="222">
        <v>0</v>
      </c>
      <c r="F30" s="222">
        <v>0</v>
      </c>
      <c r="G30" s="222">
        <v>0</v>
      </c>
      <c r="H30" s="222"/>
      <c r="I30" s="222"/>
      <c r="J30" s="222"/>
      <c r="K30" s="329"/>
      <c r="L30" s="88"/>
      <c r="M30" s="88"/>
      <c r="N30" s="89"/>
      <c r="O30" s="89"/>
      <c r="P30" s="89"/>
      <c r="Q30" s="53"/>
    </row>
    <row r="31" spans="3:17" ht="4.5" customHeight="1">
      <c r="C31" s="858"/>
      <c r="D31" s="858"/>
      <c r="E31" s="858"/>
      <c r="F31" s="223"/>
      <c r="G31" s="223"/>
      <c r="H31" s="223"/>
      <c r="I31" s="223"/>
      <c r="J31" s="223"/>
      <c r="K31" s="329"/>
      <c r="L31" s="88"/>
      <c r="M31" s="94"/>
      <c r="N31" s="89"/>
      <c r="O31" s="89"/>
      <c r="P31" s="89"/>
      <c r="Q31" s="53"/>
    </row>
    <row r="32" spans="3:17" s="271" customFormat="1" ht="15" customHeight="1">
      <c r="C32" s="1082" t="str">
        <f>IF(Indice_index!$Z$1=1,"Receita efetiva","Effective revenue")</f>
        <v>Effective revenue</v>
      </c>
      <c r="D32" s="1082">
        <f>D9+D22</f>
        <v>36037.332145149994</v>
      </c>
      <c r="E32" s="1082">
        <f>E9+E22</f>
        <v>40409.066458000001</v>
      </c>
      <c r="F32" s="1083">
        <f>F9+F22</f>
        <v>32905.369675390015</v>
      </c>
      <c r="G32" s="1083">
        <f>G9+G22</f>
        <v>33908.299979230011</v>
      </c>
      <c r="H32" s="1083">
        <f>IFERROR(IF(G32/E32*100&lt;-500,"-",IF(G32/E32*100&gt;500,"-",G32/E32*100)),"-")</f>
        <v>83.912604154004157</v>
      </c>
      <c r="I32" s="1083">
        <f t="shared" ref="I32" si="5">IFERROR(IF(F32=0,"-",(G32-F32)/F32*100),"-")</f>
        <v>3.0479229187632835</v>
      </c>
      <c r="J32" s="1083"/>
      <c r="K32" s="518"/>
      <c r="L32" s="282"/>
      <c r="M32" s="285"/>
      <c r="N32" s="283"/>
      <c r="O32" s="283"/>
      <c r="P32" s="283"/>
    </row>
    <row r="33" spans="3:17" ht="4.5" customHeight="1">
      <c r="C33" s="858"/>
      <c r="D33" s="858"/>
      <c r="E33" s="858"/>
      <c r="F33" s="702"/>
      <c r="G33" s="702"/>
      <c r="H33" s="702"/>
      <c r="I33" s="702"/>
      <c r="J33" s="1084"/>
      <c r="K33" s="329"/>
      <c r="L33" s="88"/>
      <c r="M33" s="89"/>
      <c r="N33" s="89"/>
      <c r="O33" s="89"/>
      <c r="P33" s="89"/>
      <c r="Q33" s="53"/>
    </row>
    <row r="34" spans="3:17" s="271" customFormat="1" ht="15" customHeight="1">
      <c r="C34" s="930" t="str">
        <f>IF(Indice_index!$Z$1=1,"Despesa corrente","Current Expenditure")</f>
        <v>Current Expenditure</v>
      </c>
      <c r="D34" s="930">
        <f>SUM(D35:D48)-D35-D41</f>
        <v>32992.402133680058</v>
      </c>
      <c r="E34" s="930">
        <f>SUM(E35:E48)-E35-E41</f>
        <v>34862.401181999994</v>
      </c>
      <c r="F34" s="281">
        <f>SUM(F35:F48)-F35-F41</f>
        <v>28352.073600219985</v>
      </c>
      <c r="G34" s="281">
        <f>SUM(G35:G48)-G35-G41</f>
        <v>29607.144031569973</v>
      </c>
      <c r="H34" s="281">
        <f t="shared" ref="H34:H47" si="6">IFERROR(IF(G34/E34*100&lt;-500,"-",IF(G34/E34*100&gt;500,"-",G34/E34*100)),"-")</f>
        <v>84.925716610870182</v>
      </c>
      <c r="I34" s="281">
        <f t="shared" ref="I34:I56" si="7">IF(IFERROR((G34-F34)/F34*100,"")&gt;500,"-",IFERROR((G34-F34)/F34*100,""))</f>
        <v>4.4267324113473308</v>
      </c>
      <c r="J34" s="281">
        <f>IFERROR((G34-F34)/$F$59*100,"-")</f>
        <v>3.9655960578034284</v>
      </c>
      <c r="K34" s="518"/>
      <c r="L34" s="349"/>
      <c r="M34" s="282"/>
      <c r="N34" s="283"/>
      <c r="O34" s="283"/>
      <c r="P34" s="283"/>
    </row>
    <row r="35" spans="3:17" ht="15" customHeight="1">
      <c r="C35" s="1080" t="str">
        <f>IF(Indice_index!$Z$1=1,"Despesas com o pessoal","Employees")</f>
        <v>Employees</v>
      </c>
      <c r="D35" s="222">
        <f t="shared" ref="D35:E35" si="8">SUM(D36:D38)</f>
        <v>8526.7632711000097</v>
      </c>
      <c r="E35" s="222">
        <f t="shared" si="8"/>
        <v>8939.8323110000001</v>
      </c>
      <c r="F35" s="222">
        <f t="shared" ref="F35:G35" si="9">SUM(F36:F38)</f>
        <v>7640.1599495700057</v>
      </c>
      <c r="G35" s="222">
        <f t="shared" si="9"/>
        <v>7849.6439053399872</v>
      </c>
      <c r="H35" s="222">
        <f t="shared" si="6"/>
        <v>87.805270079634582</v>
      </c>
      <c r="I35" s="222">
        <f t="shared" si="7"/>
        <v>2.7418791903927544</v>
      </c>
      <c r="J35" s="222">
        <f t="shared" ref="J35:J47" si="10">IFERROR((G35-F35)/$F$59*100,"-")</f>
        <v>0.66189811218877337</v>
      </c>
      <c r="K35" s="329"/>
      <c r="L35" s="350"/>
      <c r="M35" s="89"/>
      <c r="N35" s="89"/>
      <c r="O35" s="89"/>
      <c r="P35" s="89"/>
      <c r="Q35" s="53"/>
    </row>
    <row r="36" spans="3:17" ht="15" customHeight="1">
      <c r="C36" s="858" t="str">
        <f>IF(Indice_index!$Z$1=1,"Remunerações Certas e Permanentes","Certain and permanent wages")</f>
        <v>Certain and permanent wages</v>
      </c>
      <c r="D36" s="222">
        <v>5947.1170754600089</v>
      </c>
      <c r="E36" s="222">
        <v>6322.896401</v>
      </c>
      <c r="F36" s="222">
        <v>5366.1265118400052</v>
      </c>
      <c r="G36" s="222">
        <v>5536.7592037999902</v>
      </c>
      <c r="H36" s="222">
        <f t="shared" si="6"/>
        <v>87.566818316433626</v>
      </c>
      <c r="I36" s="222">
        <f t="shared" si="7"/>
        <v>3.1798112024287035</v>
      </c>
      <c r="J36" s="222">
        <f t="shared" si="10"/>
        <v>0.53914132120941549</v>
      </c>
      <c r="K36" s="329"/>
      <c r="L36" s="350"/>
      <c r="M36" s="89"/>
      <c r="N36" s="89"/>
      <c r="O36" s="89"/>
      <c r="P36" s="89"/>
      <c r="Q36" s="53"/>
    </row>
    <row r="37" spans="3:17" ht="15" customHeight="1">
      <c r="C37" s="858" t="str">
        <f>IF(Indice_index!$Z$1=1,"Abonos Variáveis ou Eventuais","Variable or contingent bonuses")</f>
        <v>Variable or contingent bonuses</v>
      </c>
      <c r="D37" s="222">
        <v>945.06633174000035</v>
      </c>
      <c r="E37" s="222">
        <v>913.04404199999999</v>
      </c>
      <c r="F37" s="222">
        <v>859.06999924000002</v>
      </c>
      <c r="G37" s="222">
        <v>872.48875037000028</v>
      </c>
      <c r="H37" s="222">
        <f t="shared" si="6"/>
        <v>95.558232706807402</v>
      </c>
      <c r="I37" s="222">
        <f t="shared" si="7"/>
        <v>1.5620090495386323</v>
      </c>
      <c r="J37" s="222">
        <f t="shared" si="10"/>
        <v>4.2398693533506795E-2</v>
      </c>
      <c r="K37" s="329"/>
      <c r="L37" s="350"/>
      <c r="M37" s="89"/>
      <c r="N37" s="89"/>
      <c r="O37" s="89"/>
      <c r="P37" s="89"/>
      <c r="Q37" s="53"/>
    </row>
    <row r="38" spans="3:17" ht="15" customHeight="1">
      <c r="C38" s="858" t="str">
        <f>IF(Indice_index!$Z$1=1,"Segurança social","Social security")</f>
        <v>Social security</v>
      </c>
      <c r="D38" s="222">
        <v>1634.5798639000004</v>
      </c>
      <c r="E38" s="222">
        <v>1703.8918679999999</v>
      </c>
      <c r="F38" s="222">
        <v>1414.9634384900012</v>
      </c>
      <c r="G38" s="222">
        <v>1440.395951169997</v>
      </c>
      <c r="H38" s="222">
        <f t="shared" si="6"/>
        <v>84.535643265949147</v>
      </c>
      <c r="I38" s="222">
        <f t="shared" si="7"/>
        <v>1.7973971615221753</v>
      </c>
      <c r="J38" s="222">
        <f t="shared" si="10"/>
        <v>8.0358097445849944E-2</v>
      </c>
      <c r="K38" s="329"/>
      <c r="L38" s="350"/>
      <c r="M38" s="89"/>
      <c r="N38" s="89"/>
      <c r="O38" s="89"/>
      <c r="P38" s="89"/>
      <c r="Q38" s="53"/>
    </row>
    <row r="39" spans="3:17" ht="15" customHeight="1">
      <c r="C39" s="1080" t="str">
        <f>IF(Indice_index!$Z$1=1,"Aquisição de bens e serviços","Purchase of goods and services")</f>
        <v>Purchase of goods and services</v>
      </c>
      <c r="D39" s="222">
        <v>9578.1575329900443</v>
      </c>
      <c r="E39" s="222">
        <v>10487.619370999999</v>
      </c>
      <c r="F39" s="222">
        <v>7763.6546868299656</v>
      </c>
      <c r="G39" s="222">
        <v>8477.3806203999884</v>
      </c>
      <c r="H39" s="222">
        <f t="shared" si="6"/>
        <v>80.832268225154579</v>
      </c>
      <c r="I39" s="222">
        <f t="shared" si="7"/>
        <v>9.1931694847372132</v>
      </c>
      <c r="J39" s="222">
        <f t="shared" si="10"/>
        <v>2.255131407623836</v>
      </c>
      <c r="K39" s="329"/>
      <c r="L39" s="350"/>
      <c r="M39" s="89"/>
      <c r="N39" s="89"/>
      <c r="O39" s="89"/>
      <c r="P39" s="89"/>
      <c r="Q39" s="53"/>
    </row>
    <row r="40" spans="3:17" ht="15" customHeight="1">
      <c r="C40" s="1080" t="str">
        <f>IF(Indice_index!$Z$1=1,"Juros e outros encargos","Interests")</f>
        <v>Interests</v>
      </c>
      <c r="D40" s="222">
        <v>632.00897064999992</v>
      </c>
      <c r="E40" s="222">
        <v>509.19108900000003</v>
      </c>
      <c r="F40" s="222">
        <v>397.09675781999982</v>
      </c>
      <c r="G40" s="222">
        <v>246.73680825000002</v>
      </c>
      <c r="H40" s="222">
        <f t="shared" si="6"/>
        <v>48.456623373862698</v>
      </c>
      <c r="I40" s="222">
        <f t="shared" si="7"/>
        <v>-37.864814206858</v>
      </c>
      <c r="J40" s="222">
        <f t="shared" si="10"/>
        <v>-0.47508634445714137</v>
      </c>
      <c r="K40" s="329"/>
      <c r="L40" s="350"/>
      <c r="M40" s="89"/>
      <c r="N40" s="89"/>
      <c r="O40" s="89"/>
      <c r="P40" s="89"/>
      <c r="Q40" s="53"/>
    </row>
    <row r="41" spans="3:17" ht="15" customHeight="1">
      <c r="C41" s="1080" t="str">
        <f>IF(Indice_index!$Z$1=1,"Transferências correntes","Current transfers")</f>
        <v>Current transfers</v>
      </c>
      <c r="D41" s="113">
        <f>SUM(D42:D45)</f>
        <v>13047.552430199996</v>
      </c>
      <c r="E41" s="113">
        <f>SUM(E42:E45)</f>
        <v>13186.266441</v>
      </c>
      <c r="F41" s="113">
        <f>SUM(F42:F45)</f>
        <v>11575.888942259999</v>
      </c>
      <c r="G41" s="113">
        <f>SUM(G42:G45)</f>
        <v>12180.050788380002</v>
      </c>
      <c r="H41" s="222">
        <f t="shared" si="6"/>
        <v>92.369214916730513</v>
      </c>
      <c r="I41" s="222">
        <f t="shared" si="7"/>
        <v>5.2191399652634436</v>
      </c>
      <c r="J41" s="222">
        <f t="shared" si="10"/>
        <v>1.9089461239810039</v>
      </c>
      <c r="K41" s="329"/>
      <c r="L41" s="350"/>
      <c r="M41" s="91"/>
      <c r="N41" s="89"/>
      <c r="O41" s="89"/>
      <c r="P41" s="89"/>
      <c r="Q41" s="53"/>
    </row>
    <row r="42" spans="3:17" ht="15" customHeight="1">
      <c r="C42" s="858" t="str">
        <f>IF(Indice_index!$Z$1=1,"Administração Central","Central Administration")</f>
        <v>Central Administration</v>
      </c>
      <c r="D42" s="113">
        <v>548.32511082999997</v>
      </c>
      <c r="E42" s="113">
        <v>554.51140299999997</v>
      </c>
      <c r="F42" s="222">
        <v>465.15239392999996</v>
      </c>
      <c r="G42" s="222">
        <v>436.74421884999987</v>
      </c>
      <c r="H42" s="222">
        <f t="shared" si="6"/>
        <v>78.761990553691092</v>
      </c>
      <c r="I42" s="222">
        <f t="shared" si="7"/>
        <v>-6.1072834302719281</v>
      </c>
      <c r="J42" s="222">
        <f t="shared" si="10"/>
        <v>-8.9760179423128306E-2</v>
      </c>
      <c r="K42" s="329"/>
      <c r="L42" s="350"/>
      <c r="M42" s="89"/>
      <c r="N42" s="89"/>
      <c r="O42" s="89"/>
      <c r="P42" s="89"/>
      <c r="Q42" s="53"/>
    </row>
    <row r="43" spans="3:17" ht="15" customHeight="1">
      <c r="C43" s="858" t="str">
        <f>IF(Indice_index!$Z$1=1,"Outros subsectores das AP","Other General Government subsectors")</f>
        <v>Other General Government subsectors</v>
      </c>
      <c r="D43" s="222">
        <v>662.19723092000027</v>
      </c>
      <c r="E43" s="222">
        <v>539.51204500000006</v>
      </c>
      <c r="F43" s="222">
        <v>529.15299685000014</v>
      </c>
      <c r="G43" s="222">
        <v>494.54824414999996</v>
      </c>
      <c r="H43" s="222">
        <f t="shared" si="6"/>
        <v>91.665839295580483</v>
      </c>
      <c r="I43" s="222">
        <f t="shared" si="7"/>
        <v>-6.5396497621669232</v>
      </c>
      <c r="J43" s="222">
        <f t="shared" si="10"/>
        <v>-0.10933925894563268</v>
      </c>
      <c r="K43" s="329"/>
      <c r="L43" s="350"/>
      <c r="M43" s="89"/>
      <c r="N43" s="89"/>
      <c r="O43" s="89"/>
      <c r="P43" s="89"/>
      <c r="Q43" s="53"/>
    </row>
    <row r="44" spans="3:17" ht="15" customHeight="1">
      <c r="C44" s="858" t="str">
        <f>IF(Indice_index!$Z$1=1,"União Europeia","European Union")</f>
        <v>European Union</v>
      </c>
      <c r="D44" s="222">
        <v>34.313346190000004</v>
      </c>
      <c r="E44" s="222">
        <v>26.985104</v>
      </c>
      <c r="F44" s="222">
        <v>26.756862340000001</v>
      </c>
      <c r="G44" s="222">
        <v>23.485285730000001</v>
      </c>
      <c r="H44" s="222">
        <f t="shared" si="6"/>
        <v>87.030554820170423</v>
      </c>
      <c r="I44" s="222">
        <f t="shared" si="7"/>
        <v>-12.227056253562203</v>
      </c>
      <c r="J44" s="222">
        <f t="shared" si="10"/>
        <v>-1.0337070321593811E-2</v>
      </c>
      <c r="K44" s="329"/>
      <c r="L44" s="350"/>
      <c r="M44" s="89"/>
      <c r="N44" s="89"/>
      <c r="O44" s="89"/>
      <c r="P44" s="89"/>
      <c r="Q44" s="53"/>
    </row>
    <row r="45" spans="3:17" ht="15" customHeight="1">
      <c r="C45" s="858" t="str">
        <f>IF(Indice_index!$Z$1=1,"Outras transferências","Other transfers")</f>
        <v>Other transfers</v>
      </c>
      <c r="D45" s="222">
        <v>11802.716742259996</v>
      </c>
      <c r="E45" s="222">
        <v>12065.257889</v>
      </c>
      <c r="F45" s="222">
        <v>10554.826689139998</v>
      </c>
      <c r="G45" s="222">
        <v>11225.273039650003</v>
      </c>
      <c r="H45" s="222">
        <f t="shared" si="6"/>
        <v>93.037986779248044</v>
      </c>
      <c r="I45" s="222">
        <f t="shared" si="7"/>
        <v>6.352035616082981</v>
      </c>
      <c r="J45" s="222">
        <f t="shared" si="10"/>
        <v>2.1183826326713628</v>
      </c>
      <c r="K45" s="329"/>
      <c r="L45" s="350"/>
      <c r="M45" s="89"/>
      <c r="N45" s="89"/>
      <c r="O45" s="89"/>
      <c r="P45" s="89"/>
      <c r="Q45" s="53"/>
    </row>
    <row r="46" spans="3:17" ht="15" customHeight="1">
      <c r="C46" s="1080" t="str">
        <f>IF(Indice_index!$Z$1=1,"Subsídios","Subsidies")</f>
        <v>Subsidies</v>
      </c>
      <c r="D46" s="222">
        <v>966.79276689000005</v>
      </c>
      <c r="E46" s="222">
        <v>695.52698499999997</v>
      </c>
      <c r="F46" s="222">
        <v>807.20227982000029</v>
      </c>
      <c r="G46" s="222">
        <v>619.69585104999976</v>
      </c>
      <c r="H46" s="222">
        <f t="shared" si="6"/>
        <v>89.097312457258553</v>
      </c>
      <c r="I46" s="222">
        <f t="shared" si="7"/>
        <v>-23.229174824904234</v>
      </c>
      <c r="J46" s="222">
        <f t="shared" si="10"/>
        <v>-0.5924565953986376</v>
      </c>
      <c r="K46" s="329"/>
      <c r="L46" s="350"/>
      <c r="M46" s="89"/>
      <c r="N46" s="89"/>
      <c r="O46" s="89"/>
      <c r="P46" s="89"/>
      <c r="Q46" s="53"/>
    </row>
    <row r="47" spans="3:17" ht="15" customHeight="1">
      <c r="C47" s="1080" t="str">
        <f>IF(Indice_index!$Z$1=1,"Outras despesas correntes","Other current expenditure")</f>
        <v>Other current expenditure</v>
      </c>
      <c r="D47" s="222">
        <v>234.45030436999991</v>
      </c>
      <c r="E47" s="222">
        <v>1043.964984</v>
      </c>
      <c r="F47" s="222">
        <v>163.14690910000002</v>
      </c>
      <c r="G47" s="222">
        <v>225.89086261999998</v>
      </c>
      <c r="H47" s="222">
        <f t="shared" si="6"/>
        <v>21.637781542680553</v>
      </c>
      <c r="I47" s="222">
        <f t="shared" si="7"/>
        <v>38.458560978033233</v>
      </c>
      <c r="J47" s="222">
        <f t="shared" si="10"/>
        <v>0.19824957111154218</v>
      </c>
      <c r="K47" s="329"/>
      <c r="L47" s="350"/>
      <c r="M47" s="89"/>
      <c r="N47" s="89"/>
      <c r="O47" s="89"/>
      <c r="P47" s="89"/>
      <c r="Q47" s="53"/>
    </row>
    <row r="48" spans="3:17" ht="15" customHeight="1">
      <c r="C48" s="851" t="str">
        <f>IF(Indice_index!$Z$1=1,"Diferenças de consolidação","Consolidation differences")</f>
        <v>Consolidation differences</v>
      </c>
      <c r="D48" s="222">
        <v>6.6768574800071292</v>
      </c>
      <c r="E48" s="222">
        <v>9.999994290410541E-7</v>
      </c>
      <c r="F48" s="222">
        <v>4.9240748200045346</v>
      </c>
      <c r="G48" s="222">
        <v>7.7451955300012409</v>
      </c>
      <c r="H48" s="222"/>
      <c r="I48" s="222"/>
      <c r="J48" s="222"/>
      <c r="K48" s="329"/>
      <c r="L48" s="350"/>
      <c r="M48" s="88"/>
      <c r="N48" s="89"/>
      <c r="O48" s="89"/>
      <c r="P48" s="89"/>
      <c r="Q48" s="53"/>
    </row>
    <row r="49" spans="3:17" s="271" customFormat="1" ht="15" customHeight="1">
      <c r="C49" s="930" t="str">
        <f>IF(Indice_index!$Z$1=1,"Despesa de capital","Capital expenditure")</f>
        <v>Capital expenditure</v>
      </c>
      <c r="D49" s="281">
        <f>SUM(D50:D57)-D51</f>
        <v>4196.3242257499969</v>
      </c>
      <c r="E49" s="281">
        <f>SUM(E50:E57)-E51</f>
        <v>6456.354714000001</v>
      </c>
      <c r="F49" s="281">
        <f>SUM(F50:F57)-F51</f>
        <v>3296.8995441899997</v>
      </c>
      <c r="G49" s="281">
        <f>SUM(G50:G57)-G51</f>
        <v>3260.3828337699997</v>
      </c>
      <c r="H49" s="281">
        <f t="shared" ref="H49:H56" si="11">IFERROR(IF(G49/E49*100&lt;-500,"-",IF(G49/E49*100&gt;500,"-",G49/E49*100)),"-")</f>
        <v>50.49881826815006</v>
      </c>
      <c r="I49" s="281">
        <f t="shared" si="7"/>
        <v>-1.1076076152927372</v>
      </c>
      <c r="J49" s="281">
        <f t="shared" ref="J49:J56" si="12">IFERROR((G49-F49)/$F$59*100,"-")</f>
        <v>-0.11538039560834777</v>
      </c>
      <c r="K49" s="518"/>
      <c r="L49" s="349"/>
      <c r="M49" s="282"/>
      <c r="N49" s="283"/>
      <c r="O49" s="283"/>
      <c r="P49" s="283"/>
    </row>
    <row r="50" spans="3:17" ht="15" customHeight="1">
      <c r="C50" s="1080" t="str">
        <f>IF(Indice_index!$Z$1=1,"Investimento","Investment")</f>
        <v>Investment</v>
      </c>
      <c r="D50" s="222">
        <v>2743.4523255899981</v>
      </c>
      <c r="E50" s="222">
        <v>4535.5566200000003</v>
      </c>
      <c r="F50" s="222">
        <v>2263.9450190099988</v>
      </c>
      <c r="G50" s="222">
        <v>2413.0625511600001</v>
      </c>
      <c r="H50" s="222">
        <f t="shared" si="11"/>
        <v>53.203228475185483</v>
      </c>
      <c r="I50" s="222">
        <f t="shared" si="7"/>
        <v>6.5866233896090378</v>
      </c>
      <c r="J50" s="222">
        <f t="shared" si="12"/>
        <v>0.47116072761538963</v>
      </c>
      <c r="K50" s="329"/>
      <c r="L50" s="350"/>
      <c r="M50" s="89"/>
      <c r="N50" s="89"/>
      <c r="O50" s="89"/>
      <c r="P50" s="89"/>
      <c r="Q50" s="53"/>
    </row>
    <row r="51" spans="3:17" ht="15" customHeight="1">
      <c r="C51" s="1080" t="str">
        <f>IF(Indice_index!$Z$1=1,"Transferências de capital","Capital transfers")</f>
        <v>Capital transfers</v>
      </c>
      <c r="D51" s="222">
        <f>SUM(D52:D55)</f>
        <v>1285.30045563</v>
      </c>
      <c r="E51" s="222">
        <f>SUM(E52:E55)</f>
        <v>1702.7385810000001</v>
      </c>
      <c r="F51" s="222">
        <f>SUM(F52:F55)</f>
        <v>984.59861866000028</v>
      </c>
      <c r="G51" s="222">
        <f>SUM(G52:G55)</f>
        <v>646.68693486999996</v>
      </c>
      <c r="H51" s="222">
        <f t="shared" si="11"/>
        <v>37.979226058894355</v>
      </c>
      <c r="I51" s="222">
        <f t="shared" si="7"/>
        <v>-34.319739778823248</v>
      </c>
      <c r="J51" s="222">
        <f t="shared" si="12"/>
        <v>-1.0676860896818199</v>
      </c>
      <c r="K51" s="329"/>
      <c r="L51" s="350"/>
      <c r="M51" s="91"/>
      <c r="N51" s="89"/>
      <c r="O51" s="89"/>
      <c r="P51" s="89"/>
      <c r="Q51" s="53"/>
    </row>
    <row r="52" spans="3:17" ht="15" customHeight="1">
      <c r="C52" s="858" t="str">
        <f>IF(Indice_index!$Z$1=1,"Administração Central","Central Administration")</f>
        <v>Central Administration</v>
      </c>
      <c r="D52" s="113">
        <v>13.090126160000001</v>
      </c>
      <c r="E52" s="113">
        <v>38.736918000000003</v>
      </c>
      <c r="F52" s="222">
        <v>12.071800020000001</v>
      </c>
      <c r="G52" s="222">
        <v>13.908999549999997</v>
      </c>
      <c r="H52" s="222">
        <f t="shared" si="11"/>
        <v>35.906314358824304</v>
      </c>
      <c r="I52" s="222">
        <f t="shared" si="7"/>
        <v>15.218936090361076</v>
      </c>
      <c r="J52" s="222">
        <f t="shared" si="12"/>
        <v>5.8049261870743891E-3</v>
      </c>
      <c r="K52" s="329"/>
      <c r="L52" s="350"/>
      <c r="M52" s="89"/>
      <c r="N52" s="89"/>
      <c r="O52" s="89"/>
      <c r="P52" s="89"/>
      <c r="Q52" s="53"/>
    </row>
    <row r="53" spans="3:17" ht="15" customHeight="1">
      <c r="C53" s="858" t="str">
        <f>IF(Indice_index!$Z$1=1,"Outros subsectores das AP","Other General Government subsectors")</f>
        <v>Other General Government subsectors</v>
      </c>
      <c r="D53" s="222">
        <v>43.079640700000013</v>
      </c>
      <c r="E53" s="222">
        <v>171.27997500000001</v>
      </c>
      <c r="F53" s="222">
        <v>17.688194939999999</v>
      </c>
      <c r="G53" s="222">
        <v>32.949052799999997</v>
      </c>
      <c r="H53" s="222">
        <f t="shared" si="11"/>
        <v>19.236955633605152</v>
      </c>
      <c r="I53" s="222">
        <f t="shared" si="7"/>
        <v>86.277078649156948</v>
      </c>
      <c r="J53" s="222">
        <f t="shared" si="12"/>
        <v>4.8219124804987405E-2</v>
      </c>
      <c r="K53" s="329"/>
      <c r="L53" s="351"/>
      <c r="M53" s="89"/>
      <c r="N53" s="89"/>
      <c r="O53" s="89"/>
      <c r="P53" s="89"/>
      <c r="Q53" s="53"/>
    </row>
    <row r="54" spans="3:17" ht="15" customHeight="1">
      <c r="C54" s="858" t="str">
        <f>IF(Indice_index!$Z$1=1,"União Europeia","European Union")</f>
        <v>European Union</v>
      </c>
      <c r="D54" s="222">
        <v>140.22973721</v>
      </c>
      <c r="E54" s="222">
        <v>135.72310200000001</v>
      </c>
      <c r="F54" s="222">
        <v>140.22298720999999</v>
      </c>
      <c r="G54" s="222">
        <v>166.99543886000001</v>
      </c>
      <c r="H54" s="222">
        <f t="shared" si="11"/>
        <v>123.0412777185125</v>
      </c>
      <c r="I54" s="222">
        <f t="shared" si="7"/>
        <v>19.092769440081327</v>
      </c>
      <c r="J54" s="222">
        <f t="shared" si="12"/>
        <v>8.459184924528497E-2</v>
      </c>
      <c r="K54" s="329"/>
      <c r="L54" s="351"/>
      <c r="M54" s="89"/>
      <c r="N54" s="89"/>
      <c r="O54" s="89"/>
      <c r="P54" s="89"/>
      <c r="Q54" s="53"/>
    </row>
    <row r="55" spans="3:17" ht="15" customHeight="1">
      <c r="C55" s="858" t="str">
        <f>IF(Indice_index!$Z$1=1,"Outras transferências","Other transfers")</f>
        <v>Other transfers</v>
      </c>
      <c r="D55" s="222">
        <v>1088.9009515600001</v>
      </c>
      <c r="E55" s="222">
        <v>1356.9985860000002</v>
      </c>
      <c r="F55" s="222">
        <v>814.61563649000027</v>
      </c>
      <c r="G55" s="222">
        <v>432.83344365999994</v>
      </c>
      <c r="H55" s="222">
        <f t="shared" si="11"/>
        <v>31.896381331969931</v>
      </c>
      <c r="I55" s="222">
        <f t="shared" si="7"/>
        <v>-46.866543646892893</v>
      </c>
      <c r="J55" s="222">
        <f t="shared" si="12"/>
        <v>-1.2063019899191667</v>
      </c>
      <c r="K55" s="329"/>
      <c r="L55" s="351"/>
      <c r="M55" s="89"/>
      <c r="N55" s="89"/>
      <c r="O55" s="89"/>
      <c r="P55" s="89"/>
      <c r="Q55" s="53"/>
    </row>
    <row r="56" spans="3:17" ht="15" customHeight="1">
      <c r="C56" s="1080" t="str">
        <f>IF(Indice_index!$Z$1=1,"Outras despesas de capital","Other capital expenditure")</f>
        <v>Other capital expenditure</v>
      </c>
      <c r="D56" s="222">
        <v>115.82734792000001</v>
      </c>
      <c r="E56" s="222">
        <v>215.53838999999999</v>
      </c>
      <c r="F56" s="222">
        <v>21.271677810000003</v>
      </c>
      <c r="G56" s="222">
        <v>172.01224834999999</v>
      </c>
      <c r="H56" s="222">
        <f t="shared" si="11"/>
        <v>79.805851918073628</v>
      </c>
      <c r="I56" s="222" t="str">
        <f t="shared" si="7"/>
        <v>-</v>
      </c>
      <c r="J56" s="222">
        <f t="shared" si="12"/>
        <v>0.47628897737753184</v>
      </c>
      <c r="K56" s="329"/>
      <c r="L56" s="350"/>
      <c r="M56" s="91"/>
      <c r="N56" s="89"/>
      <c r="O56" s="89"/>
      <c r="P56" s="89"/>
      <c r="Q56" s="53"/>
    </row>
    <row r="57" spans="3:17" ht="15" customHeight="1">
      <c r="C57" s="851" t="str">
        <f>IF(Indice_index!$Z$1=1,"Diferenças de consolidação","Consolidation differences")</f>
        <v>Consolidation differences</v>
      </c>
      <c r="D57" s="222">
        <v>51.744096609999815</v>
      </c>
      <c r="E57" s="222">
        <v>2.5211229999999887</v>
      </c>
      <c r="F57" s="222">
        <v>27.084228710000048</v>
      </c>
      <c r="G57" s="222">
        <v>28.62109939000004</v>
      </c>
      <c r="H57" s="222"/>
      <c r="I57" s="222"/>
      <c r="J57" s="222"/>
      <c r="K57" s="329"/>
      <c r="L57" s="350"/>
      <c r="M57" s="88"/>
      <c r="N57" s="89"/>
      <c r="O57" s="89"/>
      <c r="P57" s="89"/>
      <c r="Q57" s="53"/>
    </row>
    <row r="58" spans="3:17" ht="4.5" customHeight="1">
      <c r="C58" s="1080"/>
      <c r="D58" s="1080"/>
      <c r="E58" s="1080"/>
      <c r="F58" s="223"/>
      <c r="G58" s="223"/>
      <c r="H58" s="223"/>
      <c r="I58" s="223"/>
      <c r="J58" s="223"/>
      <c r="K58" s="329"/>
      <c r="L58" s="89"/>
      <c r="M58" s="89"/>
      <c r="N58" s="95"/>
      <c r="O58" s="89"/>
      <c r="P58" s="89"/>
      <c r="Q58" s="53"/>
    </row>
    <row r="59" spans="3:17" s="271" customFormat="1" ht="15" customHeight="1">
      <c r="C59" s="1082" t="str">
        <f>IF(Indice_index!$Z$1=1,"Despesa efetiva","Effective Expenditure")</f>
        <v>Effective Expenditure</v>
      </c>
      <c r="D59" s="1082">
        <f>+D34+D49</f>
        <v>37188.726359430053</v>
      </c>
      <c r="E59" s="1082">
        <f>+E34+E49</f>
        <v>41318.755895999995</v>
      </c>
      <c r="F59" s="1083">
        <f>+F34+F49</f>
        <v>31648.973144409985</v>
      </c>
      <c r="G59" s="1083">
        <f>+G34+G49</f>
        <v>32867.526865339969</v>
      </c>
      <c r="H59" s="1083">
        <f>IFERROR(IF(G59/E59*100&lt;-500,"-",IF(G59/E59*100&gt;500,"-",G59/E59*100)),"-")</f>
        <v>79.54626452952283</v>
      </c>
      <c r="I59" s="1083">
        <f t="shared" ref="I59" si="13">IFERROR(IF(F59=0,"-",(G59-F59)/F59*100),"-")</f>
        <v>3.8502156621950667</v>
      </c>
      <c r="J59" s="1083"/>
      <c r="K59" s="518"/>
      <c r="L59" s="352"/>
      <c r="M59" s="282"/>
      <c r="N59" s="283"/>
      <c r="O59" s="283"/>
      <c r="P59" s="283"/>
    </row>
    <row r="60" spans="3:17" ht="4.5" customHeight="1">
      <c r="C60" s="1085"/>
      <c r="D60" s="1085"/>
      <c r="E60" s="1085"/>
      <c r="F60" s="702"/>
      <c r="G60" s="702"/>
      <c r="H60" s="111"/>
      <c r="I60" s="111"/>
      <c r="J60" s="111"/>
      <c r="K60" s="329"/>
      <c r="L60" s="353"/>
      <c r="M60" s="89"/>
      <c r="N60" s="89"/>
      <c r="O60" s="89"/>
      <c r="P60" s="89"/>
      <c r="Q60" s="53"/>
    </row>
    <row r="61" spans="3:17" s="271" customFormat="1" ht="15" customHeight="1">
      <c r="C61" s="854" t="str">
        <f>IF(Indice_index!$Z$1=1,"Saldo global","Overall Balance")</f>
        <v>Overall Balance</v>
      </c>
      <c r="D61" s="854">
        <f>+(D9+D22)-(D34+D49)</f>
        <v>-1151.3942142800588</v>
      </c>
      <c r="E61" s="854">
        <f>+(E9+E22)-(E34+E49)</f>
        <v>-909.68943799999397</v>
      </c>
      <c r="F61" s="855">
        <f>+(F9+F22)-(F34+F49)</f>
        <v>1256.3965309800296</v>
      </c>
      <c r="G61" s="855">
        <f>+(G9+G22)-(G34+G49)</f>
        <v>1040.7731138900417</v>
      </c>
      <c r="H61" s="855"/>
      <c r="I61" s="855"/>
      <c r="J61" s="855"/>
      <c r="K61" s="518"/>
      <c r="L61" s="352"/>
      <c r="M61" s="286"/>
      <c r="N61" s="287"/>
      <c r="O61" s="283"/>
      <c r="P61" s="283"/>
    </row>
    <row r="62" spans="3:17" ht="4.5" customHeight="1">
      <c r="C62" s="1086"/>
      <c r="D62" s="1086"/>
      <c r="E62" s="1086"/>
      <c r="F62" s="1087"/>
      <c r="G62" s="222"/>
      <c r="H62" s="224"/>
      <c r="I62" s="224"/>
      <c r="J62" s="224"/>
      <c r="K62" s="329"/>
      <c r="L62" s="353"/>
      <c r="M62" s="89"/>
      <c r="N62" s="89"/>
      <c r="O62" s="89"/>
      <c r="P62" s="89"/>
      <c r="Q62" s="53"/>
    </row>
    <row r="63" spans="3:17" ht="15" customHeight="1">
      <c r="C63" s="1080" t="str">
        <f>IF(Indice_index!$Z$1=1,"Despesa  primária","Primary Expenditure")</f>
        <v>Primary Expenditure</v>
      </c>
      <c r="D63" s="113">
        <f>D59-D40</f>
        <v>36556.717388780053</v>
      </c>
      <c r="E63" s="113">
        <f>E59-E40</f>
        <v>40809.564806999995</v>
      </c>
      <c r="F63" s="113">
        <f>F59-F40</f>
        <v>31251.876386589985</v>
      </c>
      <c r="G63" s="113">
        <f>G59-G40</f>
        <v>32620.790057089969</v>
      </c>
      <c r="H63" s="222">
        <f>IFERROR(IF(G63/E63*100&lt;-500,"-",IF(G63/E63*100&gt;500,"-",G63/E63*100)),"-")</f>
        <v>79.934177713883841</v>
      </c>
      <c r="I63" s="222">
        <f t="shared" ref="I63" si="14">IFERROR(IF(F63=0,"-",(G63-F63)/F63*100),"-")</f>
        <v>4.3802607355997907</v>
      </c>
      <c r="J63" s="222"/>
      <c r="K63" s="329"/>
      <c r="L63" s="353"/>
      <c r="M63" s="89"/>
      <c r="N63" s="89"/>
      <c r="O63" s="89"/>
      <c r="P63" s="89"/>
      <c r="Q63" s="53"/>
    </row>
    <row r="64" spans="3:17" ht="15" customHeight="1">
      <c r="C64" s="1073" t="str">
        <f>IF(Indice_index!$Z$1=1,"Saldo corrente","Current balance")</f>
        <v>Current balance</v>
      </c>
      <c r="D64" s="113">
        <f>+D9-D34</f>
        <v>10.51454472993646</v>
      </c>
      <c r="E64" s="113">
        <f>+E9-E34</f>
        <v>911.92671000000701</v>
      </c>
      <c r="F64" s="113">
        <f>+F9-F34</f>
        <v>1985.9488058400311</v>
      </c>
      <c r="G64" s="113">
        <f>+G9-G34</f>
        <v>2090.4461740600382</v>
      </c>
      <c r="H64" s="224"/>
      <c r="I64" s="224"/>
      <c r="J64" s="224"/>
      <c r="K64" s="329"/>
      <c r="L64" s="353"/>
      <c r="M64" s="96"/>
      <c r="N64" s="89"/>
      <c r="O64" s="89"/>
      <c r="P64" s="89"/>
      <c r="Q64" s="53"/>
    </row>
    <row r="65" spans="3:19" ht="15" customHeight="1">
      <c r="C65" s="1073" t="str">
        <f>IF(Indice_index!$Z$1=1,"Saldo de capital","Capital balance")</f>
        <v>Capital balance</v>
      </c>
      <c r="D65" s="113">
        <f>D22-D49</f>
        <v>-1161.9087590099971</v>
      </c>
      <c r="E65" s="113">
        <f>E22-E49</f>
        <v>-1821.616148000001</v>
      </c>
      <c r="F65" s="113">
        <f>F22-F49</f>
        <v>-729.55227485999967</v>
      </c>
      <c r="G65" s="113">
        <f>G22-G49</f>
        <v>-1049.6730601699987</v>
      </c>
      <c r="H65" s="224"/>
      <c r="I65" s="224"/>
      <c r="J65" s="224"/>
      <c r="K65" s="329"/>
      <c r="L65" s="353"/>
      <c r="M65" s="96"/>
      <c r="N65" s="89"/>
      <c r="O65" s="89"/>
      <c r="P65" s="89"/>
      <c r="Q65" s="53"/>
    </row>
    <row r="66" spans="3:19" ht="15" customHeight="1">
      <c r="C66" s="1073" t="str">
        <f>IF(Indice_index!$Z$1=1,"Saldo primário","Primary balance")</f>
        <v>Primary balance</v>
      </c>
      <c r="D66" s="113">
        <f>D61+D40</f>
        <v>-519.38524363005888</v>
      </c>
      <c r="E66" s="113">
        <f>E61+E40</f>
        <v>-400.49834899999394</v>
      </c>
      <c r="F66" s="113">
        <f>F61+F40</f>
        <v>1653.4932888000294</v>
      </c>
      <c r="G66" s="113">
        <f>G61+G40</f>
        <v>1287.5099221400417</v>
      </c>
      <c r="H66" s="224"/>
      <c r="I66" s="224"/>
      <c r="J66" s="224"/>
      <c r="K66" s="329"/>
      <c r="L66" s="353"/>
      <c r="M66" s="96"/>
      <c r="N66" s="89"/>
      <c r="O66" s="89"/>
      <c r="P66" s="89"/>
      <c r="Q66" s="53"/>
    </row>
    <row r="67" spans="3:19" ht="4.5" customHeight="1">
      <c r="C67" s="135"/>
      <c r="D67" s="135"/>
      <c r="E67" s="135"/>
      <c r="F67" s="113"/>
      <c r="G67" s="113"/>
      <c r="H67" s="224"/>
      <c r="I67" s="224"/>
      <c r="J67" s="224"/>
      <c r="K67" s="329"/>
      <c r="L67" s="353"/>
      <c r="M67" s="96"/>
      <c r="N67" s="89"/>
      <c r="O67" s="89"/>
      <c r="P67" s="89"/>
      <c r="Q67" s="53"/>
    </row>
    <row r="68" spans="3:19" ht="15" customHeight="1">
      <c r="C68" s="135" t="str">
        <f>IF(Indice_index!$Z$1=1,"Ativos financeiros líquidos de reembolsos","Financial assets net of reimbursements")</f>
        <v>Financial assets net of reimbursements</v>
      </c>
      <c r="D68" s="135">
        <v>3783.0859037799974</v>
      </c>
      <c r="E68" s="135">
        <v>2345.1231200000002</v>
      </c>
      <c r="F68" s="113">
        <v>-1462.2355213799999</v>
      </c>
      <c r="G68" s="113">
        <v>-4140.7298294400007</v>
      </c>
      <c r="H68" s="1088"/>
      <c r="I68" s="1088"/>
      <c r="J68" s="224"/>
      <c r="K68" s="519"/>
      <c r="L68" s="353"/>
      <c r="M68" s="89"/>
      <c r="N68" s="89"/>
      <c r="O68" s="89"/>
      <c r="P68" s="89"/>
      <c r="Q68" s="53"/>
    </row>
    <row r="69" spans="3:19" ht="15" customHeight="1">
      <c r="C69" s="1089" t="str">
        <f>IF(Indice_index!$Z$1=1,"dos quais Receitas de:","of which revenue from:")</f>
        <v>of which revenue from:</v>
      </c>
      <c r="D69" s="1089"/>
      <c r="E69" s="1089"/>
      <c r="F69" s="113"/>
      <c r="G69" s="113"/>
      <c r="H69" s="113"/>
      <c r="I69" s="113"/>
      <c r="J69" s="224"/>
      <c r="K69" s="329"/>
      <c r="L69" s="353"/>
      <c r="M69" s="89"/>
      <c r="N69" s="89"/>
      <c r="O69" s="89"/>
      <c r="P69" s="89"/>
      <c r="Q69" s="53"/>
    </row>
    <row r="70" spans="3:19" ht="15" customHeight="1">
      <c r="C70" s="857" t="str">
        <f>IF(Indice_index!$Z$1=1,"Alienação de partes de Capital","Disposal of Capital Shares")</f>
        <v>Disposal of Capital Shares</v>
      </c>
      <c r="D70" s="113">
        <v>0</v>
      </c>
      <c r="E70" s="113">
        <v>0</v>
      </c>
      <c r="F70" s="113">
        <v>0</v>
      </c>
      <c r="G70" s="113">
        <v>0</v>
      </c>
      <c r="H70" s="222"/>
      <c r="I70" s="222" t="str">
        <f>IF(F70=0,"-",(G70-F70)/F70*100)</f>
        <v>-</v>
      </c>
      <c r="J70" s="224"/>
      <c r="K70" s="329"/>
      <c r="L70" s="353"/>
      <c r="M70" s="89"/>
      <c r="N70" s="89"/>
      <c r="O70" s="89"/>
      <c r="P70" s="89"/>
      <c r="Q70" s="53"/>
    </row>
    <row r="71" spans="3:19" ht="15" customHeight="1">
      <c r="C71" s="858" t="str">
        <f>IF(Indice_index!$Z$1=1,"Outros Ativos","Other Assets")</f>
        <v>Other Assets</v>
      </c>
      <c r="D71" s="113">
        <v>2588.6264850300013</v>
      </c>
      <c r="E71" s="113">
        <v>7202.56185</v>
      </c>
      <c r="F71" s="113">
        <v>2907.0804125900004</v>
      </c>
      <c r="G71" s="113">
        <v>6107.8534356500013</v>
      </c>
      <c r="H71" s="222"/>
      <c r="I71" s="222">
        <f>IF(IFERROR((G71-F71)/F71*100,"")&gt;500,"-",IFERROR((G71-F71)/F71*100,""))</f>
        <v>110.10266551960774</v>
      </c>
      <c r="J71" s="224"/>
      <c r="K71" s="329"/>
      <c r="L71" s="353"/>
      <c r="M71" s="89"/>
      <c r="N71" s="89"/>
      <c r="O71" s="89"/>
      <c r="P71" s="89"/>
      <c r="Q71" s="53"/>
    </row>
    <row r="72" spans="3:19" ht="15" customHeight="1">
      <c r="C72" s="135" t="str">
        <f>IF(Indice_index!$Z$1=1,"Passivos financeiros líquidos de amortizações","Financial liabilities net of amortizations")</f>
        <v>Financial liabilities net of amortizations</v>
      </c>
      <c r="D72" s="135">
        <v>1925.5570962700008</v>
      </c>
      <c r="E72" s="135">
        <v>3270.0491839999995</v>
      </c>
      <c r="F72" s="113">
        <v>1200.7416391099996</v>
      </c>
      <c r="G72" s="113">
        <v>1764.1633832</v>
      </c>
      <c r="H72" s="113"/>
      <c r="I72" s="113"/>
      <c r="J72" s="224"/>
      <c r="K72" s="329"/>
      <c r="L72" s="353"/>
      <c r="M72" s="89"/>
      <c r="N72" s="89"/>
      <c r="O72" s="89"/>
      <c r="P72" s="89"/>
      <c r="Q72" s="53"/>
    </row>
    <row r="73" spans="3:19" ht="15" customHeight="1">
      <c r="C73" s="1074" t="str">
        <f>IF(Indice_index!$Z$1=1,"Poupança (+) / Utilização (-) de saldo da gerência anterior","Saving (+) / Usage (-) of balance from previous management")</f>
        <v>Saving (+) / Usage (-) of balance from previous management</v>
      </c>
      <c r="D73" s="1074">
        <f>D61-D68+D72</f>
        <v>-3008.9230217900554</v>
      </c>
      <c r="E73" s="1074">
        <f>E61-E68+E72</f>
        <v>15.236626000005344</v>
      </c>
      <c r="F73" s="1062">
        <f t="shared" ref="F73:G73" si="15">F61-F68+F72</f>
        <v>3919.3736914700294</v>
      </c>
      <c r="G73" s="1062">
        <f t="shared" si="15"/>
        <v>6945.6663265300422</v>
      </c>
      <c r="H73" s="1062"/>
      <c r="I73" s="1062"/>
      <c r="J73" s="1062"/>
      <c r="K73" s="329"/>
      <c r="L73" s="353"/>
      <c r="M73" s="58"/>
      <c r="N73" s="58"/>
      <c r="O73" s="58"/>
      <c r="Q73" s="53"/>
    </row>
    <row r="74" spans="3:19" ht="4.5" customHeight="1">
      <c r="F74" s="701"/>
      <c r="K74" s="329"/>
    </row>
    <row r="75" spans="3:19" ht="15" customHeight="1">
      <c r="C75" s="839" t="str">
        <f>IF(Indice_index!$Z$1=1,"Notas:","Notes:")</f>
        <v>Notes:</v>
      </c>
      <c r="D75" s="839"/>
      <c r="E75" s="839"/>
      <c r="F75" s="58"/>
      <c r="G75" s="58"/>
    </row>
    <row r="76" spans="3:19" s="22" customFormat="1" ht="15" customHeight="1">
      <c r="C76" s="1705" t="str">
        <f>+'5 - Conta AC + SS'!$C$64</f>
        <v>2021 cumulative execution is monthly reviewed and updated and therefore may differ from data published in 2021.</v>
      </c>
      <c r="D76" s="1705"/>
      <c r="E76" s="1705"/>
      <c r="F76" s="1705"/>
      <c r="G76" s="1705"/>
      <c r="H76" s="1705"/>
      <c r="I76" s="1705"/>
      <c r="J76" s="1705"/>
      <c r="K76" s="62"/>
      <c r="R76" s="24"/>
      <c r="S76" s="24"/>
    </row>
    <row r="77" spans="3:19" s="62" customFormat="1" ht="4.5" customHeight="1">
      <c r="C77" s="700"/>
      <c r="D77" s="700"/>
      <c r="E77" s="700"/>
      <c r="F77" s="651"/>
      <c r="G77" s="651"/>
      <c r="H77" s="651"/>
      <c r="I77" s="651"/>
      <c r="J77" s="651"/>
      <c r="K77" s="78"/>
      <c r="L77" s="53"/>
      <c r="O77" s="97"/>
      <c r="P77" s="97"/>
    </row>
    <row r="78" spans="3:19" ht="15" customHeight="1">
      <c r="C78" s="1716" t="str">
        <f>IF(Indice_index!$Z$1=1,"Entidades em incumprimento no reporte de execução orçamental no mês em análise:","Non reporting entities are identified below:")</f>
        <v>Non reporting entities are identified below:</v>
      </c>
      <c r="D78" s="1716"/>
      <c r="E78" s="1716"/>
      <c r="F78" s="1716"/>
      <c r="G78" s="1716"/>
      <c r="H78" s="1716"/>
      <c r="I78" s="1716"/>
      <c r="J78" s="1716"/>
    </row>
    <row r="79" spans="3:19" ht="15" hidden="1" customHeight="1">
      <c r="C79" s="1090" t="s">
        <v>67</v>
      </c>
      <c r="D79" s="1091"/>
      <c r="E79" s="1091"/>
      <c r="F79" s="1092"/>
      <c r="G79" s="1092"/>
      <c r="H79" s="1092"/>
      <c r="I79" s="1092"/>
      <c r="J79" s="1092"/>
      <c r="K79" s="216"/>
      <c r="M79" s="50"/>
      <c r="N79" s="50"/>
      <c r="P79" s="53"/>
      <c r="Q79" s="53"/>
    </row>
    <row r="80" spans="3:19" ht="15" hidden="1" customHeight="1">
      <c r="C80" s="1718"/>
      <c r="D80" s="1718"/>
      <c r="E80" s="1718"/>
      <c r="F80" s="1718"/>
      <c r="G80" s="1718"/>
      <c r="H80" s="1718"/>
      <c r="I80" s="1718"/>
      <c r="J80" s="1718"/>
      <c r="K80" s="219"/>
      <c r="L80" s="219"/>
      <c r="M80" s="50"/>
      <c r="N80" s="50"/>
      <c r="P80" s="53"/>
      <c r="Q80" s="53"/>
    </row>
    <row r="81" spans="3:22" ht="12.75" customHeight="1">
      <c r="C81" s="1090" t="s">
        <v>73</v>
      </c>
      <c r="D81" s="1091"/>
      <c r="E81" s="1091"/>
      <c r="F81" s="1092"/>
      <c r="G81" s="1092"/>
      <c r="H81" s="1092"/>
      <c r="I81" s="1092"/>
      <c r="J81" s="1092"/>
      <c r="K81" s="216"/>
    </row>
    <row r="82" spans="3:22" ht="15.75" customHeight="1">
      <c r="C82" s="1718" t="s">
        <v>592</v>
      </c>
      <c r="D82" s="1718"/>
      <c r="E82" s="1718"/>
      <c r="F82" s="1718"/>
      <c r="G82" s="1718"/>
      <c r="H82" s="1718"/>
      <c r="I82" s="1718"/>
      <c r="J82" s="1718"/>
      <c r="K82" s="218"/>
      <c r="L82" s="218"/>
    </row>
    <row r="83" spans="3:22" ht="4.5" customHeight="1">
      <c r="C83" s="520"/>
      <c r="D83" s="520"/>
      <c r="E83" s="520"/>
      <c r="F83" s="520"/>
      <c r="G83" s="520"/>
      <c r="H83" s="520"/>
      <c r="I83" s="520"/>
      <c r="J83" s="520"/>
      <c r="K83" s="520"/>
    </row>
    <row r="84" spans="3:22" ht="24.75" customHeight="1">
      <c r="C84" s="1719" t="str">
        <f>+'10 - EPR'!C84:J84</f>
        <v>For the entities identified above an estimate is being used for the months without report, the estimate corresponds to the 2022 monthly budget implementation prediction.</v>
      </c>
      <c r="D84" s="1719"/>
      <c r="E84" s="1719"/>
      <c r="F84" s="1719"/>
      <c r="G84" s="1719"/>
      <c r="H84" s="1719"/>
      <c r="I84" s="1719"/>
      <c r="J84" s="1719"/>
      <c r="K84" s="218"/>
      <c r="M84" s="98"/>
      <c r="N84" s="98"/>
      <c r="O84" s="53"/>
      <c r="P84" s="53"/>
      <c r="Q84" s="53"/>
      <c r="T84" s="50"/>
      <c r="U84" s="50"/>
      <c r="V84" s="50"/>
    </row>
    <row r="85" spans="3:22" s="99" customFormat="1" ht="4.5" customHeight="1">
      <c r="C85" s="521"/>
      <c r="D85" s="521"/>
      <c r="E85" s="521"/>
      <c r="F85" s="521"/>
      <c r="G85" s="521"/>
      <c r="H85" s="521"/>
      <c r="I85" s="521"/>
      <c r="J85" s="521"/>
      <c r="K85" s="521"/>
      <c r="M85" s="445"/>
      <c r="N85" s="445"/>
      <c r="T85" s="103"/>
      <c r="U85" s="103"/>
      <c r="V85" s="103"/>
    </row>
    <row r="86" spans="3:22" ht="18" customHeight="1">
      <c r="C86" s="1718" t="str">
        <f>+'10 - EPR'!C86:J86</f>
        <v>This estimate is used only in months in which there is a lack of report. In other months, the information considered is that effectively reported by the entities.</v>
      </c>
      <c r="D86" s="1718"/>
      <c r="E86" s="1718"/>
      <c r="F86" s="1718"/>
      <c r="G86" s="1718"/>
      <c r="H86" s="1718"/>
      <c r="I86" s="1718"/>
      <c r="J86" s="1718"/>
      <c r="K86" s="218"/>
      <c r="L86" s="98"/>
      <c r="M86" s="98"/>
      <c r="N86" s="98"/>
      <c r="O86" s="53"/>
      <c r="P86" s="53"/>
      <c r="Q86" s="53"/>
      <c r="T86" s="50"/>
      <c r="U86" s="50"/>
      <c r="V86" s="50"/>
    </row>
    <row r="87" spans="3:22" s="341" customFormat="1" ht="4.5" customHeight="1">
      <c r="C87" s="640"/>
      <c r="D87" s="640"/>
      <c r="E87" s="640"/>
      <c r="F87" s="640"/>
      <c r="G87" s="640"/>
      <c r="H87" s="999"/>
      <c r="I87" s="640"/>
      <c r="J87" s="640"/>
      <c r="K87" s="340"/>
      <c r="L87" s="340"/>
      <c r="M87" s="340"/>
      <c r="N87" s="340"/>
      <c r="O87" s="340"/>
      <c r="P87" s="340"/>
      <c r="T87" s="342"/>
      <c r="U87" s="342"/>
      <c r="V87" s="342"/>
    </row>
    <row r="88" spans="3:22">
      <c r="C88" s="699" t="str">
        <f>IF(Indice_index!$Z$1=1,"Fonte: Direção-Geral do Orçamento","Source: Budget General Directorate")</f>
        <v>Source: Budget General Directorate</v>
      </c>
      <c r="D88" s="699"/>
      <c r="E88" s="699"/>
      <c r="F88" s="641"/>
      <c r="G88" s="641"/>
      <c r="H88" s="641"/>
      <c r="I88" s="641"/>
      <c r="J88" s="641"/>
    </row>
    <row r="89" spans="3:22" s="341" customFormat="1" ht="12.75" customHeight="1">
      <c r="C89" s="642"/>
      <c r="D89" s="642"/>
      <c r="E89" s="642"/>
      <c r="F89" s="370"/>
      <c r="G89" s="643"/>
      <c r="H89" s="640"/>
      <c r="I89" s="101"/>
      <c r="J89" s="101"/>
      <c r="K89" s="376"/>
      <c r="L89" s="343"/>
      <c r="M89" s="343"/>
      <c r="N89" s="343"/>
      <c r="O89" s="343"/>
      <c r="P89" s="343"/>
      <c r="Q89" s="343"/>
      <c r="R89" s="343"/>
      <c r="S89" s="343"/>
    </row>
    <row r="90" spans="3:22" s="341" customFormat="1" ht="12.75" customHeight="1">
      <c r="C90" s="371"/>
      <c r="D90" s="371"/>
      <c r="E90" s="371"/>
      <c r="F90" s="370"/>
      <c r="G90" s="101"/>
      <c r="H90" s="641"/>
      <c r="I90" s="372"/>
      <c r="J90" s="101"/>
      <c r="K90" s="101"/>
      <c r="O90" s="342"/>
      <c r="P90" s="342"/>
      <c r="Q90" s="342"/>
    </row>
    <row r="91" spans="3:22" s="341" customFormat="1" ht="12.75" customHeight="1">
      <c r="C91" s="1715"/>
      <c r="D91" s="1715"/>
      <c r="E91" s="1715"/>
      <c r="F91" s="1715"/>
      <c r="G91" s="1715"/>
      <c r="H91" s="1715"/>
      <c r="I91" s="1715"/>
      <c r="J91" s="1715"/>
      <c r="K91" s="1715"/>
      <c r="O91" s="342"/>
      <c r="P91" s="342"/>
      <c r="Q91" s="342"/>
    </row>
    <row r="92" spans="3:22" s="341" customFormat="1" ht="12.75" customHeight="1">
      <c r="C92" s="1715"/>
      <c r="D92" s="1715"/>
      <c r="E92" s="1715"/>
      <c r="F92" s="1715"/>
      <c r="G92" s="1715"/>
      <c r="H92" s="1715"/>
      <c r="I92" s="1715"/>
      <c r="J92" s="1715"/>
      <c r="K92" s="1715"/>
      <c r="O92" s="342"/>
      <c r="P92" s="342"/>
      <c r="Q92" s="342"/>
    </row>
    <row r="93" spans="3:22" s="341" customFormat="1" ht="12.75" customHeight="1">
      <c r="C93" s="1715"/>
      <c r="D93" s="1715"/>
      <c r="E93" s="1715"/>
      <c r="F93" s="1715"/>
      <c r="G93" s="1715"/>
      <c r="H93" s="1715"/>
      <c r="I93" s="1715"/>
      <c r="J93" s="1715"/>
      <c r="K93" s="1715"/>
      <c r="O93" s="342"/>
      <c r="P93" s="342"/>
      <c r="Q93" s="342"/>
    </row>
    <row r="94" spans="3:22" s="341" customFormat="1" ht="12.75" customHeight="1">
      <c r="C94" s="1715"/>
      <c r="D94" s="1715"/>
      <c r="E94" s="1715"/>
      <c r="F94" s="1715"/>
      <c r="G94" s="1715"/>
      <c r="H94" s="1715"/>
      <c r="I94" s="1715"/>
      <c r="J94" s="1715"/>
      <c r="K94" s="1715"/>
      <c r="O94" s="342"/>
      <c r="P94" s="342"/>
      <c r="Q94" s="342"/>
    </row>
    <row r="95" spans="3:22" s="341" customFormat="1" ht="12.75" customHeight="1">
      <c r="C95" s="1717"/>
      <c r="D95" s="1717"/>
      <c r="E95" s="1717"/>
      <c r="F95" s="1717"/>
      <c r="G95" s="1717"/>
      <c r="H95" s="1717"/>
      <c r="I95" s="1717"/>
      <c r="J95" s="1717"/>
      <c r="K95" s="1717"/>
      <c r="O95" s="342"/>
      <c r="P95" s="342"/>
      <c r="Q95" s="342"/>
    </row>
    <row r="96" spans="3:22" s="341" customFormat="1" ht="12.75" customHeight="1">
      <c r="C96" s="1717"/>
      <c r="D96" s="1717"/>
      <c r="E96" s="1717"/>
      <c r="F96" s="1717"/>
      <c r="G96" s="1717"/>
      <c r="H96" s="1717"/>
      <c r="I96" s="1717"/>
      <c r="J96" s="1717"/>
      <c r="K96" s="1717"/>
      <c r="O96" s="342"/>
      <c r="P96" s="342"/>
      <c r="Q96" s="342"/>
    </row>
    <row r="97" spans="3:18" s="99" customFormat="1">
      <c r="C97" s="1715"/>
      <c r="D97" s="1715"/>
      <c r="E97" s="1715"/>
      <c r="F97" s="1715"/>
      <c r="G97" s="1715"/>
      <c r="H97" s="1715"/>
      <c r="I97" s="1715"/>
      <c r="J97" s="1715"/>
      <c r="K97" s="1715"/>
      <c r="O97" s="103"/>
      <c r="P97" s="103"/>
      <c r="Q97" s="103"/>
    </row>
    <row r="98" spans="3:18" s="99" customFormat="1" ht="12.75" customHeight="1">
      <c r="C98" s="377"/>
      <c r="D98" s="377"/>
      <c r="E98" s="377"/>
      <c r="F98" s="105"/>
      <c r="G98" s="101"/>
      <c r="H98" s="101"/>
      <c r="I98" s="101"/>
      <c r="J98" s="101"/>
      <c r="K98" s="101"/>
      <c r="O98" s="103"/>
      <c r="P98" s="103"/>
      <c r="Q98" s="103"/>
    </row>
    <row r="99" spans="3:18" s="341" customFormat="1">
      <c r="C99" s="377"/>
      <c r="D99" s="377"/>
      <c r="E99" s="377"/>
      <c r="F99" s="105"/>
      <c r="G99" s="378"/>
      <c r="H99" s="378"/>
      <c r="I99" s="378"/>
      <c r="J99" s="378"/>
      <c r="K99" s="101"/>
      <c r="O99" s="342"/>
      <c r="P99" s="342"/>
      <c r="Q99" s="342"/>
    </row>
    <row r="100" spans="3:18" s="344" customFormat="1">
      <c r="C100" s="377"/>
      <c r="D100" s="377"/>
      <c r="E100" s="377"/>
      <c r="F100" s="105"/>
      <c r="G100" s="101"/>
      <c r="H100" s="101"/>
      <c r="I100" s="101"/>
      <c r="J100" s="101"/>
      <c r="K100" s="378"/>
      <c r="O100" s="342"/>
      <c r="P100" s="342"/>
      <c r="Q100" s="342"/>
    </row>
    <row r="101" spans="3:18" s="341" customFormat="1" ht="14.5">
      <c r="C101" s="379"/>
      <c r="D101" s="379"/>
      <c r="E101" s="379"/>
      <c r="F101" s="347"/>
      <c r="H101" s="378"/>
      <c r="O101" s="342"/>
      <c r="P101" s="342"/>
      <c r="Q101" s="342"/>
    </row>
    <row r="102" spans="3:18" s="345" customFormat="1">
      <c r="C102" s="347"/>
      <c r="D102" s="347"/>
      <c r="E102" s="347"/>
      <c r="F102" s="347"/>
      <c r="G102" s="341"/>
      <c r="H102" s="101"/>
      <c r="I102" s="341"/>
      <c r="J102" s="341"/>
      <c r="P102" s="342"/>
      <c r="Q102" s="342"/>
      <c r="R102" s="342"/>
    </row>
    <row r="103" spans="3:18" s="346" customFormat="1">
      <c r="C103" s="347"/>
      <c r="D103" s="347"/>
      <c r="E103" s="347"/>
      <c r="F103" s="347"/>
      <c r="G103" s="341"/>
      <c r="H103" s="341"/>
      <c r="I103" s="341"/>
      <c r="J103" s="341"/>
      <c r="P103" s="342"/>
      <c r="Q103" s="342"/>
      <c r="R103" s="342"/>
    </row>
    <row r="104" spans="3:18" s="346" customFormat="1">
      <c r="C104" s="347"/>
      <c r="D104" s="347"/>
      <c r="E104" s="347"/>
      <c r="F104" s="347"/>
      <c r="G104" s="341"/>
      <c r="H104" s="341"/>
      <c r="I104" s="341"/>
      <c r="J104" s="341"/>
      <c r="P104" s="342"/>
      <c r="Q104" s="342"/>
      <c r="R104" s="342"/>
    </row>
    <row r="105" spans="3:18" s="346" customFormat="1">
      <c r="C105" s="347"/>
      <c r="D105" s="347"/>
      <c r="E105" s="347"/>
      <c r="F105" s="347"/>
      <c r="G105" s="341"/>
      <c r="H105" s="341"/>
      <c r="I105" s="341"/>
      <c r="J105" s="341"/>
      <c r="P105" s="342"/>
      <c r="Q105" s="342"/>
      <c r="R105" s="342"/>
    </row>
    <row r="106" spans="3:18" s="346" customFormat="1">
      <c r="C106" s="347"/>
      <c r="D106" s="347"/>
      <c r="E106" s="347"/>
      <c r="F106" s="347"/>
      <c r="G106" s="341"/>
      <c r="H106" s="341"/>
      <c r="I106" s="341"/>
      <c r="J106" s="341"/>
      <c r="P106" s="342"/>
      <c r="Q106" s="342"/>
      <c r="R106" s="342"/>
    </row>
    <row r="107" spans="3:18" s="346" customFormat="1">
      <c r="C107" s="347"/>
      <c r="D107" s="347"/>
      <c r="E107" s="347"/>
      <c r="F107" s="347"/>
      <c r="G107" s="341"/>
      <c r="H107" s="341"/>
      <c r="I107" s="341"/>
      <c r="J107" s="341"/>
      <c r="P107" s="342"/>
      <c r="Q107" s="342"/>
      <c r="R107" s="342"/>
    </row>
    <row r="108" spans="3:18" s="346" customFormat="1">
      <c r="C108" s="347"/>
      <c r="D108" s="347"/>
      <c r="E108" s="347"/>
      <c r="F108" s="347"/>
      <c r="G108" s="341"/>
      <c r="H108" s="341"/>
      <c r="I108" s="341"/>
      <c r="J108" s="341"/>
      <c r="P108" s="342"/>
      <c r="Q108" s="342"/>
      <c r="R108" s="342"/>
    </row>
    <row r="109" spans="3:18" s="341" customFormat="1">
      <c r="C109" s="347"/>
      <c r="D109" s="347"/>
      <c r="E109" s="347"/>
      <c r="F109" s="347"/>
      <c r="O109" s="342"/>
      <c r="P109" s="342"/>
      <c r="Q109" s="342"/>
    </row>
    <row r="110" spans="3:18" s="341" customFormat="1">
      <c r="C110" s="347"/>
      <c r="D110" s="347"/>
      <c r="E110" s="347"/>
      <c r="F110" s="347"/>
      <c r="O110" s="342"/>
      <c r="P110" s="342"/>
      <c r="Q110" s="342"/>
    </row>
    <row r="111" spans="3:18" s="341" customFormat="1">
      <c r="C111" s="347"/>
      <c r="D111" s="347"/>
      <c r="E111" s="347"/>
      <c r="F111" s="347"/>
      <c r="O111" s="342"/>
      <c r="P111" s="342"/>
      <c r="Q111" s="342"/>
    </row>
    <row r="112" spans="3:18" s="341" customFormat="1">
      <c r="C112" s="347"/>
      <c r="D112" s="347"/>
      <c r="E112" s="347"/>
      <c r="F112" s="347"/>
      <c r="O112" s="342"/>
      <c r="P112" s="342"/>
      <c r="Q112" s="342"/>
    </row>
    <row r="113" spans="3:17" s="341" customFormat="1" ht="12" customHeight="1">
      <c r="C113" s="347"/>
      <c r="D113" s="347"/>
      <c r="E113" s="347"/>
      <c r="F113" s="347"/>
      <c r="O113" s="342"/>
      <c r="P113" s="342"/>
      <c r="Q113" s="342"/>
    </row>
    <row r="114" spans="3:17" s="341" customFormat="1">
      <c r="C114" s="347"/>
      <c r="D114" s="347"/>
      <c r="E114" s="347"/>
      <c r="F114" s="347"/>
      <c r="O114" s="342"/>
      <c r="P114" s="342"/>
      <c r="Q114" s="342"/>
    </row>
    <row r="115" spans="3:17" s="341" customFormat="1">
      <c r="C115" s="347"/>
      <c r="D115" s="347"/>
      <c r="E115" s="347"/>
      <c r="F115" s="347"/>
      <c r="O115" s="342"/>
      <c r="P115" s="342"/>
      <c r="Q115" s="342"/>
    </row>
    <row r="116" spans="3:17" s="341" customFormat="1">
      <c r="C116" s="347"/>
      <c r="D116" s="347"/>
      <c r="E116" s="347"/>
      <c r="F116" s="347"/>
      <c r="O116" s="342"/>
      <c r="P116" s="342"/>
      <c r="Q116" s="342"/>
    </row>
    <row r="117" spans="3:17" s="341" customFormat="1">
      <c r="C117" s="347"/>
      <c r="D117" s="347"/>
      <c r="E117" s="347"/>
      <c r="F117" s="347"/>
      <c r="O117" s="342"/>
      <c r="P117" s="342"/>
      <c r="Q117" s="342"/>
    </row>
    <row r="118" spans="3:17" s="104" customFormat="1">
      <c r="C118" s="62"/>
      <c r="D118" s="62"/>
      <c r="E118" s="62"/>
      <c r="F118" s="229"/>
      <c r="G118" s="62"/>
      <c r="H118" s="341"/>
      <c r="I118" s="62"/>
      <c r="J118" s="62"/>
      <c r="O118" s="50"/>
      <c r="P118" s="50"/>
      <c r="Q118" s="50"/>
    </row>
    <row r="119" spans="3:17" s="104" customFormat="1">
      <c r="C119" s="62"/>
      <c r="D119" s="62"/>
      <c r="E119" s="62"/>
      <c r="F119" s="229"/>
      <c r="G119" s="62"/>
      <c r="H119" s="341"/>
      <c r="I119" s="62"/>
      <c r="J119" s="62"/>
      <c r="O119" s="50"/>
      <c r="P119" s="50"/>
      <c r="Q119" s="50"/>
    </row>
    <row r="120" spans="3:17" s="104" customFormat="1">
      <c r="C120" s="62"/>
      <c r="D120" s="62"/>
      <c r="E120" s="62"/>
      <c r="F120" s="62"/>
      <c r="H120" s="62"/>
      <c r="O120" s="50"/>
      <c r="P120" s="50"/>
      <c r="Q120" s="50"/>
    </row>
    <row r="121" spans="3:17" s="104" customFormat="1">
      <c r="C121" s="62"/>
      <c r="D121" s="62"/>
      <c r="E121" s="62"/>
      <c r="F121" s="62"/>
      <c r="H121" s="62"/>
      <c r="O121" s="50"/>
      <c r="P121" s="50"/>
      <c r="Q121" s="50"/>
    </row>
    <row r="122" spans="3:17" s="104" customFormat="1">
      <c r="C122" s="62"/>
      <c r="D122" s="62"/>
      <c r="E122" s="62"/>
      <c r="F122" s="62"/>
      <c r="O122" s="50"/>
      <c r="P122" s="50"/>
      <c r="Q122" s="50"/>
    </row>
    <row r="123" spans="3:17" s="104" customFormat="1">
      <c r="C123" s="62"/>
      <c r="D123" s="62"/>
      <c r="E123" s="62"/>
      <c r="F123" s="62"/>
      <c r="O123" s="50"/>
      <c r="P123" s="50"/>
      <c r="Q123" s="50"/>
    </row>
    <row r="124" spans="3:17" s="104" customFormat="1">
      <c r="C124" s="62"/>
      <c r="D124" s="62"/>
      <c r="E124" s="62"/>
      <c r="F124" s="62"/>
      <c r="O124" s="50"/>
      <c r="P124" s="50"/>
      <c r="Q124" s="50"/>
    </row>
    <row r="125" spans="3:17" s="104" customFormat="1">
      <c r="C125" s="62"/>
      <c r="D125" s="62"/>
      <c r="E125" s="62"/>
      <c r="F125" s="62"/>
      <c r="O125" s="50"/>
      <c r="P125" s="50"/>
      <c r="Q125" s="50"/>
    </row>
    <row r="126" spans="3:17" s="104" customFormat="1">
      <c r="C126" s="62"/>
      <c r="D126" s="62"/>
      <c r="E126" s="62"/>
      <c r="F126" s="62"/>
      <c r="O126" s="50"/>
      <c r="P126" s="50"/>
      <c r="Q126" s="50"/>
    </row>
    <row r="127" spans="3:17" s="104" customFormat="1">
      <c r="C127" s="62"/>
      <c r="D127" s="62"/>
      <c r="E127" s="62"/>
      <c r="F127" s="62"/>
      <c r="O127" s="50"/>
      <c r="P127" s="50"/>
      <c r="Q127" s="50"/>
    </row>
    <row r="128" spans="3:17" s="104" customFormat="1">
      <c r="C128" s="62"/>
      <c r="D128" s="62"/>
      <c r="E128" s="62"/>
      <c r="F128" s="62"/>
      <c r="O128" s="50"/>
      <c r="P128" s="50"/>
      <c r="Q128" s="50"/>
    </row>
    <row r="129" spans="8:8">
      <c r="H129" s="104"/>
    </row>
    <row r="130" spans="8:8">
      <c r="H130" s="104"/>
    </row>
  </sheetData>
  <sheetProtection selectLockedCells="1"/>
  <mergeCells count="17">
    <mergeCell ref="C76:J76"/>
    <mergeCell ref="C2:J2"/>
    <mergeCell ref="F6:G6"/>
    <mergeCell ref="I6:J6"/>
    <mergeCell ref="U6:V6"/>
    <mergeCell ref="C97:K97"/>
    <mergeCell ref="C78:J78"/>
    <mergeCell ref="C91:K91"/>
    <mergeCell ref="C92:K92"/>
    <mergeCell ref="C93:K93"/>
    <mergeCell ref="C94:K94"/>
    <mergeCell ref="C96:K96"/>
    <mergeCell ref="C80:J80"/>
    <mergeCell ref="C82:J82"/>
    <mergeCell ref="C86:J86"/>
    <mergeCell ref="C84:J84"/>
    <mergeCell ref="C95:K95"/>
  </mergeCells>
  <printOptions horizontalCentered="1"/>
  <pageMargins left="0.70866141732283472" right="0.70866141732283472" top="0.74803149606299213" bottom="0.74803149606299213" header="0.74803149606299213" footer="0.35433070866141736"/>
  <pageSetup paperSize="9" scale="58" orientation="portrait" r:id="rId1"/>
  <headerFooter differentOddEven="1">
    <oddFooter>&amp;R&amp;G</oddFooter>
    <evenFooter>&amp;L&amp;G</evenFooter>
  </headerFooter>
  <ignoredErrors>
    <ignoredError sqref="F67:G67 I11:J57 I68:J72 F8:G8 F58:G62 F9:G10 I64:J67 I73:J73 I8:J8 I58:J63 I9:J10 F63:G63 F64:G66 J5 D10 D58:D67 G6 J6 I7 I6 J7 D73 D6:E6 E8:E14 H10:H73 F73:G73" unlockedFormula="1"/>
    <ignoredError sqref="F22:G22 F24:G24 F31:G35 F41:G41 F49:G49 F51:G51 F15:G15 D15 D22 D24 D31:D35 D41 D49 D51 E15:E66" formulaRange="1" unlockedFormula="1"/>
    <ignoredError sqref="E7:G7 D7" numberStoredAsText="1" unlockedFormula="1"/>
    <ignoredError sqref="I79:J79 F79:G79 D79 C81:D81 I81:J81 F81:G81 H7" numberStoredAsText="1"/>
    <ignoredError sqref="E67:E73" formulaRange="1"/>
  </ignoredError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14">
    <pageSetUpPr fitToPage="1"/>
  </sheetPr>
  <dimension ref="B1:AC112"/>
  <sheetViews>
    <sheetView showGridLines="0" zoomScaleNormal="100" zoomScaleSheetLayoutView="100" workbookViewId="0">
      <selection activeCell="B2" sqref="B2"/>
    </sheetView>
  </sheetViews>
  <sheetFormatPr defaultColWidth="9.1796875" defaultRowHeight="12"/>
  <cols>
    <col min="1" max="1" width="2.453125" style="109" customWidth="1"/>
    <col min="2" max="2" width="4.453125" style="109" customWidth="1"/>
    <col min="3" max="3" width="39.54296875" style="62" customWidth="1"/>
    <col min="4" max="5" width="9.453125" style="62" customWidth="1"/>
    <col min="6" max="6" width="9.453125" style="110" customWidth="1"/>
    <col min="7" max="7" width="9.453125" style="62" customWidth="1"/>
    <col min="8" max="10" width="9.453125" style="53" customWidth="1"/>
    <col min="11" max="11" width="16.54296875" style="109" customWidth="1"/>
    <col min="12" max="14" width="8.54296875" style="109" customWidth="1"/>
    <col min="15" max="15" width="9.1796875" style="109"/>
    <col min="16" max="16" width="9.54296875" style="109" bestFit="1" customWidth="1"/>
    <col min="17" max="17" width="9.54296875" style="50" bestFit="1" customWidth="1"/>
    <col min="18" max="19" width="9.1796875" style="50" customWidth="1"/>
    <col min="20" max="16384" width="9.1796875" style="109"/>
  </cols>
  <sheetData>
    <row r="1" spans="2:29" s="50" customFormat="1" ht="15" customHeight="1">
      <c r="B1" s="49"/>
      <c r="C1" s="49"/>
      <c r="D1" s="49"/>
      <c r="E1" s="49"/>
      <c r="F1" s="107"/>
    </row>
    <row r="2" spans="2:29" ht="24" customHeight="1">
      <c r="B2" s="8"/>
      <c r="C2" s="51" t="str">
        <f>IF(Indice_index!$Z$1=1,"10 - Execução Orçamental das Entidades Públicas Reclassificadas da Administração Central","10 - State Owned Enterprises Budget Execution")</f>
        <v>10 - State Owned Enterprises Budget Execution</v>
      </c>
      <c r="D2" s="51"/>
      <c r="E2" s="51"/>
      <c r="F2" s="108"/>
      <c r="G2" s="51"/>
      <c r="H2" s="51"/>
      <c r="I2" s="51"/>
      <c r="J2" s="51"/>
      <c r="Q2" s="80"/>
      <c r="S2" s="80"/>
    </row>
    <row r="3" spans="2:29" s="53" customFormat="1" ht="15" customHeight="1">
      <c r="C3" s="54"/>
      <c r="D3" s="54"/>
      <c r="E3" s="54"/>
      <c r="F3" s="81"/>
      <c r="O3" s="80"/>
      <c r="P3" s="50"/>
      <c r="Q3" s="50"/>
    </row>
    <row r="4" spans="2:29" s="53" customFormat="1" ht="15" customHeight="1">
      <c r="F4" s="62"/>
      <c r="O4" s="50"/>
      <c r="P4" s="50"/>
      <c r="Q4" s="50"/>
    </row>
    <row r="5" spans="2:29" s="288" customFormat="1" ht="15" customHeight="1">
      <c r="C5" s="696" t="str">
        <f>+'5 - Conta AC + SS'!C5</f>
        <v>Period: January to November</v>
      </c>
      <c r="D5" s="696"/>
      <c r="E5" s="696"/>
      <c r="F5" s="1093"/>
      <c r="G5" s="1094"/>
      <c r="H5" s="271"/>
      <c r="I5" s="271"/>
      <c r="J5" s="1040" t="str">
        <f>IF(Indice_index!$Z$1=1,"€ Milhões","€ Millions")</f>
        <v>€ Millions</v>
      </c>
      <c r="Q5" s="248"/>
      <c r="R5" s="248"/>
      <c r="S5" s="248"/>
    </row>
    <row r="6" spans="2:29" ht="31.5" customHeight="1">
      <c r="C6" s="812"/>
      <c r="D6" s="813" t="str">
        <f>IF(Indice_index!$Z$1=1,"CGE","Final execution")</f>
        <v>Final execution</v>
      </c>
      <c r="E6" s="813" t="str">
        <f>IF(Indice_index!$Z$1=1,"Orçamento Inicial","Budget")</f>
        <v>Budget</v>
      </c>
      <c r="F6" s="1727" t="str">
        <f>IF(Indice_index!$Z$1=1,"Execução Acumulada","Accumulated Execution")</f>
        <v>Accumulated Execution</v>
      </c>
      <c r="G6" s="1727"/>
      <c r="H6" s="1095" t="str">
        <f>IF(Indice_index!$Z$1=1,"Grau de Execução (%)","Execution Degree (%)")</f>
        <v>Execution Degree (%)</v>
      </c>
      <c r="I6" s="1707" t="str">
        <f>IF(Indice_index!$Z$1=1,"Variação Homóloga Acumulada","YOY Change Rate")</f>
        <v>YOY Change Rate</v>
      </c>
      <c r="J6" s="1708"/>
      <c r="K6" s="55"/>
    </row>
    <row r="7" spans="2:29" ht="33.75" customHeight="1">
      <c r="C7" s="1074"/>
      <c r="D7" s="815" t="s">
        <v>67</v>
      </c>
      <c r="E7" s="815" t="s">
        <v>73</v>
      </c>
      <c r="F7" s="816" t="s">
        <v>67</v>
      </c>
      <c r="G7" s="816" t="s">
        <v>73</v>
      </c>
      <c r="H7" s="818" t="s">
        <v>73</v>
      </c>
      <c r="I7" s="818" t="str">
        <f>IF(Indice_index!$Z$1=1,"Relativa (%)","Relative change (%)")</f>
        <v>Relative change (%)</v>
      </c>
      <c r="J7" s="819" t="str">
        <f>IF(Indice_index!$Z$1=1,"Contributo VHA (p.p.)","YOY Change Rate Contrib. (p.p.)")</f>
        <v>YOY Change Rate Contrib. (p.p.)</v>
      </c>
      <c r="K7" s="55"/>
    </row>
    <row r="8" spans="2:29" s="86" customFormat="1" ht="4.5" customHeight="1">
      <c r="C8" s="1078"/>
      <c r="D8" s="1078"/>
      <c r="E8" s="1078"/>
      <c r="F8" s="1096"/>
      <c r="G8" s="1078"/>
      <c r="H8" s="111"/>
      <c r="I8" s="111"/>
      <c r="J8" s="111"/>
      <c r="K8" s="111"/>
      <c r="N8" s="87"/>
    </row>
    <row r="9" spans="2:29" s="288" customFormat="1" ht="15" customHeight="1">
      <c r="C9" s="930" t="str">
        <f>IF(Indice_index!$Z$1=1,"Receita corrente","Current revenue")</f>
        <v>Current revenue</v>
      </c>
      <c r="D9" s="930">
        <f>SUM(D10:D21)-D10-D15</f>
        <v>9396.7781400300009</v>
      </c>
      <c r="E9" s="930">
        <f>SUM(E10:E21)-E10-E15</f>
        <v>11262.551622999999</v>
      </c>
      <c r="F9" s="1079">
        <f>SUM(F10:F21)-F10-F15</f>
        <v>8603.6140489400041</v>
      </c>
      <c r="G9" s="1079">
        <f>SUM(G10:G21)-G10-G15</f>
        <v>9140.5096850700029</v>
      </c>
      <c r="H9" s="1079">
        <f t="shared" ref="H9:H20" si="0">IFERROR(IF(G9/E9*100&lt;-500,"-",IF(G9/E9*100&gt;500,"-",G9/E9*100)),"-")</f>
        <v>81.158426536341594</v>
      </c>
      <c r="I9" s="1079">
        <f>IF(IFERROR((G9-F9)/F9*100,"")&gt;500,"-",IFERROR((G9-F9)/F9*100,""))</f>
        <v>6.2403500793500415</v>
      </c>
      <c r="J9" s="278">
        <f>IFERROR((G9-F9)/$F$32*100,"-")</f>
        <v>5.1746021111588707</v>
      </c>
      <c r="K9" s="278"/>
      <c r="L9" s="273"/>
      <c r="M9" s="289"/>
      <c r="N9" s="289"/>
      <c r="O9" s="289"/>
      <c r="P9" s="289"/>
      <c r="Q9" s="289"/>
      <c r="R9" s="289"/>
      <c r="S9" s="289"/>
      <c r="T9" s="289"/>
      <c r="U9" s="289"/>
      <c r="V9" s="289"/>
      <c r="W9" s="289"/>
      <c r="X9" s="289"/>
      <c r="Y9" s="289"/>
      <c r="Z9" s="289"/>
      <c r="AA9" s="289"/>
      <c r="AB9" s="289"/>
      <c r="AC9" s="289"/>
    </row>
    <row r="10" spans="2:29" ht="15" customHeight="1">
      <c r="C10" s="1080" t="str">
        <f>IF(Indice_index!$Z$1=1,"Receita Fiscal","Tax")</f>
        <v>Tax</v>
      </c>
      <c r="D10" s="220">
        <f>D11+D12</f>
        <v>185.15344694000001</v>
      </c>
      <c r="E10" s="220">
        <f>E11+E12</f>
        <v>208.52782999999999</v>
      </c>
      <c r="F10" s="701">
        <f>F11+F12</f>
        <v>169.12125000999995</v>
      </c>
      <c r="G10" s="701">
        <f>G11+G12</f>
        <v>182.27621071999999</v>
      </c>
      <c r="H10" s="1097">
        <f t="shared" si="0"/>
        <v>87.410975657301947</v>
      </c>
      <c r="I10" s="1097">
        <f t="shared" ref="I10:I29" si="1">IF(IFERROR((G10-F10)/F10*100,"")&gt;500,"-",IFERROR((G10-F10)/F10*100,""))</f>
        <v>7.778419748684569</v>
      </c>
      <c r="J10" s="1097">
        <f t="shared" ref="J10:J20" si="2">IFERROR((G10-F10)/$F$32*100,"-")</f>
        <v>0.12678755959509416</v>
      </c>
      <c r="K10" s="220"/>
      <c r="L10" s="57"/>
      <c r="N10" s="112"/>
      <c r="O10" s="112"/>
      <c r="P10" s="112"/>
      <c r="Q10" s="112"/>
      <c r="R10" s="112"/>
      <c r="S10" s="112"/>
      <c r="T10" s="112"/>
      <c r="U10" s="112"/>
      <c r="V10" s="112"/>
      <c r="W10" s="112"/>
      <c r="X10" s="112"/>
      <c r="Y10" s="112"/>
      <c r="Z10" s="112"/>
      <c r="AA10" s="112"/>
      <c r="AB10" s="112"/>
      <c r="AC10" s="112"/>
    </row>
    <row r="11" spans="2:29" ht="15" customHeight="1">
      <c r="C11" s="858" t="str">
        <f>IF(Indice_index!$Z$1=1,"Impostos diretos","Direct taxes")</f>
        <v>Direct taxes</v>
      </c>
      <c r="D11" s="220">
        <v>1.5595100000000001E-3</v>
      </c>
      <c r="E11" s="220">
        <v>0</v>
      </c>
      <c r="F11" s="702">
        <v>1.5595100000000001E-3</v>
      </c>
      <c r="G11" s="702">
        <v>0</v>
      </c>
      <c r="H11" s="1098" t="str">
        <f t="shared" si="0"/>
        <v>-</v>
      </c>
      <c r="I11" s="1098">
        <f t="shared" si="1"/>
        <v>-100</v>
      </c>
      <c r="J11" s="1098">
        <f t="shared" si="2"/>
        <v>-1.5030563102620217E-5</v>
      </c>
      <c r="K11" s="221"/>
      <c r="L11" s="57"/>
      <c r="M11" s="112"/>
      <c r="N11" s="112"/>
      <c r="O11" s="112"/>
      <c r="P11" s="112"/>
      <c r="Q11" s="112"/>
      <c r="R11" s="112"/>
      <c r="S11" s="112"/>
      <c r="T11" s="112"/>
      <c r="U11" s="112"/>
      <c r="V11" s="112"/>
      <c r="W11" s="112"/>
      <c r="X11" s="112"/>
      <c r="Y11" s="112"/>
      <c r="Z11" s="112"/>
      <c r="AA11" s="112"/>
      <c r="AB11" s="112"/>
      <c r="AC11" s="112"/>
    </row>
    <row r="12" spans="2:29" ht="15" customHeight="1">
      <c r="C12" s="858" t="str">
        <f>IF(Indice_index!$Z$1=1,"Impostos indiretos","Indirect taxes")</f>
        <v>Indirect taxes</v>
      </c>
      <c r="D12" s="220">
        <v>185.15188743000002</v>
      </c>
      <c r="E12" s="220">
        <v>208.52782999999999</v>
      </c>
      <c r="F12" s="702">
        <v>169.11969049999996</v>
      </c>
      <c r="G12" s="702">
        <v>182.27621071999999</v>
      </c>
      <c r="H12" s="1097">
        <f t="shared" si="0"/>
        <v>87.410975657301947</v>
      </c>
      <c r="I12" s="1097">
        <f t="shared" si="1"/>
        <v>7.7794136100314324</v>
      </c>
      <c r="J12" s="1097">
        <f t="shared" si="2"/>
        <v>0.1268025901581967</v>
      </c>
      <c r="K12" s="220"/>
      <c r="L12" s="57"/>
      <c r="M12" s="112"/>
      <c r="N12" s="112"/>
      <c r="O12" s="112"/>
      <c r="P12" s="112"/>
      <c r="Q12" s="112"/>
      <c r="R12" s="112"/>
      <c r="S12" s="112"/>
      <c r="T12" s="112"/>
      <c r="U12" s="112"/>
      <c r="V12" s="112"/>
      <c r="W12" s="112"/>
      <c r="X12" s="112"/>
      <c r="Y12" s="112"/>
      <c r="Z12" s="112"/>
      <c r="AA12" s="112"/>
      <c r="AB12" s="112"/>
      <c r="AC12" s="112"/>
    </row>
    <row r="13" spans="2:29" ht="15" customHeight="1">
      <c r="C13" s="1080" t="str">
        <f>IF(Indice_index!$Z$1=1,"Contribuições para Segurança Social, CGA e ADSE","Social security, CGA and ADSE contributions")</f>
        <v>Social security, CGA and ADSE contributions</v>
      </c>
      <c r="D13" s="220">
        <v>0</v>
      </c>
      <c r="E13" s="220">
        <v>0</v>
      </c>
      <c r="F13" s="702">
        <v>1.228784E-2</v>
      </c>
      <c r="G13" s="702">
        <v>0</v>
      </c>
      <c r="H13" s="1098" t="str">
        <f t="shared" si="0"/>
        <v>-</v>
      </c>
      <c r="I13" s="1098">
        <f t="shared" si="1"/>
        <v>-100</v>
      </c>
      <c r="J13" s="1097">
        <f t="shared" si="2"/>
        <v>-1.1843024701021528E-4</v>
      </c>
      <c r="K13" s="220"/>
      <c r="L13" s="57"/>
      <c r="M13" s="112"/>
      <c r="N13" s="112"/>
      <c r="O13" s="112"/>
      <c r="P13" s="112"/>
      <c r="Q13" s="112"/>
      <c r="R13" s="112"/>
      <c r="S13" s="112"/>
      <c r="T13" s="112"/>
      <c r="U13" s="112"/>
      <c r="V13" s="112"/>
      <c r="W13" s="112"/>
      <c r="X13" s="112"/>
      <c r="Y13" s="112"/>
      <c r="Z13" s="112"/>
      <c r="AA13" s="112"/>
      <c r="AB13" s="112"/>
      <c r="AC13" s="112"/>
    </row>
    <row r="14" spans="2:29" ht="15" customHeight="1">
      <c r="C14" s="1080" t="str">
        <f>IF(Indice_index!$Z$1=1,"Taxas, Multas e Outras Penalidades","Taxes, fines and other penalties")</f>
        <v>Taxes, fines and other penalties</v>
      </c>
      <c r="D14" s="220">
        <v>472.01967056000001</v>
      </c>
      <c r="E14" s="220">
        <v>509.13782900000001</v>
      </c>
      <c r="F14" s="702">
        <v>431.16978734999998</v>
      </c>
      <c r="G14" s="702">
        <v>453.43457804000008</v>
      </c>
      <c r="H14" s="1097">
        <f t="shared" si="0"/>
        <v>89.059298330000942</v>
      </c>
      <c r="I14" s="1097">
        <f t="shared" si="1"/>
        <v>5.16381048561892</v>
      </c>
      <c r="J14" s="1097">
        <f t="shared" si="2"/>
        <v>0.21458813437084573</v>
      </c>
      <c r="K14" s="220"/>
      <c r="L14" s="57"/>
      <c r="M14" s="112"/>
      <c r="N14" s="112"/>
      <c r="O14" s="112"/>
      <c r="P14" s="112"/>
      <c r="Q14" s="112"/>
      <c r="R14" s="112"/>
      <c r="S14" s="112"/>
      <c r="T14" s="112"/>
      <c r="U14" s="112"/>
      <c r="V14" s="112"/>
      <c r="W14" s="112"/>
      <c r="X14" s="112"/>
      <c r="Y14" s="112"/>
      <c r="Z14" s="112"/>
      <c r="AA14" s="112"/>
      <c r="AB14" s="112"/>
      <c r="AC14" s="112"/>
    </row>
    <row r="15" spans="2:29" ht="15" customHeight="1">
      <c r="C15" s="1080" t="str">
        <f>IF(Indice_index!$Z$1=1,"Transferências Correntes","Current transfers")</f>
        <v>Current transfers</v>
      </c>
      <c r="D15" s="220">
        <f>SUM(D16:D19)</f>
        <v>1329.0158478599999</v>
      </c>
      <c r="E15" s="220">
        <f>SUM(E16:E19)</f>
        <v>1572.3849380000001</v>
      </c>
      <c r="F15" s="1097">
        <f>SUM(F16:F19)</f>
        <v>1211.23924291</v>
      </c>
      <c r="G15" s="1097">
        <f>SUM(G16:G19)</f>
        <v>978.47110609999993</v>
      </c>
      <c r="H15" s="1097">
        <f t="shared" si="0"/>
        <v>62.228471060309772</v>
      </c>
      <c r="I15" s="1097">
        <f t="shared" si="1"/>
        <v>-19.217354306550956</v>
      </c>
      <c r="J15" s="1097">
        <f t="shared" si="2"/>
        <v>-2.243420156717201</v>
      </c>
      <c r="K15" s="220"/>
      <c r="L15" s="57"/>
      <c r="M15" s="112"/>
      <c r="N15" s="57"/>
      <c r="O15" s="112"/>
      <c r="P15" s="112"/>
      <c r="Q15" s="112"/>
      <c r="R15" s="112"/>
      <c r="S15" s="112"/>
      <c r="T15" s="112"/>
      <c r="U15" s="112"/>
      <c r="V15" s="112"/>
      <c r="W15" s="112"/>
      <c r="X15" s="112"/>
      <c r="Y15" s="112"/>
      <c r="Z15" s="112"/>
      <c r="AA15" s="112"/>
      <c r="AB15" s="112"/>
      <c r="AC15" s="112"/>
    </row>
    <row r="16" spans="2:29" ht="15" customHeight="1">
      <c r="C16" s="858" t="str">
        <f>IF(Indice_index!$Z$1=1,"Administração Central","Central Administration")</f>
        <v>Central Administration</v>
      </c>
      <c r="D16" s="220">
        <v>1133.9538990599999</v>
      </c>
      <c r="E16" s="220">
        <v>1005.919393</v>
      </c>
      <c r="F16" s="701">
        <v>944.30711265000014</v>
      </c>
      <c r="G16" s="701">
        <v>807.73734544999991</v>
      </c>
      <c r="H16" s="1097">
        <f t="shared" si="0"/>
        <v>80.298416659514572</v>
      </c>
      <c r="I16" s="1097">
        <f t="shared" si="1"/>
        <v>-14.462431275853232</v>
      </c>
      <c r="J16" s="1097">
        <f t="shared" si="2"/>
        <v>-1.3162599174162117</v>
      </c>
      <c r="K16" s="220"/>
      <c r="L16" s="57"/>
      <c r="M16" s="112"/>
      <c r="N16" s="112"/>
      <c r="O16" s="112"/>
      <c r="P16" s="112"/>
      <c r="Q16" s="112"/>
      <c r="R16" s="112"/>
      <c r="S16" s="112"/>
      <c r="T16" s="112"/>
      <c r="U16" s="112"/>
      <c r="V16" s="112"/>
      <c r="W16" s="112"/>
      <c r="X16" s="112"/>
      <c r="Y16" s="112"/>
      <c r="Z16" s="112"/>
      <c r="AA16" s="112"/>
      <c r="AB16" s="112"/>
      <c r="AC16" s="112"/>
    </row>
    <row r="17" spans="3:29" ht="15" customHeight="1">
      <c r="C17" s="973" t="str">
        <f>IF(Indice_index!$Z$1=1,"Outros subsectores das AP","Other General Government subsectors")</f>
        <v>Other General Government subsectors</v>
      </c>
      <c r="D17" s="220">
        <v>90.66560720999999</v>
      </c>
      <c r="E17" s="220">
        <v>87.270737999999994</v>
      </c>
      <c r="F17" s="702">
        <v>72.843441179999999</v>
      </c>
      <c r="G17" s="702">
        <v>68.899385150000001</v>
      </c>
      <c r="H17" s="1097">
        <f t="shared" si="0"/>
        <v>78.949011695077004</v>
      </c>
      <c r="I17" s="1097">
        <f t="shared" si="1"/>
        <v>-5.4144284867789638</v>
      </c>
      <c r="J17" s="1097">
        <f t="shared" si="2"/>
        <v>-3.8012826489849223E-2</v>
      </c>
      <c r="K17" s="220"/>
      <c r="L17" s="57"/>
      <c r="M17" s="112"/>
      <c r="N17" s="112"/>
      <c r="O17" s="112"/>
      <c r="P17" s="112"/>
      <c r="Q17" s="112"/>
      <c r="R17" s="112"/>
      <c r="S17" s="112"/>
      <c r="T17" s="112"/>
      <c r="U17" s="112"/>
      <c r="V17" s="112"/>
      <c r="W17" s="112"/>
      <c r="X17" s="112"/>
      <c r="Y17" s="112"/>
      <c r="Z17" s="112"/>
      <c r="AA17" s="112"/>
      <c r="AB17" s="112"/>
      <c r="AC17" s="112"/>
    </row>
    <row r="18" spans="3:29" ht="15" customHeight="1">
      <c r="C18" s="973" t="str">
        <f>IF(Indice_index!$Z$1=1,"União Europeia","European Union")</f>
        <v>European Union</v>
      </c>
      <c r="D18" s="220">
        <v>94.205071340000018</v>
      </c>
      <c r="E18" s="220">
        <v>462.52905199999998</v>
      </c>
      <c r="F18" s="702">
        <v>184.91752336000002</v>
      </c>
      <c r="G18" s="702">
        <v>89.523164589999965</v>
      </c>
      <c r="H18" s="1097">
        <f t="shared" si="0"/>
        <v>19.355144115358179</v>
      </c>
      <c r="I18" s="1097">
        <f t="shared" si="1"/>
        <v>-51.587516984144862</v>
      </c>
      <c r="J18" s="1097">
        <f t="shared" si="2"/>
        <v>-0.91941117987475429</v>
      </c>
      <c r="K18" s="220"/>
      <c r="L18" s="57"/>
      <c r="M18" s="112"/>
      <c r="N18" s="112"/>
      <c r="O18" s="112"/>
      <c r="P18" s="112"/>
      <c r="Q18" s="112"/>
      <c r="R18" s="112"/>
      <c r="S18" s="112"/>
      <c r="T18" s="112"/>
      <c r="U18" s="112"/>
      <c r="V18" s="112"/>
      <c r="W18" s="112"/>
      <c r="X18" s="112"/>
      <c r="Y18" s="112"/>
      <c r="Z18" s="112"/>
      <c r="AA18" s="112"/>
      <c r="AB18" s="112"/>
      <c r="AC18" s="112"/>
    </row>
    <row r="19" spans="3:29" ht="15" customHeight="1">
      <c r="C19" s="973" t="str">
        <f>IF(Indice_index!$Z$1=1,"Outras transferências","Other transfers")</f>
        <v>Other transfers</v>
      </c>
      <c r="D19" s="1081">
        <v>10.191270250000017</v>
      </c>
      <c r="E19" s="1081">
        <v>16.665755000000047</v>
      </c>
      <c r="F19" s="702">
        <v>9.1711657199999763</v>
      </c>
      <c r="G19" s="702">
        <v>12.311210910000014</v>
      </c>
      <c r="H19" s="1097">
        <f t="shared" si="0"/>
        <v>73.871306220450137</v>
      </c>
      <c r="I19" s="1097">
        <f t="shared" si="1"/>
        <v>34.238234111857764</v>
      </c>
      <c r="J19" s="1097">
        <f t="shared" si="2"/>
        <v>3.0263767063612713E-2</v>
      </c>
      <c r="K19" s="220"/>
      <c r="L19" s="57"/>
      <c r="M19" s="112"/>
      <c r="N19" s="112"/>
      <c r="O19" s="112"/>
      <c r="P19" s="112"/>
      <c r="Q19" s="112"/>
      <c r="R19" s="112"/>
      <c r="S19" s="112"/>
      <c r="T19" s="112"/>
      <c r="U19" s="112"/>
      <c r="V19" s="112"/>
      <c r="W19" s="112"/>
      <c r="X19" s="112"/>
      <c r="Y19" s="112"/>
      <c r="Z19" s="112"/>
      <c r="AA19" s="112"/>
      <c r="AB19" s="112"/>
      <c r="AC19" s="112"/>
    </row>
    <row r="20" spans="3:29" ht="15" customHeight="1">
      <c r="C20" s="1080" t="str">
        <f>IF(Indice_index!$Z$1=1,"Outras Receitas Correntes","Other current revenue")</f>
        <v>Other current revenue</v>
      </c>
      <c r="D20" s="220">
        <v>7410.1790191700011</v>
      </c>
      <c r="E20" s="220">
        <v>8972.4691379999986</v>
      </c>
      <c r="F20" s="702">
        <v>6788.6619525800033</v>
      </c>
      <c r="G20" s="702">
        <v>7526.1170147400044</v>
      </c>
      <c r="H20" s="1097">
        <f t="shared" si="0"/>
        <v>83.880110357421728</v>
      </c>
      <c r="I20" s="1097">
        <f t="shared" si="1"/>
        <v>10.863039982123933</v>
      </c>
      <c r="J20" s="1097">
        <f t="shared" si="2"/>
        <v>7.1075945951886235</v>
      </c>
      <c r="K20" s="220"/>
      <c r="L20" s="57"/>
      <c r="M20" s="112"/>
      <c r="N20" s="112"/>
      <c r="O20" s="112"/>
      <c r="P20" s="112"/>
      <c r="Q20" s="112"/>
      <c r="R20" s="112"/>
      <c r="S20" s="112"/>
      <c r="T20" s="112"/>
      <c r="U20" s="112"/>
      <c r="V20" s="112"/>
      <c r="W20" s="112"/>
      <c r="X20" s="112"/>
      <c r="Y20" s="112"/>
      <c r="Z20" s="112"/>
      <c r="AA20" s="112"/>
      <c r="AB20" s="112"/>
      <c r="AC20" s="112"/>
    </row>
    <row r="21" spans="3:29" ht="15" customHeight="1">
      <c r="C21" s="851" t="str">
        <f>IF(Indice_index!$Z$1=1,"Diferenças de consolidação","Consolidation differences")</f>
        <v>Consolidation differences</v>
      </c>
      <c r="D21" s="220">
        <v>0.4101554999999999</v>
      </c>
      <c r="E21" s="220">
        <v>3.1887999999999916E-2</v>
      </c>
      <c r="F21" s="702">
        <v>3.4095282499999993</v>
      </c>
      <c r="G21" s="702">
        <v>0.21077546999999985</v>
      </c>
      <c r="H21" s="1097"/>
      <c r="I21" s="1097"/>
      <c r="J21" s="1097"/>
      <c r="K21" s="220"/>
      <c r="L21" s="57"/>
      <c r="M21" s="112"/>
      <c r="N21" s="112"/>
      <c r="O21" s="112"/>
      <c r="P21" s="112"/>
      <c r="Q21" s="112"/>
      <c r="R21" s="112"/>
      <c r="S21" s="112"/>
      <c r="T21" s="112"/>
      <c r="U21" s="112"/>
      <c r="V21" s="112"/>
      <c r="W21" s="112"/>
      <c r="X21" s="112"/>
      <c r="Y21" s="112"/>
      <c r="Z21" s="112"/>
      <c r="AA21" s="112"/>
      <c r="AB21" s="112"/>
      <c r="AC21" s="112"/>
    </row>
    <row r="22" spans="3:29" s="288" customFormat="1" ht="15" customHeight="1">
      <c r="C22" s="930" t="str">
        <f>IF(Indice_index!$Z$1=1,"Receita de capital","Capital revenue")</f>
        <v>Capital revenue</v>
      </c>
      <c r="D22" s="284">
        <f>SUM(D23:D30)-D24</f>
        <v>2002.4088529700009</v>
      </c>
      <c r="E22" s="284">
        <f>SUM(E23:E30)-E24</f>
        <v>2290.3525120000004</v>
      </c>
      <c r="F22" s="281">
        <f>SUM(F23:F30)-F24</f>
        <v>1771.97859754</v>
      </c>
      <c r="G22" s="281">
        <f>SUM(G23:G30)-G24</f>
        <v>1399.2855908399995</v>
      </c>
      <c r="H22" s="281">
        <f t="shared" ref="H22:H29" si="3">IFERROR(IF(G22/E22*100&lt;-500,"-",IF(G22/E22*100&gt;500,"-",G22/E22*100)),"-")</f>
        <v>61.094769626449505</v>
      </c>
      <c r="I22" s="281">
        <f t="shared" si="1"/>
        <v>-21.032590755746273</v>
      </c>
      <c r="J22" s="281">
        <f t="shared" ref="J22:J29" si="4">IFERROR((G22-F22)/$F$32*100,"-")</f>
        <v>-3.5920165661711807</v>
      </c>
      <c r="K22" s="284"/>
      <c r="L22" s="273"/>
      <c r="M22" s="289"/>
      <c r="N22" s="289"/>
      <c r="O22" s="289"/>
      <c r="P22" s="289"/>
      <c r="Q22" s="289"/>
      <c r="R22" s="289"/>
      <c r="S22" s="289"/>
      <c r="T22" s="289"/>
      <c r="U22" s="289"/>
      <c r="V22" s="289"/>
      <c r="W22" s="289"/>
      <c r="X22" s="289"/>
      <c r="Y22" s="289"/>
      <c r="Z22" s="289"/>
      <c r="AA22" s="289"/>
      <c r="AB22" s="289"/>
      <c r="AC22" s="289"/>
    </row>
    <row r="23" spans="3:29" ht="15" customHeight="1">
      <c r="C23" s="1080" t="str">
        <f>IF(Indice_index!$Z$1=1,"Venda de bens de investimento","Sale of investment goods")</f>
        <v>Sale of investment goods</v>
      </c>
      <c r="D23" s="222">
        <v>113.09758594000002</v>
      </c>
      <c r="E23" s="222">
        <v>112.002539</v>
      </c>
      <c r="F23" s="702">
        <v>71.552311849999995</v>
      </c>
      <c r="G23" s="702">
        <v>89.615471769999999</v>
      </c>
      <c r="H23" s="702">
        <f t="shared" si="3"/>
        <v>80.012000236887488</v>
      </c>
      <c r="I23" s="702">
        <f t="shared" si="1"/>
        <v>25.244690846421626</v>
      </c>
      <c r="J23" s="702">
        <f t="shared" si="4"/>
        <v>0.17409280159170537</v>
      </c>
      <c r="K23" s="222"/>
      <c r="L23" s="57"/>
      <c r="M23" s="112"/>
      <c r="N23" s="112"/>
      <c r="O23" s="112"/>
      <c r="P23" s="112"/>
      <c r="Q23" s="112"/>
      <c r="R23" s="112"/>
      <c r="S23" s="112"/>
      <c r="T23" s="112"/>
      <c r="U23" s="112"/>
      <c r="V23" s="112"/>
      <c r="W23" s="112"/>
      <c r="X23" s="112"/>
      <c r="Y23" s="112"/>
      <c r="Z23" s="112"/>
      <c r="AA23" s="112"/>
      <c r="AB23" s="112"/>
      <c r="AC23" s="112"/>
    </row>
    <row r="24" spans="3:29" ht="15" customHeight="1">
      <c r="C24" s="1080" t="str">
        <f>IF(Indice_index!$Z$1=1,"Transferências de capital","Capital transfers")</f>
        <v>Capital transfers</v>
      </c>
      <c r="D24" s="222">
        <f>SUM(D25:D28)</f>
        <v>1866.4416001300003</v>
      </c>
      <c r="E24" s="222">
        <f>SUM(E25:E28)</f>
        <v>2147.5588120000002</v>
      </c>
      <c r="F24" s="702">
        <f>SUM(F25:F28)</f>
        <v>1687.7914557099998</v>
      </c>
      <c r="G24" s="702">
        <f>SUM(G25:G28)</f>
        <v>1294.42549747</v>
      </c>
      <c r="H24" s="702">
        <f t="shared" si="3"/>
        <v>60.274274689805317</v>
      </c>
      <c r="I24" s="702">
        <f t="shared" si="1"/>
        <v>-23.306549924115082</v>
      </c>
      <c r="J24" s="702">
        <f t="shared" si="4"/>
        <v>-3.7912625489730662</v>
      </c>
      <c r="K24" s="222"/>
      <c r="L24" s="57"/>
      <c r="M24" s="112"/>
      <c r="N24" s="112"/>
      <c r="O24" s="112"/>
      <c r="P24" s="112"/>
      <c r="Q24" s="112"/>
      <c r="R24" s="112"/>
      <c r="S24" s="112"/>
      <c r="T24" s="112"/>
      <c r="U24" s="112"/>
      <c r="V24" s="112"/>
      <c r="W24" s="112"/>
      <c r="X24" s="112"/>
      <c r="Y24" s="112"/>
      <c r="Z24" s="112"/>
      <c r="AA24" s="112"/>
      <c r="AB24" s="112"/>
      <c r="AC24" s="112"/>
    </row>
    <row r="25" spans="3:29" ht="15" customHeight="1">
      <c r="C25" s="858" t="str">
        <f>IF(Indice_index!$Z$1=1,"Administração Central","Central Administration")</f>
        <v>Central Administration</v>
      </c>
      <c r="D25" s="222">
        <v>1459.4761759100004</v>
      </c>
      <c r="E25" s="222">
        <v>1172.833402</v>
      </c>
      <c r="F25" s="702">
        <v>1292.1685698199999</v>
      </c>
      <c r="G25" s="702">
        <v>789.25598920000004</v>
      </c>
      <c r="H25" s="702">
        <f t="shared" si="3"/>
        <v>67.294808269793805</v>
      </c>
      <c r="I25" s="702">
        <f t="shared" si="1"/>
        <v>-38.920044363101631</v>
      </c>
      <c r="J25" s="702">
        <f t="shared" si="4"/>
        <v>-4.8470732974527166</v>
      </c>
      <c r="K25" s="222"/>
      <c r="L25" s="57"/>
      <c r="M25" s="112"/>
      <c r="N25" s="112"/>
      <c r="O25" s="112"/>
      <c r="P25" s="112"/>
      <c r="Q25" s="112"/>
      <c r="R25" s="112"/>
      <c r="S25" s="112"/>
      <c r="T25" s="112"/>
      <c r="U25" s="112"/>
      <c r="V25" s="112"/>
      <c r="W25" s="112"/>
      <c r="X25" s="112"/>
      <c r="Y25" s="112"/>
      <c r="Z25" s="112"/>
      <c r="AA25" s="112"/>
      <c r="AB25" s="112"/>
      <c r="AC25" s="112"/>
    </row>
    <row r="26" spans="3:29" ht="15" customHeight="1">
      <c r="C26" s="858" t="str">
        <f>IF(Indice_index!$Z$1=1,"Outros subsectores das AP","Other General Government subsectors")</f>
        <v>Other General Government subsectors</v>
      </c>
      <c r="D26" s="222">
        <v>3.2427105000000003</v>
      </c>
      <c r="E26" s="222">
        <v>2.5241949999999997</v>
      </c>
      <c r="F26" s="702">
        <v>2.95449969</v>
      </c>
      <c r="G26" s="702">
        <v>2.7414607200000001</v>
      </c>
      <c r="H26" s="702">
        <f t="shared" si="3"/>
        <v>108.6073270884381</v>
      </c>
      <c r="I26" s="702">
        <f t="shared" si="1"/>
        <v>-7.2106614436639171</v>
      </c>
      <c r="J26" s="702">
        <f t="shared" si="4"/>
        <v>-2.0532703746062642E-3</v>
      </c>
      <c r="K26" s="222"/>
      <c r="L26" s="57"/>
      <c r="M26" s="112"/>
      <c r="N26" s="112"/>
      <c r="O26" s="112"/>
      <c r="P26" s="112"/>
      <c r="Q26" s="112"/>
      <c r="R26" s="112"/>
      <c r="S26" s="112"/>
      <c r="T26" s="112"/>
      <c r="U26" s="112"/>
      <c r="V26" s="112"/>
      <c r="W26" s="112"/>
      <c r="X26" s="112"/>
      <c r="Y26" s="112"/>
      <c r="Z26" s="112"/>
      <c r="AA26" s="112"/>
      <c r="AB26" s="112"/>
      <c r="AC26" s="112"/>
    </row>
    <row r="27" spans="3:29" ht="15" customHeight="1">
      <c r="C27" s="858" t="str">
        <f>IF(Indice_index!$Z$1=1,"União Europeia","European Union")</f>
        <v>European Union</v>
      </c>
      <c r="D27" s="222">
        <v>189.50044813999997</v>
      </c>
      <c r="E27" s="222">
        <v>746.14160300000003</v>
      </c>
      <c r="F27" s="702">
        <v>178.65752768999999</v>
      </c>
      <c r="G27" s="702">
        <v>255.02700096999999</v>
      </c>
      <c r="H27" s="702">
        <f t="shared" si="3"/>
        <v>34.179437246846554</v>
      </c>
      <c r="I27" s="702">
        <f t="shared" si="1"/>
        <v>42.746294694345885</v>
      </c>
      <c r="J27" s="702">
        <f t="shared" si="4"/>
        <v>0.73604926371033763</v>
      </c>
      <c r="K27" s="222"/>
      <c r="L27" s="57"/>
      <c r="M27" s="112"/>
      <c r="N27" s="112"/>
      <c r="O27" s="112"/>
      <c r="P27" s="112"/>
      <c r="Q27" s="112"/>
      <c r="R27" s="112"/>
      <c r="S27" s="112"/>
      <c r="T27" s="112"/>
      <c r="U27" s="112"/>
      <c r="V27" s="112"/>
      <c r="W27" s="112"/>
      <c r="X27" s="112"/>
      <c r="Y27" s="112"/>
      <c r="Z27" s="112"/>
      <c r="AA27" s="112"/>
      <c r="AB27" s="112"/>
      <c r="AC27" s="112"/>
    </row>
    <row r="28" spans="3:29" ht="15" customHeight="1">
      <c r="C28" s="858" t="str">
        <f>IF(Indice_index!$Z$1=1,"Outras transferências","Other transfers")</f>
        <v>Other transfers</v>
      </c>
      <c r="D28" s="222">
        <v>214.22226558000003</v>
      </c>
      <c r="E28" s="222">
        <v>226.05961200000002</v>
      </c>
      <c r="F28" s="702">
        <v>214.01085850999999</v>
      </c>
      <c r="G28" s="702">
        <v>247.40104657999998</v>
      </c>
      <c r="H28" s="702">
        <f t="shared" si="3"/>
        <v>109.44062249385793</v>
      </c>
      <c r="I28" s="702">
        <f t="shared" si="1"/>
        <v>15.602099960007301</v>
      </c>
      <c r="J28" s="702">
        <f t="shared" si="4"/>
        <v>0.32181475514391811</v>
      </c>
      <c r="K28" s="222"/>
      <c r="L28" s="57"/>
      <c r="M28" s="112"/>
      <c r="N28" s="112"/>
      <c r="O28" s="112"/>
      <c r="P28" s="112"/>
      <c r="Q28" s="112"/>
      <c r="R28" s="112"/>
      <c r="S28" s="112"/>
      <c r="T28" s="112"/>
      <c r="U28" s="112"/>
      <c r="V28" s="112"/>
      <c r="W28" s="112"/>
      <c r="X28" s="112"/>
      <c r="Y28" s="112"/>
      <c r="Z28" s="112"/>
      <c r="AA28" s="112"/>
      <c r="AB28" s="112"/>
      <c r="AC28" s="112"/>
    </row>
    <row r="29" spans="3:29" ht="15" customHeight="1">
      <c r="C29" s="1080" t="str">
        <f>IF(Indice_index!$Z$1=1,"Outras Receitas de Capital","Other capital revenue")</f>
        <v>Other capital revenue</v>
      </c>
      <c r="D29" s="222">
        <v>22.869666899999999</v>
      </c>
      <c r="E29" s="222">
        <v>30.791160999999999</v>
      </c>
      <c r="F29" s="702">
        <v>12.634829980000001</v>
      </c>
      <c r="G29" s="702">
        <v>15.2446216</v>
      </c>
      <c r="H29" s="702">
        <f t="shared" si="3"/>
        <v>49.509733004221573</v>
      </c>
      <c r="I29" s="702">
        <f t="shared" si="1"/>
        <v>20.655534139605408</v>
      </c>
      <c r="J29" s="702">
        <f t="shared" si="4"/>
        <v>2.5153181210187454E-2</v>
      </c>
      <c r="K29" s="222"/>
      <c r="L29" s="57"/>
      <c r="M29" s="112"/>
      <c r="N29" s="112"/>
      <c r="O29" s="112"/>
      <c r="P29" s="112"/>
      <c r="Q29" s="112"/>
      <c r="R29" s="112"/>
      <c r="S29" s="112"/>
      <c r="T29" s="112"/>
      <c r="U29" s="112"/>
      <c r="V29" s="112"/>
      <c r="W29" s="112"/>
      <c r="X29" s="112"/>
      <c r="Y29" s="112"/>
      <c r="Z29" s="112"/>
      <c r="AA29" s="112"/>
      <c r="AB29" s="112"/>
      <c r="AC29" s="112"/>
    </row>
    <row r="30" spans="3:29" ht="15" customHeight="1">
      <c r="C30" s="851" t="str">
        <f>IF(Indice_index!$Z$1=1,"Diferenças de consolidação","Consolidation differences")</f>
        <v>Consolidation differences</v>
      </c>
      <c r="D30" s="222">
        <v>0</v>
      </c>
      <c r="E30" s="222">
        <v>0</v>
      </c>
      <c r="F30" s="702">
        <v>0</v>
      </c>
      <c r="G30" s="702">
        <v>0</v>
      </c>
      <c r="H30" s="702"/>
      <c r="I30" s="702"/>
      <c r="J30" s="702"/>
      <c r="K30" s="222"/>
      <c r="L30" s="57"/>
      <c r="M30" s="112"/>
      <c r="N30" s="112"/>
      <c r="O30" s="112"/>
      <c r="P30" s="112"/>
      <c r="Q30" s="112"/>
      <c r="R30" s="112"/>
      <c r="S30" s="112"/>
      <c r="T30" s="112"/>
      <c r="U30" s="112"/>
      <c r="V30" s="112"/>
      <c r="W30" s="112"/>
      <c r="X30" s="112"/>
      <c r="Y30" s="112"/>
      <c r="Z30" s="112"/>
      <c r="AA30" s="112"/>
      <c r="AB30" s="112"/>
      <c r="AC30" s="112"/>
    </row>
    <row r="31" spans="3:29" ht="4.5" customHeight="1">
      <c r="C31" s="858"/>
      <c r="D31" s="858"/>
      <c r="E31" s="858"/>
      <c r="F31" s="223"/>
      <c r="G31" s="223"/>
      <c r="H31" s="223"/>
      <c r="I31" s="223"/>
      <c r="J31" s="223"/>
      <c r="K31" s="223"/>
      <c r="L31" s="57"/>
      <c r="M31" s="112"/>
      <c r="N31" s="112"/>
      <c r="O31" s="112"/>
      <c r="P31" s="112"/>
      <c r="Q31" s="112"/>
      <c r="R31" s="112"/>
      <c r="S31" s="112"/>
      <c r="T31" s="112"/>
      <c r="U31" s="112"/>
      <c r="V31" s="112"/>
      <c r="W31" s="112"/>
      <c r="X31" s="112"/>
      <c r="Y31" s="112"/>
      <c r="Z31" s="112"/>
      <c r="AA31" s="112"/>
      <c r="AB31" s="112"/>
      <c r="AC31" s="112"/>
    </row>
    <row r="32" spans="3:29" s="288" customFormat="1" ht="15" customHeight="1">
      <c r="C32" s="1082" t="str">
        <f>IF(Indice_index!$Z$1=1,"Receita efetiva","Effective revenue")</f>
        <v>Effective revenue</v>
      </c>
      <c r="D32" s="1082">
        <f>+D9+D22</f>
        <v>11399.186993000001</v>
      </c>
      <c r="E32" s="1082">
        <f>+E9+E22</f>
        <v>13552.904135000001</v>
      </c>
      <c r="F32" s="1083">
        <f>+F9+F22</f>
        <v>10375.592646480003</v>
      </c>
      <c r="G32" s="1083">
        <f>+G9+G22</f>
        <v>10539.795275910003</v>
      </c>
      <c r="H32" s="1083">
        <f>IFERROR(IF(G32/E32*100&lt;-500,"-",IF(G32/E32*100&gt;500,"-",G32/E32*100)),"-")</f>
        <v>77.767799217964452</v>
      </c>
      <c r="I32" s="1083">
        <f t="shared" ref="I32" si="5">IFERROR(IF(F32=0,"-",(G32-F32)/F32*100),"-")</f>
        <v>1.5825855449877013</v>
      </c>
      <c r="J32" s="1083"/>
      <c r="K32" s="281"/>
      <c r="L32" s="273"/>
      <c r="M32" s="289"/>
      <c r="N32" s="289"/>
      <c r="O32" s="289"/>
      <c r="P32" s="289"/>
      <c r="Q32" s="289"/>
      <c r="R32" s="289"/>
      <c r="S32" s="289"/>
      <c r="T32" s="289"/>
      <c r="U32" s="289"/>
      <c r="V32" s="289"/>
      <c r="W32" s="289"/>
      <c r="X32" s="289"/>
      <c r="Y32" s="289"/>
      <c r="Z32" s="289"/>
      <c r="AA32" s="289"/>
      <c r="AB32" s="289"/>
      <c r="AC32" s="289"/>
    </row>
    <row r="33" spans="3:29" ht="4.5" customHeight="1">
      <c r="C33" s="858"/>
      <c r="D33" s="858"/>
      <c r="E33" s="858"/>
      <c r="F33" s="702"/>
      <c r="G33" s="702"/>
      <c r="H33" s="702"/>
      <c r="I33" s="702"/>
      <c r="J33" s="111"/>
      <c r="K33" s="111"/>
      <c r="L33" s="57"/>
      <c r="M33" s="112"/>
      <c r="N33" s="112"/>
      <c r="O33" s="112"/>
      <c r="P33" s="112"/>
      <c r="Q33" s="112"/>
      <c r="R33" s="112"/>
      <c r="S33" s="112"/>
      <c r="T33" s="112"/>
      <c r="U33" s="112"/>
      <c r="V33" s="112"/>
      <c r="W33" s="112"/>
      <c r="X33" s="112"/>
      <c r="Y33" s="112"/>
      <c r="Z33" s="112"/>
      <c r="AA33" s="112"/>
      <c r="AB33" s="112"/>
      <c r="AC33" s="112"/>
    </row>
    <row r="34" spans="3:29" s="288" customFormat="1" ht="15" customHeight="1">
      <c r="C34" s="930" t="str">
        <f>IF(Indice_index!$Z$1=1,"Despesa corrente","Current Expenditure")</f>
        <v>Current Expenditure</v>
      </c>
      <c r="D34" s="930">
        <f>SUM(D35:D48)-D35-D41</f>
        <v>10465.24084210999</v>
      </c>
      <c r="E34" s="930">
        <f>SUM(E35:E48)-E35-E41</f>
        <v>11155.835802999998</v>
      </c>
      <c r="F34" s="281">
        <f>SUM(F35:F48)-F35-F41</f>
        <v>8506.7486175800041</v>
      </c>
      <c r="G34" s="281">
        <f>SUM(G35:G48)-G35-G41</f>
        <v>8760.357793170002</v>
      </c>
      <c r="H34" s="281">
        <f t="shared" ref="H34:H47" si="6">IFERROR(IF(G34/E34*100&lt;-500,"-",IF(G34/E34*100&gt;500,"-",G34/E34*100)),"-")</f>
        <v>78.527130982101667</v>
      </c>
      <c r="I34" s="281">
        <f t="shared" ref="I34:I56" si="7">IF(IFERROR((G34-F34)/F34*100,"")&gt;500,"-",IFERROR((G34-F34)/F34*100,""))</f>
        <v>2.981270365341353</v>
      </c>
      <c r="J34" s="281">
        <f>IFERROR((G34-F34)/$F$59*100,"-")</f>
        <v>2.2939095877285807</v>
      </c>
      <c r="K34" s="281"/>
      <c r="L34" s="273"/>
      <c r="M34" s="289"/>
      <c r="N34" s="289"/>
      <c r="O34" s="289"/>
      <c r="P34" s="289"/>
      <c r="Q34" s="289"/>
      <c r="R34" s="289"/>
      <c r="S34" s="289"/>
      <c r="T34" s="289"/>
      <c r="U34" s="289"/>
      <c r="V34" s="289"/>
      <c r="W34" s="289"/>
      <c r="X34" s="289"/>
      <c r="Y34" s="289"/>
      <c r="Z34" s="289"/>
      <c r="AA34" s="289"/>
      <c r="AB34" s="289"/>
      <c r="AC34" s="289"/>
    </row>
    <row r="35" spans="3:29" ht="15" customHeight="1">
      <c r="C35" s="1080" t="str">
        <f>IF(Indice_index!$Z$1=1,"Despesas com o pessoal","Employees")</f>
        <v>Employees</v>
      </c>
      <c r="D35" s="222">
        <f t="shared" ref="D35:G35" si="8">SUM(D36:D38)</f>
        <v>5038.6905779799999</v>
      </c>
      <c r="E35" s="222">
        <f t="shared" ref="E35" si="9">SUM(E36:E38)</f>
        <v>5260.8019539999996</v>
      </c>
      <c r="F35" s="702">
        <f>SUM(F36:F38)</f>
        <v>4519.859246050004</v>
      </c>
      <c r="G35" s="702">
        <f t="shared" si="8"/>
        <v>4655.4712871499987</v>
      </c>
      <c r="H35" s="702">
        <f t="shared" si="6"/>
        <v>88.493566719618784</v>
      </c>
      <c r="I35" s="702">
        <f t="shared" si="7"/>
        <v>3.0003598279859887</v>
      </c>
      <c r="J35" s="702">
        <f t="shared" ref="J35:J47" si="10">IFERROR((G35-F35)/$F$59*100,"-")</f>
        <v>1.2266187158529172</v>
      </c>
      <c r="K35" s="222"/>
      <c r="L35" s="57"/>
      <c r="M35" s="112"/>
      <c r="N35" s="112"/>
      <c r="O35" s="112"/>
      <c r="P35" s="112"/>
      <c r="Q35" s="112"/>
      <c r="R35" s="112"/>
      <c r="S35" s="112"/>
      <c r="T35" s="112"/>
      <c r="U35" s="112"/>
      <c r="V35" s="112"/>
      <c r="W35" s="112"/>
      <c r="X35" s="112"/>
      <c r="Y35" s="112"/>
      <c r="Z35" s="112"/>
      <c r="AA35" s="112"/>
      <c r="AB35" s="112"/>
      <c r="AC35" s="112"/>
    </row>
    <row r="36" spans="3:29" ht="15" customHeight="1">
      <c r="C36" s="858" t="str">
        <f>IF(Indice_index!$Z$1=1,"Remunerações Certas e Permanentes","Certain and permanent wages")</f>
        <v>Certain and permanent wages</v>
      </c>
      <c r="D36" s="222">
        <v>3313.24489253</v>
      </c>
      <c r="E36" s="222">
        <v>3507.0217859999998</v>
      </c>
      <c r="F36" s="702">
        <v>2992.6070791700045</v>
      </c>
      <c r="G36" s="702">
        <v>3086.8268948699983</v>
      </c>
      <c r="H36" s="702">
        <f t="shared" si="6"/>
        <v>88.01846932324699</v>
      </c>
      <c r="I36" s="702">
        <f t="shared" si="7"/>
        <v>3.1484191946149385</v>
      </c>
      <c r="J36" s="702">
        <f t="shared" si="10"/>
        <v>0.85222365510011877</v>
      </c>
      <c r="K36" s="222"/>
      <c r="L36" s="57"/>
      <c r="M36" s="112"/>
      <c r="N36" s="112"/>
      <c r="O36" s="112"/>
      <c r="P36" s="112"/>
      <c r="Q36" s="112"/>
      <c r="R36" s="112"/>
      <c r="S36" s="112"/>
      <c r="T36" s="112"/>
      <c r="U36" s="112"/>
      <c r="V36" s="112"/>
      <c r="W36" s="112"/>
      <c r="X36" s="112"/>
      <c r="Y36" s="112"/>
      <c r="Z36" s="112"/>
      <c r="AA36" s="112"/>
      <c r="AB36" s="112"/>
      <c r="AC36" s="112"/>
    </row>
    <row r="37" spans="3:29" ht="15" customHeight="1">
      <c r="C37" s="858" t="str">
        <f>IF(Indice_index!$Z$1=1,"Abonos Variáveis ou Eventuais","Variable or contingent bonuses")</f>
        <v>Variable or contingent bonuses</v>
      </c>
      <c r="D37" s="222">
        <v>759.07758084000011</v>
      </c>
      <c r="E37" s="222">
        <v>734.76929399999995</v>
      </c>
      <c r="F37" s="702">
        <v>689.5530967299992</v>
      </c>
      <c r="G37" s="702">
        <v>717.55350176999991</v>
      </c>
      <c r="H37" s="702">
        <f t="shared" si="6"/>
        <v>97.656979902320202</v>
      </c>
      <c r="I37" s="702">
        <f t="shared" si="7"/>
        <v>4.0606597479997291</v>
      </c>
      <c r="J37" s="702">
        <f t="shared" si="10"/>
        <v>0.25326527493382417</v>
      </c>
      <c r="K37" s="222"/>
      <c r="L37" s="57"/>
      <c r="M37" s="112"/>
      <c r="N37" s="112"/>
      <c r="O37" s="112"/>
      <c r="P37" s="112"/>
      <c r="Q37" s="112"/>
      <c r="R37" s="112"/>
      <c r="S37" s="112"/>
      <c r="T37" s="112"/>
      <c r="U37" s="112"/>
      <c r="V37" s="112"/>
      <c r="W37" s="112"/>
      <c r="X37" s="112"/>
      <c r="Y37" s="112"/>
      <c r="Z37" s="112"/>
      <c r="AA37" s="112"/>
      <c r="AB37" s="112"/>
      <c r="AC37" s="112"/>
    </row>
    <row r="38" spans="3:29" ht="15" customHeight="1">
      <c r="C38" s="858" t="str">
        <f>IF(Indice_index!$Z$1=1,"Segurança social","Social security")</f>
        <v>Social security</v>
      </c>
      <c r="D38" s="222">
        <v>966.36810461000027</v>
      </c>
      <c r="E38" s="222">
        <v>1019.0108739999999</v>
      </c>
      <c r="F38" s="702">
        <v>837.69907015000081</v>
      </c>
      <c r="G38" s="702">
        <v>851.09089051000024</v>
      </c>
      <c r="H38" s="702">
        <f t="shared" si="6"/>
        <v>83.521276585513675</v>
      </c>
      <c r="I38" s="702">
        <f t="shared" si="7"/>
        <v>1.5986433359179271</v>
      </c>
      <c r="J38" s="702">
        <f>IFERROR((G38-F38)/$F$59*100,"-")</f>
        <v>0.12112978581896804</v>
      </c>
      <c r="K38" s="222"/>
      <c r="L38" s="57"/>
      <c r="M38" s="112"/>
      <c r="N38" s="112"/>
      <c r="O38" s="112"/>
      <c r="P38" s="112"/>
      <c r="Q38" s="112"/>
      <c r="R38" s="112"/>
      <c r="S38" s="112"/>
      <c r="T38" s="112"/>
      <c r="U38" s="112"/>
      <c r="V38" s="112"/>
      <c r="W38" s="112"/>
      <c r="X38" s="112"/>
      <c r="Y38" s="112"/>
      <c r="Z38" s="112"/>
      <c r="AA38" s="112"/>
      <c r="AB38" s="112"/>
      <c r="AC38" s="112"/>
    </row>
    <row r="39" spans="3:29" ht="15" customHeight="1">
      <c r="C39" s="1080" t="str">
        <f>IF(Indice_index!$Z$1=1,"Aquisição de bens e serviços","Purchase of goods and services")</f>
        <v>Purchase of goods and services</v>
      </c>
      <c r="D39" s="222">
        <v>4566.1307005299896</v>
      </c>
      <c r="E39" s="222">
        <v>4853.3923489999997</v>
      </c>
      <c r="F39" s="702">
        <v>3407.663231959998</v>
      </c>
      <c r="G39" s="702">
        <v>3661.4562690500024</v>
      </c>
      <c r="H39" s="702">
        <f t="shared" si="6"/>
        <v>75.441176104470813</v>
      </c>
      <c r="I39" s="702">
        <f t="shared" si="7"/>
        <v>7.4477147480336363</v>
      </c>
      <c r="J39" s="702">
        <f t="shared" si="10"/>
        <v>2.295572625576868</v>
      </c>
      <c r="K39" s="222"/>
      <c r="L39" s="57"/>
      <c r="M39" s="112"/>
      <c r="N39" s="112"/>
      <c r="O39" s="112"/>
      <c r="P39" s="112"/>
      <c r="Q39" s="112"/>
      <c r="R39" s="112"/>
      <c r="S39" s="112"/>
      <c r="T39" s="112"/>
      <c r="U39" s="112"/>
      <c r="V39" s="112"/>
      <c r="W39" s="112"/>
      <c r="X39" s="112"/>
      <c r="Y39" s="112"/>
      <c r="Z39" s="112"/>
      <c r="AA39" s="112"/>
      <c r="AB39" s="112"/>
      <c r="AC39" s="112"/>
    </row>
    <row r="40" spans="3:29" ht="15" customHeight="1">
      <c r="C40" s="1080" t="str">
        <f>IF(Indice_index!$Z$1=1,"Juros e outros encargos","Interests")</f>
        <v>Interests</v>
      </c>
      <c r="D40" s="222">
        <v>619.68711370999995</v>
      </c>
      <c r="E40" s="222">
        <v>484.836139</v>
      </c>
      <c r="F40" s="702">
        <v>385.64665947999987</v>
      </c>
      <c r="G40" s="702">
        <v>231.13207086</v>
      </c>
      <c r="H40" s="702">
        <f t="shared" si="6"/>
        <v>47.672203507090465</v>
      </c>
      <c r="I40" s="702">
        <f t="shared" si="7"/>
        <v>-40.066362516492433</v>
      </c>
      <c r="J40" s="702">
        <f t="shared" si="10"/>
        <v>-1.39759334596147</v>
      </c>
      <c r="K40" s="222"/>
      <c r="L40" s="57"/>
      <c r="M40" s="112"/>
      <c r="N40" s="112"/>
      <c r="O40" s="112"/>
      <c r="P40" s="112"/>
      <c r="Q40" s="112"/>
      <c r="R40" s="112"/>
      <c r="S40" s="112"/>
      <c r="T40" s="112"/>
      <c r="U40" s="112"/>
      <c r="V40" s="112"/>
      <c r="W40" s="112"/>
      <c r="X40" s="112"/>
      <c r="Y40" s="112"/>
      <c r="Z40" s="112"/>
      <c r="AA40" s="112"/>
      <c r="AB40" s="112"/>
      <c r="AC40" s="112"/>
    </row>
    <row r="41" spans="3:29" ht="15" customHeight="1">
      <c r="C41" s="1080" t="str">
        <f>IF(Indice_index!$Z$1=1,"Transferências correntes","Current transfers")</f>
        <v>Current transfers</v>
      </c>
      <c r="D41" s="113">
        <f>SUM(D42:D45)</f>
        <v>51.248088850000002</v>
      </c>
      <c r="E41" s="113">
        <f>SUM(E42:E45)</f>
        <v>75.475421999999995</v>
      </c>
      <c r="F41" s="701">
        <f>SUM(F42:F45)</f>
        <v>44.903110929999997</v>
      </c>
      <c r="G41" s="701">
        <f>SUM(G42:G45)</f>
        <v>60.181457190000017</v>
      </c>
      <c r="H41" s="701">
        <f t="shared" si="6"/>
        <v>79.736496458410016</v>
      </c>
      <c r="I41" s="701">
        <f t="shared" si="7"/>
        <v>34.025139781111427</v>
      </c>
      <c r="J41" s="701">
        <f t="shared" si="10"/>
        <v>0.13819352114889874</v>
      </c>
      <c r="K41" s="113"/>
      <c r="L41" s="57"/>
      <c r="M41" s="112"/>
      <c r="N41" s="112"/>
      <c r="O41" s="112"/>
      <c r="P41" s="112"/>
      <c r="Q41" s="112"/>
      <c r="R41" s="112"/>
      <c r="S41" s="112"/>
      <c r="T41" s="112"/>
      <c r="U41" s="112"/>
      <c r="V41" s="112"/>
      <c r="W41" s="112"/>
      <c r="X41" s="112"/>
      <c r="Y41" s="112"/>
      <c r="Z41" s="112"/>
      <c r="AA41" s="112"/>
      <c r="AB41" s="112"/>
      <c r="AC41" s="112"/>
    </row>
    <row r="42" spans="3:29" ht="15" customHeight="1">
      <c r="C42" s="858" t="str">
        <f>IF(Indice_index!$Z$1=1,"Administração Central","Central Administration")</f>
        <v>Central Administration</v>
      </c>
      <c r="D42" s="113">
        <v>0.70975048000000018</v>
      </c>
      <c r="E42" s="113">
        <v>0.69647999999999988</v>
      </c>
      <c r="F42" s="702">
        <v>0.56459951000000008</v>
      </c>
      <c r="G42" s="702">
        <v>0.65341147000000011</v>
      </c>
      <c r="H42" s="702">
        <f t="shared" si="6"/>
        <v>93.816257466115346</v>
      </c>
      <c r="I42" s="702">
        <f t="shared" si="7"/>
        <v>15.730080955968242</v>
      </c>
      <c r="J42" s="701">
        <f t="shared" si="10"/>
        <v>8.0330928908631336E-4</v>
      </c>
      <c r="K42" s="113"/>
      <c r="L42" s="57"/>
      <c r="M42" s="112"/>
      <c r="N42" s="112"/>
      <c r="O42" s="112"/>
      <c r="P42" s="112"/>
      <c r="Q42" s="112"/>
      <c r="R42" s="112"/>
      <c r="S42" s="112"/>
      <c r="T42" s="112"/>
      <c r="U42" s="112"/>
      <c r="V42" s="112"/>
      <c r="W42" s="112"/>
      <c r="X42" s="112"/>
      <c r="Y42" s="112"/>
      <c r="Z42" s="112"/>
      <c r="AA42" s="112"/>
      <c r="AB42" s="112"/>
      <c r="AC42" s="112"/>
    </row>
    <row r="43" spans="3:29" ht="15" customHeight="1">
      <c r="C43" s="858" t="str">
        <f>IF(Indice_index!$Z$1=1,"Outros subsectores das AP","Other General Government subsectors")</f>
        <v>Other General Government subsectors</v>
      </c>
      <c r="D43" s="222">
        <v>0.29586607999999998</v>
      </c>
      <c r="E43" s="222">
        <v>3.1758000000000002E-2</v>
      </c>
      <c r="F43" s="702">
        <v>4.4723699999999998E-3</v>
      </c>
      <c r="G43" s="702">
        <v>0.53642608999999997</v>
      </c>
      <c r="H43" s="702" t="str">
        <f t="shared" si="6"/>
        <v>-</v>
      </c>
      <c r="I43" s="702" t="str">
        <f t="shared" si="7"/>
        <v>-</v>
      </c>
      <c r="J43" s="702">
        <f t="shared" si="10"/>
        <v>4.8115520098871781E-3</v>
      </c>
      <c r="K43" s="222"/>
      <c r="L43" s="57"/>
      <c r="M43" s="112"/>
      <c r="N43" s="112"/>
      <c r="O43" s="112"/>
      <c r="P43" s="112"/>
      <c r="Q43" s="112"/>
      <c r="R43" s="112"/>
      <c r="S43" s="112"/>
      <c r="T43" s="112"/>
      <c r="U43" s="112"/>
      <c r="V43" s="112"/>
      <c r="W43" s="112"/>
      <c r="X43" s="112"/>
      <c r="Y43" s="112"/>
      <c r="Z43" s="112"/>
      <c r="AA43" s="112"/>
      <c r="AB43" s="112"/>
      <c r="AC43" s="112"/>
    </row>
    <row r="44" spans="3:29" ht="15" customHeight="1">
      <c r="C44" s="858" t="str">
        <f>IF(Indice_index!$Z$1=1,"União Europeia","European Union")</f>
        <v>European Union</v>
      </c>
      <c r="D44" s="222">
        <v>1.54922659</v>
      </c>
      <c r="E44" s="222">
        <v>2.3817749999999998</v>
      </c>
      <c r="F44" s="702">
        <v>1.50397574</v>
      </c>
      <c r="G44" s="702">
        <v>1.8084261499999998</v>
      </c>
      <c r="H44" s="702">
        <f t="shared" si="6"/>
        <v>75.927665291641745</v>
      </c>
      <c r="I44" s="702">
        <f t="shared" si="7"/>
        <v>20.243039957546113</v>
      </c>
      <c r="J44" s="702">
        <f t="shared" si="10"/>
        <v>2.7537714787415624E-3</v>
      </c>
      <c r="K44" s="222"/>
      <c r="L44" s="57"/>
      <c r="M44" s="112"/>
      <c r="N44" s="112"/>
      <c r="O44" s="112"/>
      <c r="P44" s="112"/>
      <c r="Q44" s="112"/>
      <c r="R44" s="112"/>
      <c r="S44" s="112"/>
      <c r="T44" s="112"/>
      <c r="U44" s="112"/>
      <c r="V44" s="112"/>
      <c r="W44" s="112"/>
      <c r="X44" s="112"/>
      <c r="Y44" s="112"/>
      <c r="Z44" s="112"/>
      <c r="AA44" s="112"/>
      <c r="AB44" s="112"/>
      <c r="AC44" s="112"/>
    </row>
    <row r="45" spans="3:29" ht="15" customHeight="1">
      <c r="C45" s="858" t="str">
        <f>IF(Indice_index!$Z$1=1,"Outras transferências","Other transfers")</f>
        <v>Other transfers</v>
      </c>
      <c r="D45" s="222">
        <v>48.693245700000006</v>
      </c>
      <c r="E45" s="222">
        <v>72.365409</v>
      </c>
      <c r="F45" s="702">
        <v>42.83006331</v>
      </c>
      <c r="G45" s="702">
        <v>57.183193480000021</v>
      </c>
      <c r="H45" s="702">
        <f t="shared" si="6"/>
        <v>79.020065346414356</v>
      </c>
      <c r="I45" s="702">
        <f t="shared" si="7"/>
        <v>33.511811705981856</v>
      </c>
      <c r="J45" s="702">
        <f t="shared" si="10"/>
        <v>0.12982488837118369</v>
      </c>
      <c r="K45" s="222"/>
      <c r="L45" s="57"/>
      <c r="M45" s="112"/>
      <c r="N45" s="112"/>
      <c r="O45" s="112"/>
      <c r="P45" s="112"/>
      <c r="Q45" s="112"/>
      <c r="R45" s="112"/>
      <c r="S45" s="112"/>
      <c r="T45" s="112"/>
      <c r="U45" s="112"/>
      <c r="V45" s="112"/>
      <c r="W45" s="112"/>
      <c r="X45" s="112"/>
      <c r="Y45" s="112"/>
      <c r="Z45" s="112"/>
      <c r="AA45" s="112"/>
      <c r="AB45" s="112"/>
      <c r="AC45" s="112"/>
    </row>
    <row r="46" spans="3:29" ht="15" customHeight="1">
      <c r="C46" s="1080" t="str">
        <f>IF(Indice_index!$Z$1=1,"Subsídios","Subsidies")</f>
        <v>Subsidies</v>
      </c>
      <c r="D46" s="222">
        <v>35.056839529999998</v>
      </c>
      <c r="E46" s="222">
        <v>35.490586999999998</v>
      </c>
      <c r="F46" s="702">
        <v>31.917412969999997</v>
      </c>
      <c r="G46" s="702">
        <v>28.335622999999998</v>
      </c>
      <c r="H46" s="702">
        <f t="shared" si="6"/>
        <v>79.839826261538022</v>
      </c>
      <c r="I46" s="702">
        <f t="shared" si="7"/>
        <v>-11.222056039963565</v>
      </c>
      <c r="J46" s="702">
        <f t="shared" si="10"/>
        <v>-3.239749640090351E-2</v>
      </c>
      <c r="K46" s="222"/>
      <c r="L46" s="57"/>
      <c r="M46" s="112"/>
      <c r="N46" s="112"/>
      <c r="O46" s="112"/>
      <c r="P46" s="112"/>
      <c r="Q46" s="112"/>
      <c r="R46" s="112"/>
      <c r="S46" s="112"/>
      <c r="T46" s="112"/>
      <c r="U46" s="112"/>
      <c r="V46" s="112"/>
      <c r="W46" s="112"/>
      <c r="X46" s="112"/>
      <c r="Y46" s="112"/>
      <c r="Z46" s="112"/>
      <c r="AA46" s="112"/>
      <c r="AB46" s="112"/>
      <c r="AC46" s="112"/>
    </row>
    <row r="47" spans="3:29" ht="15" customHeight="1">
      <c r="C47" s="1080" t="str">
        <f>IF(Indice_index!$Z$1=1,"Outras despesas correntes","Other current expenditure")</f>
        <v>Other current expenditure</v>
      </c>
      <c r="D47" s="222">
        <v>139.86708230999997</v>
      </c>
      <c r="E47" s="222">
        <v>445.83935100000002</v>
      </c>
      <c r="F47" s="702">
        <v>106.64030380999999</v>
      </c>
      <c r="G47" s="702">
        <v>122.10753975999995</v>
      </c>
      <c r="H47" s="702">
        <f t="shared" si="6"/>
        <v>27.388237374318251</v>
      </c>
      <c r="I47" s="702">
        <f t="shared" si="7"/>
        <v>14.50411842182838</v>
      </c>
      <c r="J47" s="702">
        <f t="shared" si="10"/>
        <v>0.13990203926503519</v>
      </c>
      <c r="K47" s="222"/>
      <c r="L47" s="57"/>
      <c r="M47" s="112"/>
      <c r="N47" s="112"/>
      <c r="O47" s="112"/>
      <c r="P47" s="112"/>
      <c r="Q47" s="112"/>
      <c r="R47" s="112"/>
      <c r="S47" s="112"/>
      <c r="T47" s="112"/>
      <c r="U47" s="112"/>
      <c r="V47" s="112"/>
      <c r="W47" s="112"/>
      <c r="X47" s="112"/>
      <c r="Y47" s="112"/>
      <c r="Z47" s="112"/>
      <c r="AA47" s="112"/>
      <c r="AB47" s="112"/>
      <c r="AC47" s="112"/>
    </row>
    <row r="48" spans="3:29" ht="15" customHeight="1">
      <c r="C48" s="851" t="str">
        <f>IF(Indice_index!$Z$1=1,"Diferenças de consolidação","Consolidation differences")</f>
        <v>Consolidation differences</v>
      </c>
      <c r="D48" s="222">
        <v>14.560439200000019</v>
      </c>
      <c r="E48" s="222">
        <v>9.9999999747524271E-7</v>
      </c>
      <c r="F48" s="702">
        <v>10.118652380000015</v>
      </c>
      <c r="G48" s="702">
        <v>1.6735461599999877</v>
      </c>
      <c r="H48" s="702"/>
      <c r="I48" s="702"/>
      <c r="J48" s="702"/>
      <c r="K48" s="222"/>
      <c r="L48" s="57"/>
      <c r="M48" s="112"/>
      <c r="N48" s="112"/>
      <c r="O48" s="112"/>
      <c r="P48" s="112"/>
      <c r="Q48" s="112"/>
      <c r="R48" s="112"/>
      <c r="S48" s="112"/>
      <c r="T48" s="112"/>
      <c r="U48" s="112"/>
      <c r="V48" s="112"/>
      <c r="W48" s="112"/>
      <c r="X48" s="112"/>
      <c r="Y48" s="112"/>
      <c r="Z48" s="112"/>
      <c r="AA48" s="112"/>
      <c r="AB48" s="112"/>
      <c r="AC48" s="112"/>
    </row>
    <row r="49" spans="3:29" s="288" customFormat="1" ht="15" customHeight="1">
      <c r="C49" s="930" t="str">
        <f>IF(Indice_index!$Z$1=1,"Despesa de capital","Capital expenditure")</f>
        <v>Capital expenditure</v>
      </c>
      <c r="D49" s="281">
        <f>SUM(D50:D57)-D51</f>
        <v>3046.2541082200014</v>
      </c>
      <c r="E49" s="281">
        <f>SUM(E50:E57)-E51</f>
        <v>3797.4409329999999</v>
      </c>
      <c r="F49" s="281">
        <f>SUM(F50:F57)-F51</f>
        <v>2549.0129933699995</v>
      </c>
      <c r="G49" s="281">
        <f>SUM(G50:G57)-G51</f>
        <v>2334.5799858699993</v>
      </c>
      <c r="H49" s="281">
        <f t="shared" ref="H49:H56" si="11">IFERROR(IF(G49/E49*100&lt;-500,"-",IF(G49/E49*100&gt;500,"-",G49/E49*100)),"-")</f>
        <v>61.477716890402498</v>
      </c>
      <c r="I49" s="281">
        <f t="shared" si="7"/>
        <v>-8.4123936620857549</v>
      </c>
      <c r="J49" s="281">
        <f t="shared" ref="J49:J56" si="12">IFERROR((G49-F49)/$F$59*100,"-")</f>
        <v>-1.9395588928728211</v>
      </c>
      <c r="K49" s="281"/>
      <c r="L49" s="273"/>
      <c r="M49" s="289"/>
      <c r="N49" s="289"/>
      <c r="O49" s="289"/>
      <c r="P49" s="289"/>
      <c r="Q49" s="289"/>
      <c r="R49" s="289"/>
      <c r="S49" s="289"/>
      <c r="T49" s="289"/>
      <c r="U49" s="289"/>
      <c r="V49" s="289"/>
      <c r="W49" s="289"/>
      <c r="X49" s="289"/>
      <c r="Y49" s="289"/>
      <c r="Z49" s="289"/>
      <c r="AA49" s="289"/>
      <c r="AB49" s="289"/>
      <c r="AC49" s="289"/>
    </row>
    <row r="50" spans="3:29" ht="15" customHeight="1">
      <c r="C50" s="1080" t="str">
        <f>IF(Indice_index!$Z$1=1,"Investimento","Investment")</f>
        <v>Investment</v>
      </c>
      <c r="D50" s="222">
        <v>2474.2748304400011</v>
      </c>
      <c r="E50" s="222">
        <v>3650.564069</v>
      </c>
      <c r="F50" s="702">
        <v>2093.2519310299995</v>
      </c>
      <c r="G50" s="702">
        <v>2166.2564583099993</v>
      </c>
      <c r="H50" s="702">
        <f t="shared" si="11"/>
        <v>59.340321587710207</v>
      </c>
      <c r="I50" s="702">
        <f t="shared" si="7"/>
        <v>3.4876130387266584</v>
      </c>
      <c r="J50" s="702">
        <f t="shared" si="12"/>
        <v>0.66033015045922883</v>
      </c>
      <c r="K50" s="222"/>
      <c r="L50" s="57"/>
      <c r="M50" s="112"/>
      <c r="N50" s="112"/>
      <c r="O50" s="112"/>
      <c r="P50" s="112"/>
      <c r="Q50" s="112"/>
      <c r="R50" s="112"/>
      <c r="S50" s="112"/>
      <c r="T50" s="112"/>
      <c r="U50" s="112"/>
      <c r="V50" s="112"/>
      <c r="W50" s="112"/>
      <c r="X50" s="112"/>
      <c r="Y50" s="112"/>
      <c r="Z50" s="112"/>
      <c r="AA50" s="112"/>
      <c r="AB50" s="112"/>
      <c r="AC50" s="112"/>
    </row>
    <row r="51" spans="3:29" ht="15" customHeight="1">
      <c r="C51" s="1080" t="str">
        <f>IF(Indice_index!$Z$1=1,"Transferências de capital","Capital transfers")</f>
        <v>Capital transfers</v>
      </c>
      <c r="D51" s="222">
        <f>SUM(D52:D55)</f>
        <v>568.08653376000007</v>
      </c>
      <c r="E51" s="222">
        <f>SUM(E52:E55)</f>
        <v>140.15186399999999</v>
      </c>
      <c r="F51" s="702">
        <f>SUM(F52:F55)</f>
        <v>455.70753134000006</v>
      </c>
      <c r="G51" s="702">
        <f>SUM(G52:G55)</f>
        <v>168.28188818999999</v>
      </c>
      <c r="H51" s="702">
        <f t="shared" si="11"/>
        <v>120.07110243642568</v>
      </c>
      <c r="I51" s="702">
        <f t="shared" si="7"/>
        <v>-63.072392572672641</v>
      </c>
      <c r="J51" s="701">
        <f t="shared" si="12"/>
        <v>-2.5997814828543686</v>
      </c>
      <c r="K51" s="113"/>
      <c r="L51" s="57"/>
      <c r="M51" s="112"/>
      <c r="N51" s="112"/>
      <c r="O51" s="112"/>
      <c r="P51" s="112"/>
      <c r="Q51" s="112"/>
      <c r="R51" s="112"/>
      <c r="S51" s="112"/>
      <c r="T51" s="112"/>
      <c r="U51" s="112"/>
      <c r="V51" s="112"/>
      <c r="W51" s="112"/>
      <c r="X51" s="112"/>
      <c r="Y51" s="112"/>
      <c r="Z51" s="112"/>
      <c r="AA51" s="112"/>
      <c r="AB51" s="112"/>
      <c r="AC51" s="112"/>
    </row>
    <row r="52" spans="3:29" ht="15" customHeight="1">
      <c r="C52" s="858" t="str">
        <f>IF(Indice_index!$Z$1=1,"Administração Central","Central Administration")</f>
        <v>Central Administration</v>
      </c>
      <c r="D52" s="113">
        <v>0.6399155299999999</v>
      </c>
      <c r="E52" s="113">
        <v>0.118834</v>
      </c>
      <c r="F52" s="702">
        <v>0.56659813000000003</v>
      </c>
      <c r="G52" s="702">
        <v>0.26738901999999998</v>
      </c>
      <c r="H52" s="702">
        <f t="shared" si="11"/>
        <v>225.01053570526955</v>
      </c>
      <c r="I52" s="702">
        <f t="shared" si="7"/>
        <v>-52.807994618690337</v>
      </c>
      <c r="J52" s="702">
        <f t="shared" si="12"/>
        <v>-2.70636361861903E-3</v>
      </c>
      <c r="K52" s="222"/>
      <c r="L52" s="57"/>
      <c r="M52" s="112"/>
      <c r="N52" s="114"/>
      <c r="O52" s="112"/>
      <c r="P52" s="112"/>
      <c r="Q52" s="112"/>
      <c r="R52" s="112"/>
      <c r="S52" s="112"/>
      <c r="T52" s="112"/>
      <c r="U52" s="112"/>
      <c r="V52" s="112"/>
      <c r="W52" s="112"/>
      <c r="X52" s="112"/>
      <c r="Y52" s="112"/>
      <c r="Z52" s="112"/>
      <c r="AA52" s="112"/>
      <c r="AB52" s="112"/>
      <c r="AC52" s="112"/>
    </row>
    <row r="53" spans="3:29" ht="15" customHeight="1">
      <c r="C53" s="858" t="str">
        <f>IF(Indice_index!$Z$1=1,"Outros subsectores das AP","Other General Government subsectors")</f>
        <v>Other General Government subsectors</v>
      </c>
      <c r="D53" s="222">
        <v>0</v>
      </c>
      <c r="E53" s="222">
        <v>0</v>
      </c>
      <c r="F53" s="702">
        <v>0</v>
      </c>
      <c r="G53" s="702">
        <v>0</v>
      </c>
      <c r="H53" s="702" t="str">
        <f t="shared" si="11"/>
        <v>-</v>
      </c>
      <c r="I53" s="702" t="str">
        <f t="shared" si="7"/>
        <v>-</v>
      </c>
      <c r="J53" s="702">
        <f t="shared" si="12"/>
        <v>0</v>
      </c>
      <c r="K53" s="222"/>
      <c r="L53" s="57"/>
      <c r="M53" s="112"/>
      <c r="N53" s="112"/>
      <c r="O53" s="112"/>
      <c r="P53" s="112"/>
      <c r="Q53" s="112"/>
      <c r="R53" s="112"/>
      <c r="S53" s="112"/>
      <c r="T53" s="112"/>
      <c r="U53" s="112"/>
      <c r="V53" s="112"/>
      <c r="W53" s="112"/>
      <c r="X53" s="112"/>
      <c r="Y53" s="112"/>
      <c r="Z53" s="112"/>
      <c r="AA53" s="112"/>
      <c r="AB53" s="112"/>
      <c r="AC53" s="112"/>
    </row>
    <row r="54" spans="3:29" ht="15" customHeight="1">
      <c r="C54" s="858" t="str">
        <f>IF(Indice_index!$Z$1=1,"União Europeia","European Union")</f>
        <v>European Union</v>
      </c>
      <c r="D54" s="222">
        <v>133.12369321</v>
      </c>
      <c r="E54" s="222">
        <v>135.72310200000001</v>
      </c>
      <c r="F54" s="702">
        <v>133.11694320999999</v>
      </c>
      <c r="G54" s="702">
        <v>159.70507692000001</v>
      </c>
      <c r="H54" s="702">
        <f t="shared" si="11"/>
        <v>117.6697810222463</v>
      </c>
      <c r="I54" s="702">
        <f t="shared" si="7"/>
        <v>19.973515819136292</v>
      </c>
      <c r="J54" s="702">
        <f t="shared" si="12"/>
        <v>0.24049119948160086</v>
      </c>
      <c r="K54" s="222"/>
      <c r="L54" s="57"/>
      <c r="M54" s="112"/>
      <c r="N54" s="112"/>
      <c r="O54" s="112"/>
      <c r="P54" s="112"/>
      <c r="Q54" s="112"/>
      <c r="R54" s="112"/>
      <c r="S54" s="112"/>
      <c r="T54" s="112"/>
      <c r="U54" s="112"/>
      <c r="V54" s="112"/>
      <c r="W54" s="112"/>
      <c r="X54" s="112"/>
      <c r="Y54" s="112"/>
      <c r="Z54" s="112"/>
      <c r="AA54" s="112"/>
      <c r="AB54" s="112"/>
      <c r="AC54" s="112"/>
    </row>
    <row r="55" spans="3:29" ht="15" customHeight="1">
      <c r="C55" s="858" t="str">
        <f>IF(Indice_index!$Z$1=1,"Outras transferências","Other transfers")</f>
        <v>Other transfers</v>
      </c>
      <c r="D55" s="222">
        <v>434.32292502000001</v>
      </c>
      <c r="E55" s="222">
        <v>4.3099279999999851</v>
      </c>
      <c r="F55" s="702">
        <v>322.02399000000008</v>
      </c>
      <c r="G55" s="702">
        <v>8.309422249999983</v>
      </c>
      <c r="H55" s="702">
        <f t="shared" si="11"/>
        <v>192.79724046434214</v>
      </c>
      <c r="I55" s="702">
        <f t="shared" si="7"/>
        <v>-97.419626329702965</v>
      </c>
      <c r="J55" s="702">
        <f t="shared" si="12"/>
        <v>-2.837566318717351</v>
      </c>
      <c r="K55" s="222"/>
      <c r="L55" s="57"/>
      <c r="M55" s="112"/>
      <c r="N55" s="112"/>
      <c r="O55" s="112"/>
      <c r="P55" s="112"/>
      <c r="Q55" s="112"/>
      <c r="R55" s="112"/>
      <c r="S55" s="112"/>
      <c r="T55" s="112"/>
      <c r="U55" s="112"/>
      <c r="V55" s="112"/>
      <c r="W55" s="112"/>
      <c r="X55" s="112"/>
      <c r="Y55" s="112"/>
      <c r="Z55" s="112"/>
      <c r="AA55" s="112"/>
      <c r="AB55" s="112"/>
      <c r="AC55" s="112"/>
    </row>
    <row r="56" spans="3:29" ht="15" customHeight="1">
      <c r="C56" s="1080" t="str">
        <f>IF(Indice_index!$Z$1=1,"Outras despesas de capital","Other capital expenditure")</f>
        <v>Other capital expenditure</v>
      </c>
      <c r="D56" s="222">
        <v>3.8170452699999999</v>
      </c>
      <c r="E56" s="222">
        <v>6.7249999999999996</v>
      </c>
      <c r="F56" s="702">
        <v>0</v>
      </c>
      <c r="G56" s="702">
        <v>0</v>
      </c>
      <c r="H56" s="702">
        <f t="shared" si="11"/>
        <v>0</v>
      </c>
      <c r="I56" s="702" t="str">
        <f t="shared" si="7"/>
        <v>-</v>
      </c>
      <c r="J56" s="702">
        <f t="shared" si="12"/>
        <v>0</v>
      </c>
      <c r="K56" s="222"/>
      <c r="L56" s="57"/>
      <c r="M56" s="112"/>
      <c r="N56" s="112"/>
      <c r="O56" s="112"/>
      <c r="P56" s="112"/>
      <c r="Q56" s="112"/>
      <c r="R56" s="112"/>
      <c r="S56" s="112"/>
      <c r="T56" s="112"/>
      <c r="U56" s="112"/>
      <c r="V56" s="112"/>
      <c r="W56" s="112"/>
      <c r="X56" s="112"/>
      <c r="Y56" s="112"/>
      <c r="Z56" s="112"/>
      <c r="AA56" s="112"/>
      <c r="AB56" s="112"/>
      <c r="AC56" s="112"/>
    </row>
    <row r="57" spans="3:29" ht="15" customHeight="1">
      <c r="C57" s="851" t="str">
        <f>IF(Indice_index!$Z$1=1,"Diferenças de consolidação","Consolidation differences")</f>
        <v>Consolidation differences</v>
      </c>
      <c r="D57" s="222">
        <v>7.5698749999999995E-2</v>
      </c>
      <c r="E57" s="222">
        <v>0</v>
      </c>
      <c r="F57" s="702">
        <v>5.3530999999999995E-2</v>
      </c>
      <c r="G57" s="702">
        <v>4.1639370000000002E-2</v>
      </c>
      <c r="H57" s="702"/>
      <c r="I57" s="702"/>
      <c r="J57" s="702"/>
      <c r="K57" s="222"/>
      <c r="L57" s="57"/>
      <c r="M57" s="112"/>
      <c r="N57" s="112"/>
      <c r="O57" s="112"/>
      <c r="P57" s="112"/>
      <c r="Q57" s="112"/>
      <c r="R57" s="112"/>
      <c r="S57" s="112"/>
      <c r="T57" s="112"/>
      <c r="U57" s="112"/>
      <c r="V57" s="112"/>
      <c r="W57" s="112"/>
      <c r="X57" s="112"/>
      <c r="Y57" s="112"/>
      <c r="Z57" s="112"/>
      <c r="AA57" s="112"/>
      <c r="AB57" s="112"/>
      <c r="AC57" s="112"/>
    </row>
    <row r="58" spans="3:29" ht="4.5" customHeight="1">
      <c r="C58" s="1080"/>
      <c r="D58" s="1080"/>
      <c r="E58" s="1080"/>
      <c r="F58" s="223"/>
      <c r="G58" s="223"/>
      <c r="H58" s="223"/>
      <c r="I58" s="223"/>
      <c r="J58" s="223"/>
      <c r="K58" s="223"/>
      <c r="L58" s="57"/>
      <c r="M58" s="112"/>
      <c r="N58" s="112"/>
      <c r="O58" s="112"/>
      <c r="P58" s="112"/>
      <c r="Q58" s="112"/>
      <c r="R58" s="112"/>
      <c r="S58" s="112"/>
      <c r="T58" s="112"/>
      <c r="U58" s="112"/>
      <c r="V58" s="112"/>
      <c r="W58" s="112"/>
      <c r="X58" s="112"/>
      <c r="Y58" s="112"/>
      <c r="Z58" s="112"/>
      <c r="AA58" s="112"/>
      <c r="AB58" s="112"/>
      <c r="AC58" s="112"/>
    </row>
    <row r="59" spans="3:29" s="288" customFormat="1" ht="15" customHeight="1">
      <c r="C59" s="1082" t="str">
        <f>IF(Indice_index!$Z$1=1,"Despesa efetiva","Effective Expenditure")</f>
        <v>Effective Expenditure</v>
      </c>
      <c r="D59" s="1082">
        <f>+D34+D49</f>
        <v>13511.49495032999</v>
      </c>
      <c r="E59" s="1082">
        <f>+E34+E49</f>
        <v>14953.276735999998</v>
      </c>
      <c r="F59" s="1083">
        <f>+F34+F49</f>
        <v>11055.761610950003</v>
      </c>
      <c r="G59" s="1083">
        <f>+G34+G49</f>
        <v>11094.937779040001</v>
      </c>
      <c r="H59" s="1083">
        <f>IFERROR(IF(G59/E59*100&lt;-500,"-",IF(G59/E59*100&gt;500,"-",G59/E59*100)),"-")</f>
        <v>74.197368074710681</v>
      </c>
      <c r="I59" s="1083">
        <f t="shared" ref="I59" si="13">IF(F59=0,"-",(G59-F59)/F59*100)</f>
        <v>0.35435069485576359</v>
      </c>
      <c r="J59" s="1083"/>
      <c r="K59" s="281"/>
      <c r="L59" s="273"/>
      <c r="M59" s="289"/>
      <c r="N59" s="289"/>
      <c r="O59" s="289"/>
      <c r="P59" s="289"/>
      <c r="Q59" s="289"/>
      <c r="R59" s="289"/>
      <c r="S59" s="289"/>
      <c r="T59" s="289"/>
      <c r="U59" s="289"/>
      <c r="V59" s="289"/>
      <c r="W59" s="289"/>
      <c r="X59" s="289"/>
      <c r="Y59" s="289"/>
      <c r="Z59" s="289"/>
      <c r="AA59" s="289"/>
      <c r="AB59" s="289"/>
      <c r="AC59" s="289"/>
    </row>
    <row r="60" spans="3:29" ht="4.5" customHeight="1">
      <c r="C60" s="1085"/>
      <c r="D60" s="1085"/>
      <c r="E60" s="1085"/>
      <c r="F60" s="702"/>
      <c r="G60" s="702"/>
      <c r="H60" s="111"/>
      <c r="I60" s="111"/>
      <c r="J60" s="111"/>
      <c r="K60" s="111"/>
      <c r="L60" s="57"/>
      <c r="M60" s="112"/>
      <c r="N60" s="112"/>
      <c r="O60" s="112"/>
      <c r="P60" s="112"/>
      <c r="Q60" s="112"/>
      <c r="R60" s="112"/>
      <c r="S60" s="112"/>
      <c r="T60" s="112"/>
      <c r="U60" s="112"/>
      <c r="V60" s="112"/>
      <c r="W60" s="112"/>
      <c r="X60" s="112"/>
      <c r="Y60" s="112"/>
      <c r="Z60" s="112"/>
      <c r="AA60" s="112"/>
      <c r="AB60" s="112"/>
      <c r="AC60" s="112"/>
    </row>
    <row r="61" spans="3:29" s="288" customFormat="1" ht="15" customHeight="1">
      <c r="C61" s="854" t="str">
        <f>IF(Indice_index!$Z$1=1,"Saldo global","Overall Balance")</f>
        <v>Overall Balance</v>
      </c>
      <c r="D61" s="854">
        <f>+(D9+D22)-(D34+D49)</f>
        <v>-2112.3079573299892</v>
      </c>
      <c r="E61" s="854">
        <f>+(E9+E22)-(E34+E49)</f>
        <v>-1400.3726009999973</v>
      </c>
      <c r="F61" s="855">
        <f>+(F9+F22)-(F34+F49)</f>
        <v>-680.16896446999999</v>
      </c>
      <c r="G61" s="855">
        <f>+(G9+G22)-(G34+G49)</f>
        <v>-555.14250312999866</v>
      </c>
      <c r="H61" s="855"/>
      <c r="I61" s="855"/>
      <c r="J61" s="855"/>
      <c r="K61" s="276"/>
      <c r="L61" s="273"/>
      <c r="M61" s="289"/>
      <c r="N61" s="289"/>
      <c r="O61" s="289"/>
      <c r="P61" s="289"/>
      <c r="Q61" s="289"/>
      <c r="R61" s="289"/>
      <c r="S61" s="289"/>
      <c r="T61" s="289"/>
      <c r="U61" s="289"/>
      <c r="V61" s="289"/>
      <c r="W61" s="289"/>
      <c r="X61" s="289"/>
      <c r="Y61" s="289"/>
      <c r="Z61" s="289"/>
      <c r="AA61" s="289"/>
      <c r="AB61" s="289"/>
      <c r="AC61" s="289"/>
    </row>
    <row r="62" spans="3:29" ht="4.5" customHeight="1">
      <c r="C62" s="1086"/>
      <c r="D62" s="1086"/>
      <c r="E62" s="1086"/>
      <c r="F62" s="1099"/>
      <c r="G62" s="1099"/>
      <c r="H62" s="111"/>
      <c r="I62" s="111"/>
      <c r="J62" s="111"/>
      <c r="K62" s="224"/>
      <c r="L62" s="57"/>
      <c r="M62" s="112"/>
      <c r="N62" s="112"/>
      <c r="O62" s="112"/>
      <c r="P62" s="112"/>
      <c r="Q62" s="112"/>
      <c r="R62" s="112"/>
      <c r="S62" s="112"/>
      <c r="T62" s="112"/>
      <c r="U62" s="112"/>
      <c r="V62" s="112"/>
      <c r="W62" s="112"/>
      <c r="X62" s="112"/>
      <c r="Y62" s="112"/>
    </row>
    <row r="63" spans="3:29" ht="15" customHeight="1">
      <c r="C63" s="1080" t="str">
        <f>IF(Indice_index!$Z$1=1,"Despesa  primária","Primary Expenditure")</f>
        <v>Primary Expenditure</v>
      </c>
      <c r="D63" s="113">
        <f>D59-D40</f>
        <v>12891.80783661999</v>
      </c>
      <c r="E63" s="113">
        <f>E59-E40</f>
        <v>14468.440596999997</v>
      </c>
      <c r="F63" s="701">
        <f>F59-F40</f>
        <v>10670.114951470003</v>
      </c>
      <c r="G63" s="701">
        <f>G59-G40</f>
        <v>10863.805708180002</v>
      </c>
      <c r="H63" s="702">
        <f>IFERROR(IF(G63/E63*100&lt;-500,"-",IF(G63/E63*100&gt;500,"-",G63/E63*100)),"-")</f>
        <v>75.086223946156224</v>
      </c>
      <c r="I63" s="702">
        <f>IF(F63=0,"-",(G63-F63)/F63*100)</f>
        <v>1.8152640115963736</v>
      </c>
      <c r="J63" s="702"/>
      <c r="K63" s="222"/>
      <c r="L63" s="57"/>
      <c r="M63" s="112"/>
      <c r="N63" s="112"/>
      <c r="O63" s="112"/>
      <c r="P63" s="112"/>
      <c r="Q63" s="112"/>
      <c r="R63" s="112"/>
      <c r="S63" s="112"/>
      <c r="T63" s="112"/>
      <c r="U63" s="112"/>
      <c r="V63" s="112"/>
      <c r="W63" s="112"/>
      <c r="X63" s="112"/>
      <c r="Y63" s="112"/>
    </row>
    <row r="64" spans="3:29" ht="15" customHeight="1">
      <c r="C64" s="1073" t="str">
        <f>IF(Indice_index!$Z$1=1,"Saldo corrente","Current balance")</f>
        <v>Current balance</v>
      </c>
      <c r="D64" s="113">
        <f>+D9-D34</f>
        <v>-1068.462702079989</v>
      </c>
      <c r="E64" s="113">
        <f>+E9-E34</f>
        <v>106.71582000000126</v>
      </c>
      <c r="F64" s="701">
        <f>+F9-F34</f>
        <v>96.865431360000002</v>
      </c>
      <c r="G64" s="701">
        <f>+G9-G34</f>
        <v>380.15189190000092</v>
      </c>
      <c r="H64" s="111"/>
      <c r="I64" s="111"/>
      <c r="J64" s="111"/>
      <c r="K64" s="224"/>
      <c r="L64" s="57"/>
      <c r="M64" s="112"/>
      <c r="N64" s="112"/>
      <c r="O64" s="112"/>
      <c r="P64" s="112"/>
      <c r="Q64" s="112"/>
      <c r="R64" s="112"/>
      <c r="S64" s="112"/>
      <c r="T64" s="112"/>
      <c r="U64" s="112"/>
      <c r="V64" s="112"/>
      <c r="W64" s="112"/>
      <c r="X64" s="112"/>
      <c r="Y64" s="112"/>
    </row>
    <row r="65" spans="3:25" ht="15" customHeight="1">
      <c r="C65" s="1073" t="str">
        <f>IF(Indice_index!$Z$1=1,"Saldo de capital","Capital balance")</f>
        <v>Capital balance</v>
      </c>
      <c r="D65" s="113">
        <f>D22-D49</f>
        <v>-1043.8452552500005</v>
      </c>
      <c r="E65" s="113">
        <f>E22-E49</f>
        <v>-1507.0884209999995</v>
      </c>
      <c r="F65" s="701">
        <f>F22-F49</f>
        <v>-777.03439582999954</v>
      </c>
      <c r="G65" s="701">
        <f>G22-G49</f>
        <v>-935.29439502999981</v>
      </c>
      <c r="H65" s="111"/>
      <c r="I65" s="111"/>
      <c r="J65" s="111"/>
      <c r="K65" s="224"/>
      <c r="L65" s="57"/>
      <c r="M65" s="112"/>
      <c r="N65" s="112"/>
      <c r="O65" s="112"/>
      <c r="P65" s="112"/>
      <c r="Q65" s="112"/>
      <c r="R65" s="112"/>
      <c r="S65" s="112"/>
      <c r="T65" s="112"/>
      <c r="U65" s="112"/>
      <c r="V65" s="112"/>
      <c r="W65" s="112"/>
      <c r="X65" s="112"/>
      <c r="Y65" s="112"/>
    </row>
    <row r="66" spans="3:25" ht="15" customHeight="1">
      <c r="C66" s="1073" t="str">
        <f>IF(Indice_index!$Z$1=1,"Saldo primário","Primary balance")</f>
        <v>Primary balance</v>
      </c>
      <c r="D66" s="113">
        <f>D61+D40</f>
        <v>-1492.6208436199893</v>
      </c>
      <c r="E66" s="113">
        <f>E61+E40</f>
        <v>-915.5364619999973</v>
      </c>
      <c r="F66" s="701">
        <f>F61+F40</f>
        <v>-294.52230499000012</v>
      </c>
      <c r="G66" s="701">
        <f>G61+G40</f>
        <v>-324.01043226999866</v>
      </c>
      <c r="H66" s="111"/>
      <c r="I66" s="111"/>
      <c r="J66" s="111"/>
      <c r="K66" s="224"/>
      <c r="L66" s="57"/>
      <c r="M66" s="112"/>
      <c r="N66" s="112"/>
      <c r="O66" s="112"/>
      <c r="P66" s="112"/>
      <c r="Q66" s="112"/>
      <c r="R66" s="112"/>
      <c r="S66" s="112"/>
      <c r="T66" s="112"/>
      <c r="U66" s="112"/>
      <c r="V66" s="112"/>
      <c r="W66" s="112"/>
      <c r="X66" s="112"/>
      <c r="Y66" s="112"/>
    </row>
    <row r="67" spans="3:25" ht="6" customHeight="1">
      <c r="C67" s="135"/>
      <c r="D67" s="135"/>
      <c r="E67" s="135"/>
      <c r="F67" s="701"/>
      <c r="G67" s="701"/>
      <c r="H67" s="111"/>
      <c r="I67" s="111"/>
      <c r="J67" s="111"/>
      <c r="K67" s="224"/>
      <c r="L67" s="57"/>
      <c r="M67" s="112"/>
      <c r="N67" s="112"/>
      <c r="O67" s="112"/>
      <c r="P67" s="112"/>
      <c r="Q67" s="112"/>
      <c r="R67" s="112"/>
      <c r="S67" s="112"/>
      <c r="T67" s="112"/>
      <c r="U67" s="112"/>
      <c r="V67" s="112"/>
      <c r="W67" s="112"/>
      <c r="X67" s="112"/>
      <c r="Y67" s="112"/>
    </row>
    <row r="68" spans="3:25" ht="15" customHeight="1">
      <c r="C68" s="135" t="str">
        <f>IF(Indice_index!$Z$1=1,"Ativos financeiros líquidos de reembolsos","Financial assets net of reimbursements")</f>
        <v>Financial assets net of reimbursements</v>
      </c>
      <c r="D68" s="135">
        <v>482.44470149000017</v>
      </c>
      <c r="E68" s="135">
        <v>867.68834500000048</v>
      </c>
      <c r="F68" s="701">
        <v>-749.64805696000042</v>
      </c>
      <c r="G68" s="701">
        <v>-940.3676465900005</v>
      </c>
      <c r="H68" s="701"/>
      <c r="I68" s="701"/>
      <c r="J68" s="111"/>
      <c r="K68" s="224"/>
      <c r="L68" s="57"/>
      <c r="M68" s="112"/>
      <c r="N68" s="112"/>
      <c r="O68" s="112"/>
      <c r="P68" s="112"/>
      <c r="Q68" s="112"/>
      <c r="R68" s="112"/>
      <c r="S68" s="112"/>
      <c r="T68" s="112"/>
      <c r="U68" s="112"/>
      <c r="V68" s="112"/>
      <c r="W68" s="112"/>
      <c r="X68" s="112"/>
      <c r="Y68" s="112"/>
    </row>
    <row r="69" spans="3:25" ht="15" customHeight="1">
      <c r="C69" s="1089" t="str">
        <f>IF(Indice_index!$Z$1=1,"dos quais Receitas de:","of which revenue from:")</f>
        <v>of which revenue from:</v>
      </c>
      <c r="D69" s="1089"/>
      <c r="E69" s="1089"/>
      <c r="F69" s="701"/>
      <c r="G69" s="701"/>
      <c r="H69" s="701"/>
      <c r="I69" s="701"/>
      <c r="J69" s="111"/>
      <c r="K69" s="224"/>
      <c r="L69" s="57"/>
      <c r="M69" s="112"/>
      <c r="N69" s="112"/>
      <c r="O69" s="112"/>
      <c r="P69" s="112"/>
      <c r="Q69" s="112"/>
      <c r="R69" s="112"/>
      <c r="S69" s="112"/>
      <c r="T69" s="112"/>
      <c r="U69" s="112"/>
      <c r="V69" s="112"/>
      <c r="W69" s="112"/>
      <c r="X69" s="112"/>
      <c r="Y69" s="112"/>
    </row>
    <row r="70" spans="3:25" ht="15" customHeight="1">
      <c r="C70" s="857" t="str">
        <f>IF(Indice_index!$Z$1=1,"Alienação de partes de Capital","Disposal of Capital Shares")</f>
        <v>Disposal of Capital Shares</v>
      </c>
      <c r="D70" s="113">
        <v>0</v>
      </c>
      <c r="E70" s="113">
        <v>0</v>
      </c>
      <c r="F70" s="701">
        <v>0</v>
      </c>
      <c r="G70" s="701">
        <v>0</v>
      </c>
      <c r="H70" s="702"/>
      <c r="I70" s="702" t="str">
        <f t="shared" ref="I70:I71" si="14">IF(IFERROR((G70-F70)/F70*100,"")&gt;500,"-",IFERROR((G70-F70)/F70*100,""))</f>
        <v>-</v>
      </c>
      <c r="J70" s="111"/>
      <c r="K70" s="224"/>
      <c r="L70" s="57"/>
      <c r="M70" s="112"/>
      <c r="N70" s="112"/>
      <c r="O70" s="112"/>
      <c r="P70" s="112"/>
      <c r="Q70" s="112"/>
      <c r="R70" s="112"/>
      <c r="S70" s="112"/>
      <c r="T70" s="112"/>
      <c r="U70" s="112"/>
      <c r="V70" s="112"/>
      <c r="W70" s="112"/>
      <c r="X70" s="112"/>
      <c r="Y70" s="112"/>
    </row>
    <row r="71" spans="3:25" ht="15" customHeight="1">
      <c r="C71" s="858" t="str">
        <f>IF(Indice_index!$Z$1=1,"Outros Ativos","Other Assets")</f>
        <v>Other Assets</v>
      </c>
      <c r="D71" s="113">
        <v>1366.74815977</v>
      </c>
      <c r="E71" s="113">
        <v>5394.3613129999994</v>
      </c>
      <c r="F71" s="701">
        <v>1707.6003012300005</v>
      </c>
      <c r="G71" s="701">
        <v>2312.3242619300004</v>
      </c>
      <c r="H71" s="702"/>
      <c r="I71" s="702">
        <f t="shared" si="14"/>
        <v>35.413671470098215</v>
      </c>
      <c r="J71" s="111"/>
      <c r="K71" s="224"/>
      <c r="L71" s="57"/>
      <c r="M71" s="112"/>
      <c r="N71" s="112"/>
      <c r="O71" s="112"/>
      <c r="P71" s="112"/>
      <c r="Q71" s="112"/>
      <c r="R71" s="112"/>
      <c r="S71" s="112"/>
      <c r="T71" s="112"/>
      <c r="U71" s="112"/>
      <c r="V71" s="112"/>
      <c r="W71" s="112"/>
      <c r="X71" s="112"/>
      <c r="Y71" s="112"/>
    </row>
    <row r="72" spans="3:25" ht="15" customHeight="1">
      <c r="C72" s="135" t="str">
        <f>IF(Indice_index!$Z$1=1,"Passivos financeiros líquidos de amortizações","Financial liabilities net of amortizations")</f>
        <v>Financial liabilities net of amortizations</v>
      </c>
      <c r="D72" s="135">
        <v>2015.7860917899998</v>
      </c>
      <c r="E72" s="135">
        <v>2301.8138350000004</v>
      </c>
      <c r="F72" s="701">
        <v>1227.3702851899993</v>
      </c>
      <c r="G72" s="701">
        <v>1306.87069279</v>
      </c>
      <c r="H72" s="701"/>
      <c r="I72" s="701"/>
      <c r="J72" s="111"/>
      <c r="K72" s="224"/>
      <c r="L72" s="57"/>
      <c r="M72" s="112"/>
      <c r="N72" s="112"/>
      <c r="O72" s="112"/>
      <c r="P72" s="112"/>
      <c r="Q72" s="112"/>
      <c r="R72" s="112"/>
      <c r="S72" s="112"/>
      <c r="T72" s="112"/>
      <c r="U72" s="112"/>
      <c r="V72" s="112"/>
      <c r="W72" s="112"/>
      <c r="X72" s="112"/>
      <c r="Y72" s="112"/>
    </row>
    <row r="73" spans="3:25" ht="15" customHeight="1">
      <c r="C73" s="1074" t="str">
        <f>IF(Indice_index!$Z$1=1,"Poupança (+) / Utilização (-) de saldo da gerência anterior","Saving (+) / Usage (-) of balance from previous management")</f>
        <v>Saving (+) / Usage (-) of balance from previous management</v>
      </c>
      <c r="D73" s="1074">
        <f>D61-D68+D72</f>
        <v>-578.96656702998962</v>
      </c>
      <c r="E73" s="1074">
        <f>E61-E68+E72</f>
        <v>33.752889000002597</v>
      </c>
      <c r="F73" s="1075">
        <f t="shared" ref="F73:G73" si="15">F61-F68+F72</f>
        <v>1296.8493776799996</v>
      </c>
      <c r="G73" s="1075">
        <f t="shared" si="15"/>
        <v>1692.0958362500019</v>
      </c>
      <c r="H73" s="1075"/>
      <c r="I73" s="1075"/>
      <c r="J73" s="1075"/>
      <c r="K73" s="113"/>
      <c r="L73" s="57"/>
      <c r="M73" s="112"/>
      <c r="N73" s="112"/>
      <c r="O73" s="112"/>
      <c r="P73" s="112"/>
      <c r="Q73" s="112"/>
      <c r="R73" s="112"/>
      <c r="S73" s="112"/>
      <c r="T73" s="112"/>
      <c r="U73" s="112"/>
      <c r="V73" s="112"/>
      <c r="W73" s="112"/>
      <c r="X73" s="112"/>
      <c r="Y73" s="112"/>
    </row>
    <row r="74" spans="3:25" s="53" customFormat="1" ht="4.5" customHeight="1">
      <c r="C74" s="135"/>
      <c r="D74" s="135"/>
      <c r="E74" s="135"/>
      <c r="F74" s="1100"/>
      <c r="G74" s="464"/>
      <c r="H74" s="464"/>
      <c r="I74" s="464"/>
      <c r="J74" s="464"/>
      <c r="K74" s="57"/>
      <c r="L74" s="58"/>
      <c r="P74" s="50"/>
      <c r="Q74" s="50"/>
      <c r="R74" s="50"/>
    </row>
    <row r="75" spans="3:25" s="53" customFormat="1" ht="15" customHeight="1">
      <c r="C75" s="839" t="str">
        <f>IF(Indice_index!$Z$1=1,"Notas:","Notes:")</f>
        <v>Notes:</v>
      </c>
      <c r="D75" s="839"/>
      <c r="E75" s="839"/>
      <c r="F75" s="58"/>
      <c r="L75" s="58"/>
      <c r="M75" s="50"/>
      <c r="N75" s="50"/>
      <c r="O75" s="50"/>
    </row>
    <row r="76" spans="3:25" s="22" customFormat="1" ht="15" customHeight="1">
      <c r="C76" s="1705" t="str">
        <f>+'5 - Conta AC + SS'!$C$64</f>
        <v>2021 cumulative execution is monthly reviewed and updated and therefore may differ from data published in 2021.</v>
      </c>
      <c r="D76" s="1705"/>
      <c r="E76" s="1705"/>
      <c r="F76" s="1705"/>
      <c r="G76" s="1705"/>
      <c r="H76" s="1705"/>
      <c r="I76" s="1705"/>
      <c r="J76" s="1705"/>
      <c r="K76" s="62"/>
      <c r="R76" s="24"/>
      <c r="S76" s="24"/>
    </row>
    <row r="77" spans="3:25" s="62" customFormat="1" ht="4.5" customHeight="1">
      <c r="C77" s="651"/>
      <c r="D77" s="651"/>
      <c r="E77" s="651"/>
      <c r="F77" s="651"/>
      <c r="G77" s="651"/>
      <c r="H77" s="651"/>
      <c r="I77" s="651"/>
      <c r="J77" s="651"/>
      <c r="L77" s="58"/>
      <c r="M77" s="97"/>
      <c r="N77" s="97"/>
    </row>
    <row r="78" spans="3:25" s="53" customFormat="1" ht="15" customHeight="1">
      <c r="C78" s="1716" t="str">
        <f>IF(Indice_index!$Z$1=1,"Entidades em incumprimento no reporte de execução orçamental no mês em análise:","Non reporting entities are identified below ")</f>
        <v xml:space="preserve">Non reporting entities are identified below </v>
      </c>
      <c r="D78" s="1716"/>
      <c r="E78" s="1716"/>
      <c r="F78" s="1716"/>
      <c r="G78" s="1716"/>
      <c r="H78" s="1716"/>
      <c r="I78" s="1716"/>
      <c r="J78" s="1716"/>
      <c r="L78" s="58"/>
      <c r="M78" s="50"/>
      <c r="N78" s="50"/>
      <c r="O78" s="50"/>
    </row>
    <row r="79" spans="3:25" s="53" customFormat="1" ht="12.75" hidden="1" customHeight="1">
      <c r="C79" s="1090" t="s">
        <v>67</v>
      </c>
      <c r="D79" s="1091"/>
      <c r="E79" s="1091"/>
      <c r="F79" s="1092"/>
      <c r="G79" s="1092"/>
      <c r="H79" s="1092"/>
      <c r="I79" s="1092"/>
      <c r="J79" s="1092"/>
      <c r="K79" s="216"/>
      <c r="M79" s="50"/>
      <c r="N79" s="50"/>
      <c r="O79" s="50"/>
    </row>
    <row r="80" spans="3:25" s="53" customFormat="1" ht="12.65" hidden="1" customHeight="1">
      <c r="C80" s="1718"/>
      <c r="D80" s="1718"/>
      <c r="E80" s="1718"/>
      <c r="F80" s="1718"/>
      <c r="G80" s="1718"/>
      <c r="H80" s="1718"/>
      <c r="I80" s="1718"/>
      <c r="J80" s="1718"/>
      <c r="K80" s="219"/>
      <c r="M80" s="50"/>
      <c r="N80" s="50"/>
      <c r="O80" s="50"/>
    </row>
    <row r="81" spans="3:22" s="53" customFormat="1" ht="15" customHeight="1">
      <c r="C81" s="1090" t="s">
        <v>73</v>
      </c>
      <c r="D81" s="1091"/>
      <c r="E81" s="1091"/>
      <c r="F81" s="1092"/>
      <c r="G81" s="1092"/>
      <c r="H81" s="1092"/>
      <c r="I81" s="1092"/>
      <c r="J81" s="1092"/>
      <c r="K81" s="216"/>
      <c r="M81" s="50"/>
      <c r="N81" s="50"/>
      <c r="O81" s="50"/>
    </row>
    <row r="82" spans="3:22" s="53" customFormat="1" ht="20.25" customHeight="1">
      <c r="C82" s="1718" t="s">
        <v>592</v>
      </c>
      <c r="D82" s="1718"/>
      <c r="E82" s="1718"/>
      <c r="F82" s="1718"/>
      <c r="G82" s="1718"/>
      <c r="H82" s="1718"/>
      <c r="I82" s="1718"/>
      <c r="J82" s="1718"/>
      <c r="K82" s="218"/>
      <c r="L82" s="1723"/>
      <c r="M82" s="1723"/>
      <c r="N82" s="1723"/>
      <c r="O82" s="1723"/>
      <c r="P82" s="1723"/>
      <c r="Q82" s="1723"/>
      <c r="R82" s="1723"/>
      <c r="S82" s="1723"/>
      <c r="T82" s="1723"/>
      <c r="U82" s="1723"/>
    </row>
    <row r="83" spans="3:22" s="99" customFormat="1" ht="4.5" customHeight="1">
      <c r="C83" s="225"/>
      <c r="D83" s="225"/>
      <c r="E83" s="225"/>
      <c r="F83" s="225"/>
      <c r="G83" s="225"/>
      <c r="H83" s="225"/>
      <c r="I83" s="225"/>
      <c r="J83" s="225"/>
      <c r="K83" s="225"/>
      <c r="M83" s="103"/>
      <c r="N83" s="103"/>
      <c r="O83" s="103"/>
    </row>
    <row r="84" spans="3:22" s="53" customFormat="1" ht="25.5" customHeight="1">
      <c r="C84" s="1719" t="str">
        <f>IF(Indice_index!$Z$1=1,C101,C102)</f>
        <v>For the entities identified above an estimate is being used for the months without report, the estimate corresponds to the 2022 monthly budget implementation prediction.</v>
      </c>
      <c r="D84" s="1719"/>
      <c r="E84" s="1719"/>
      <c r="F84" s="1719"/>
      <c r="G84" s="1719"/>
      <c r="H84" s="1719"/>
      <c r="I84" s="1719"/>
      <c r="J84" s="1719"/>
      <c r="K84" s="218"/>
      <c r="M84" s="50"/>
      <c r="N84" s="50"/>
      <c r="O84" s="50"/>
    </row>
    <row r="85" spans="3:22" s="53" customFormat="1" ht="4.5" customHeight="1">
      <c r="C85" s="1101"/>
      <c r="D85" s="1101"/>
      <c r="E85" s="1101"/>
      <c r="F85" s="1101"/>
      <c r="G85" s="1101"/>
      <c r="H85" s="1101"/>
      <c r="I85" s="1101"/>
      <c r="J85" s="1101"/>
      <c r="K85" s="218"/>
      <c r="M85" s="50"/>
      <c r="N85" s="50"/>
      <c r="O85" s="50"/>
    </row>
    <row r="86" spans="3:22" s="53" customFormat="1" ht="17.5" customHeight="1">
      <c r="C86" s="1718" t="str">
        <f>IF(Indice_index!$Z$1=1,"Esta estimativa apenas é utilizada para os meses em que haja falta de reporte. Nos restantes meses, é utilizada a informação efetivamente reportada pelas entidades.",C103)</f>
        <v>This estimate is used only in months in which there is a lack of report. In other months, the information considered is that effectively reported by the entities.</v>
      </c>
      <c r="D86" s="1718"/>
      <c r="E86" s="1718"/>
      <c r="F86" s="1718"/>
      <c r="G86" s="1718"/>
      <c r="H86" s="1718"/>
      <c r="I86" s="1718"/>
      <c r="J86" s="1718"/>
      <c r="K86" s="226"/>
      <c r="M86" s="50"/>
      <c r="N86" s="50"/>
      <c r="O86" s="50"/>
    </row>
    <row r="87" spans="3:22" s="341" customFormat="1" ht="4.5" customHeight="1">
      <c r="C87" s="640"/>
      <c r="D87" s="640"/>
      <c r="E87" s="640"/>
      <c r="F87" s="640"/>
      <c r="G87" s="640"/>
      <c r="H87" s="1102"/>
      <c r="I87" s="640"/>
      <c r="J87" s="640"/>
      <c r="K87" s="340"/>
      <c r="L87" s="340"/>
      <c r="M87" s="340"/>
      <c r="N87" s="340"/>
      <c r="O87" s="340"/>
      <c r="P87" s="340"/>
      <c r="T87" s="342"/>
      <c r="U87" s="342"/>
      <c r="V87" s="342"/>
    </row>
    <row r="88" spans="3:22" s="53" customFormat="1" ht="15" customHeight="1">
      <c r="C88" s="699" t="str">
        <f>IF(Indice_index!$Z$1=1,"Fonte: Direção-Geral do Orçamento","Source: Budget General Directorate")</f>
        <v>Source: Budget General Directorate</v>
      </c>
      <c r="D88" s="699"/>
      <c r="E88" s="699"/>
      <c r="K88" s="100"/>
      <c r="L88" s="100"/>
      <c r="M88" s="100"/>
      <c r="N88" s="100"/>
      <c r="O88" s="100"/>
      <c r="P88" s="100"/>
      <c r="Q88" s="100"/>
    </row>
    <row r="89" spans="3:22" s="106" customFormat="1" ht="12.75" customHeight="1">
      <c r="C89" s="105"/>
      <c r="D89" s="105"/>
      <c r="E89" s="105"/>
      <c r="F89" s="115"/>
      <c r="G89" s="105"/>
      <c r="H89" s="640"/>
      <c r="I89" s="101"/>
      <c r="J89" s="101"/>
      <c r="Q89" s="102"/>
      <c r="R89" s="102"/>
      <c r="S89" s="102"/>
    </row>
    <row r="90" spans="3:22" s="106" customFormat="1" ht="12.75" customHeight="1">
      <c r="C90" s="105"/>
      <c r="D90" s="105"/>
      <c r="E90" s="105"/>
      <c r="F90" s="115"/>
      <c r="G90" s="105"/>
      <c r="H90" s="53"/>
      <c r="I90" s="378"/>
      <c r="J90" s="378"/>
      <c r="Q90" s="102"/>
      <c r="R90" s="102"/>
      <c r="S90" s="102"/>
    </row>
    <row r="91" spans="3:22" s="106" customFormat="1" ht="12.75" customHeight="1">
      <c r="C91" s="105"/>
      <c r="D91" s="105"/>
      <c r="E91" s="105"/>
      <c r="F91" s="115"/>
      <c r="G91" s="105"/>
      <c r="H91" s="101"/>
      <c r="I91" s="101"/>
      <c r="J91" s="101"/>
      <c r="Q91" s="102"/>
      <c r="R91" s="102"/>
      <c r="S91" s="102"/>
    </row>
    <row r="92" spans="3:22" s="101" customFormat="1">
      <c r="C92" s="1715"/>
      <c r="D92" s="1715"/>
      <c r="E92" s="1715"/>
      <c r="F92" s="1715"/>
      <c r="G92" s="1715"/>
      <c r="H92" s="1715"/>
      <c r="I92" s="1715"/>
      <c r="J92" s="1715"/>
      <c r="K92" s="674"/>
      <c r="O92" s="102"/>
      <c r="P92" s="102"/>
      <c r="Q92" s="102"/>
    </row>
    <row r="93" spans="3:22" s="101" customFormat="1" ht="12.75" customHeight="1">
      <c r="C93" s="1715"/>
      <c r="D93" s="1715"/>
      <c r="E93" s="1715"/>
      <c r="F93" s="1715"/>
      <c r="G93" s="1715"/>
      <c r="H93" s="1715"/>
      <c r="I93" s="1715"/>
      <c r="J93" s="1715"/>
      <c r="K93" s="674"/>
      <c r="O93" s="102"/>
      <c r="P93" s="102"/>
      <c r="Q93" s="102"/>
    </row>
    <row r="94" spans="3:22" s="101" customFormat="1" ht="26.25" customHeight="1">
      <c r="C94" s="1715"/>
      <c r="D94" s="1715"/>
      <c r="E94" s="1715"/>
      <c r="F94" s="1715"/>
      <c r="G94" s="1715"/>
      <c r="H94" s="1715"/>
      <c r="I94" s="1715"/>
      <c r="J94" s="1715"/>
      <c r="K94" s="674"/>
      <c r="O94" s="102"/>
      <c r="P94" s="102"/>
      <c r="Q94" s="102"/>
    </row>
    <row r="95" spans="3:22" s="101" customFormat="1" ht="24.75" customHeight="1">
      <c r="C95" s="1715"/>
      <c r="D95" s="1715"/>
      <c r="E95" s="1715"/>
      <c r="F95" s="1715"/>
      <c r="G95" s="1715"/>
      <c r="H95" s="1715"/>
      <c r="I95" s="1715"/>
      <c r="J95" s="1715"/>
      <c r="K95" s="674"/>
      <c r="O95" s="102"/>
      <c r="P95" s="102"/>
      <c r="Q95" s="102"/>
    </row>
    <row r="96" spans="3:22" s="101" customFormat="1" ht="12.75" customHeight="1">
      <c r="C96" s="1715"/>
      <c r="D96" s="1715"/>
      <c r="E96" s="1715"/>
      <c r="F96" s="1715"/>
      <c r="G96" s="1715"/>
      <c r="H96" s="1715"/>
      <c r="I96" s="1715"/>
      <c r="J96" s="1715"/>
      <c r="O96" s="102"/>
      <c r="P96" s="102"/>
      <c r="Q96" s="102"/>
    </row>
    <row r="97" spans="3:19" s="106" customFormat="1" ht="12.75" customHeight="1">
      <c r="C97" s="105"/>
      <c r="D97" s="105"/>
      <c r="E97" s="105"/>
      <c r="F97" s="115"/>
      <c r="G97" s="105"/>
      <c r="H97" s="105"/>
      <c r="I97" s="101"/>
      <c r="J97" s="101"/>
      <c r="Q97" s="102"/>
      <c r="R97" s="102"/>
      <c r="S97" s="102"/>
    </row>
    <row r="98" spans="3:19" s="106" customFormat="1" ht="12.75" customHeight="1">
      <c r="C98" s="105"/>
      <c r="D98" s="105"/>
      <c r="E98" s="105"/>
      <c r="F98" s="115"/>
      <c r="G98" s="105"/>
      <c r="H98" s="105"/>
      <c r="I98" s="101"/>
      <c r="J98" s="101"/>
      <c r="Q98" s="102"/>
      <c r="R98" s="102"/>
      <c r="S98" s="102"/>
    </row>
    <row r="99" spans="3:19" s="106" customFormat="1" ht="12.75" customHeight="1">
      <c r="C99" s="356"/>
      <c r="D99" s="356"/>
      <c r="E99" s="356"/>
      <c r="F99" s="357"/>
      <c r="G99" s="356"/>
      <c r="H99" s="101"/>
      <c r="I99" s="99"/>
      <c r="J99" s="99"/>
      <c r="Q99" s="102"/>
      <c r="R99" s="102"/>
      <c r="S99" s="102"/>
    </row>
    <row r="100" spans="3:19" s="106" customFormat="1">
      <c r="C100" s="1724"/>
      <c r="D100" s="1724"/>
      <c r="E100" s="1724"/>
      <c r="F100" s="1724"/>
      <c r="G100" s="1724"/>
      <c r="H100" s="1724"/>
      <c r="I100" s="1724"/>
      <c r="J100" s="1724"/>
      <c r="K100" s="348"/>
      <c r="Q100" s="102"/>
      <c r="R100" s="102"/>
      <c r="S100" s="102"/>
    </row>
    <row r="101" spans="3:19" s="422" customFormat="1">
      <c r="C101" s="1725" t="s">
        <v>74</v>
      </c>
      <c r="D101" s="1726"/>
      <c r="E101" s="1726"/>
      <c r="F101" s="1726"/>
      <c r="G101" s="1726"/>
      <c r="H101" s="1726"/>
      <c r="I101" s="1726"/>
      <c r="J101" s="1726"/>
      <c r="K101" s="515"/>
      <c r="Q101" s="103"/>
      <c r="R101" s="103"/>
      <c r="S101" s="103"/>
    </row>
    <row r="102" spans="3:19" s="422" customFormat="1">
      <c r="C102" s="1717" t="s">
        <v>75</v>
      </c>
      <c r="D102" s="1717"/>
      <c r="E102" s="1717"/>
      <c r="F102" s="1717"/>
      <c r="G102" s="1717"/>
      <c r="H102" s="1717"/>
      <c r="I102" s="1717"/>
      <c r="J102" s="1717"/>
      <c r="Q102" s="103"/>
      <c r="R102" s="103"/>
      <c r="S102" s="103"/>
    </row>
    <row r="103" spans="3:19" s="106" customFormat="1">
      <c r="C103" s="1717" t="s">
        <v>6</v>
      </c>
      <c r="D103" s="1717"/>
      <c r="E103" s="1717"/>
      <c r="F103" s="1717"/>
      <c r="G103" s="1717"/>
      <c r="H103" s="1717"/>
      <c r="I103" s="1717"/>
      <c r="J103" s="1717"/>
      <c r="K103" s="339"/>
      <c r="Q103" s="102"/>
      <c r="R103" s="102"/>
      <c r="S103" s="102"/>
    </row>
    <row r="104" spans="3:19" s="106" customFormat="1">
      <c r="C104" s="356"/>
      <c r="D104" s="105"/>
      <c r="E104" s="105"/>
      <c r="F104" s="115"/>
      <c r="G104" s="105"/>
      <c r="H104" s="105"/>
      <c r="I104" s="101"/>
      <c r="J104" s="101"/>
      <c r="Q104" s="102"/>
      <c r="R104" s="102"/>
      <c r="S104" s="102"/>
    </row>
    <row r="105" spans="3:19" s="106" customFormat="1">
      <c r="C105" s="356"/>
      <c r="D105" s="105"/>
      <c r="E105" s="105"/>
      <c r="F105" s="115"/>
      <c r="G105" s="105"/>
      <c r="H105" s="105"/>
      <c r="I105" s="101"/>
      <c r="J105" s="101"/>
      <c r="Q105" s="102"/>
      <c r="R105" s="102"/>
      <c r="S105" s="102"/>
    </row>
    <row r="106" spans="3:19" s="106" customFormat="1">
      <c r="C106" s="105"/>
      <c r="D106" s="105"/>
      <c r="E106" s="105"/>
      <c r="F106" s="115"/>
      <c r="G106" s="105"/>
      <c r="H106" s="101"/>
      <c r="I106" s="101"/>
      <c r="J106" s="101"/>
      <c r="Q106" s="102"/>
      <c r="R106" s="102"/>
      <c r="S106" s="102"/>
    </row>
    <row r="107" spans="3:19" s="106" customFormat="1">
      <c r="C107" s="105"/>
      <c r="D107" s="105"/>
      <c r="E107" s="105"/>
      <c r="F107" s="115"/>
      <c r="G107" s="105"/>
      <c r="H107" s="101"/>
      <c r="I107" s="101"/>
      <c r="J107" s="101"/>
      <c r="Q107" s="102"/>
      <c r="R107" s="102"/>
      <c r="S107" s="102"/>
    </row>
    <row r="108" spans="3:19" s="106" customFormat="1">
      <c r="C108" s="105"/>
      <c r="D108" s="105"/>
      <c r="E108" s="105"/>
      <c r="F108" s="115"/>
      <c r="G108" s="105"/>
      <c r="H108" s="101"/>
      <c r="I108" s="101"/>
      <c r="J108" s="101"/>
      <c r="Q108" s="102"/>
      <c r="R108" s="102"/>
      <c r="S108" s="102"/>
    </row>
    <row r="109" spans="3:19" s="106" customFormat="1">
      <c r="C109" s="105"/>
      <c r="D109" s="105"/>
      <c r="E109" s="105"/>
      <c r="F109" s="115"/>
      <c r="G109" s="105"/>
      <c r="H109" s="101"/>
      <c r="I109" s="101"/>
      <c r="J109" s="101"/>
      <c r="Q109" s="102"/>
      <c r="R109" s="102"/>
      <c r="S109" s="102"/>
    </row>
    <row r="110" spans="3:19" s="106" customFormat="1">
      <c r="C110" s="105"/>
      <c r="D110" s="105"/>
      <c r="E110" s="105"/>
      <c r="F110" s="115"/>
      <c r="G110" s="105"/>
      <c r="H110" s="101"/>
      <c r="I110" s="101"/>
      <c r="J110" s="101"/>
      <c r="Q110" s="102"/>
      <c r="R110" s="102"/>
      <c r="S110" s="102"/>
    </row>
    <row r="111" spans="3:19">
      <c r="H111" s="101"/>
    </row>
    <row r="112" spans="3:19">
      <c r="H112" s="101"/>
    </row>
  </sheetData>
  <mergeCells count="18">
    <mergeCell ref="I6:J6"/>
    <mergeCell ref="C78:J78"/>
    <mergeCell ref="C76:J76"/>
    <mergeCell ref="C102:J102"/>
    <mergeCell ref="C80:J80"/>
    <mergeCell ref="F6:G6"/>
    <mergeCell ref="L82:U82"/>
    <mergeCell ref="C103:J103"/>
    <mergeCell ref="C94:J94"/>
    <mergeCell ref="C93:J93"/>
    <mergeCell ref="C95:J95"/>
    <mergeCell ref="C96:J96"/>
    <mergeCell ref="C100:J100"/>
    <mergeCell ref="C101:J101"/>
    <mergeCell ref="C92:J92"/>
    <mergeCell ref="C86:J86"/>
    <mergeCell ref="C84:J84"/>
    <mergeCell ref="C82:J82"/>
  </mergeCells>
  <printOptions horizontalCentered="1"/>
  <pageMargins left="0.70866141732283472" right="0.70866141732283472" top="0.74803149606299213" bottom="0.74803149606299213" header="0.74803149606299213" footer="0.35433070866141736"/>
  <pageSetup paperSize="9" scale="59" orientation="portrait" r:id="rId1"/>
  <headerFooter differentOddEven="1">
    <oddFooter>&amp;R&amp;G</oddFooter>
    <evenFooter>&amp;L&amp;G</evenFooter>
  </headerFooter>
  <ignoredErrors>
    <ignoredError sqref="D8 J5 D10 G6 J6 I7 I6 J7 D6 E6 E8:E14" unlockedFormula="1"/>
    <ignoredError sqref="F15:G15 F22:G22 F24:G24 F31:G33 F41:G41 F49:G49 F51:G51 F35:G35 F34:G34 D73 E67:E73" formulaRange="1"/>
    <ignoredError sqref="E7:G7 D7" numberStoredAsText="1" unlockedFormula="1"/>
    <ignoredError sqref="D15 D22 D24 D31:D35 D41 D49 D51 D58:D67 E15:E34 E36:E66" formulaRange="1" unlockedFormula="1"/>
    <ignoredError sqref="C81 H7" numberStoredAsText="1"/>
    <ignoredError sqref="E35" formula="1" formulaRange="1" unlockedFormula="1"/>
  </ignoredError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lha15"/>
  <dimension ref="B1:AG97"/>
  <sheetViews>
    <sheetView showGridLines="0" zoomScaleNormal="100" zoomScaleSheetLayoutView="100" workbookViewId="0">
      <selection activeCell="B2" sqref="B2"/>
    </sheetView>
  </sheetViews>
  <sheetFormatPr defaultColWidth="9.1796875" defaultRowHeight="12"/>
  <cols>
    <col min="1" max="1" width="2.54296875" style="117" customWidth="1"/>
    <col min="2" max="2" width="4.453125" style="117" customWidth="1"/>
    <col min="3" max="3" width="40.81640625" style="117" customWidth="1"/>
    <col min="4" max="10" width="9.453125" style="117" customWidth="1"/>
    <col min="11" max="11" width="8.54296875" style="118" customWidth="1"/>
    <col min="12" max="12" width="9.54296875" style="117" bestFit="1" customWidth="1"/>
    <col min="13" max="14" width="8.54296875" style="117" customWidth="1"/>
    <col min="15" max="15" width="9.81640625" style="117" bestFit="1" customWidth="1"/>
    <col min="16" max="16" width="10.1796875" style="117" customWidth="1"/>
    <col min="17" max="17" width="14.54296875" style="117" bestFit="1" customWidth="1"/>
    <col min="18" max="18" width="12.453125" style="117" customWidth="1"/>
    <col min="19" max="19" width="10" style="117" customWidth="1"/>
    <col min="20" max="23" width="6.54296875" style="117" customWidth="1"/>
    <col min="24" max="24" width="9" style="117" bestFit="1" customWidth="1"/>
    <col min="25" max="27" width="9.1796875" style="50" customWidth="1"/>
    <col min="28" max="28" width="9.1796875" style="117" customWidth="1"/>
    <col min="29" max="16384" width="9.1796875" style="117"/>
  </cols>
  <sheetData>
    <row r="1" spans="2:33" s="50" customFormat="1" ht="15" customHeight="1">
      <c r="B1" s="49"/>
      <c r="C1" s="49"/>
      <c r="D1" s="49"/>
      <c r="E1" s="49"/>
      <c r="H1" s="117"/>
      <c r="I1" s="117"/>
      <c r="J1" s="117"/>
    </row>
    <row r="2" spans="2:33" ht="24" customHeight="1">
      <c r="B2" s="8"/>
      <c r="C2" s="51" t="str">
        <f>IF(Indice_index!$Z$1=1,"11 - Execução Orçamental da Caixa Geral de Aposentações","11 - Public Servants Social Scheme Budget Execution")</f>
        <v>11 - Public Servants Social Scheme Budget Execution</v>
      </c>
      <c r="D2" s="51"/>
      <c r="E2" s="51"/>
      <c r="F2" s="51"/>
      <c r="G2" s="51"/>
      <c r="H2" s="51"/>
      <c r="I2" s="51"/>
      <c r="J2" s="51"/>
      <c r="Y2" s="80"/>
      <c r="AA2" s="80"/>
    </row>
    <row r="3" spans="2:33" ht="15" customHeight="1">
      <c r="C3" s="96"/>
      <c r="D3" s="96"/>
      <c r="E3" s="96"/>
      <c r="F3" s="119"/>
      <c r="G3" s="119"/>
      <c r="Y3" s="80"/>
    </row>
    <row r="4" spans="2:33" ht="15" customHeight="1">
      <c r="C4" s="119"/>
      <c r="D4" s="119"/>
      <c r="E4" s="119"/>
      <c r="F4" s="119"/>
      <c r="G4" s="119"/>
      <c r="H4" s="119"/>
      <c r="I4" s="119"/>
      <c r="J4" s="119"/>
    </row>
    <row r="5" spans="2:33" s="290" customFormat="1" ht="15" customHeight="1">
      <c r="C5" s="1103" t="str">
        <f>+'5 - Conta AC + SS'!C5</f>
        <v>Period: January to November</v>
      </c>
      <c r="D5" s="1103"/>
      <c r="E5" s="1103"/>
      <c r="F5" s="1104"/>
      <c r="G5" s="1104"/>
      <c r="H5" s="1104"/>
      <c r="I5" s="1104"/>
      <c r="J5" s="1040" t="str">
        <f>IF(Indice_index!$Z$1=1,"€ Milhões","€ Millions")</f>
        <v>€ Millions</v>
      </c>
      <c r="K5" s="380"/>
      <c r="L5" s="291"/>
      <c r="Y5" s="248"/>
      <c r="Z5" s="248"/>
      <c r="AA5" s="248"/>
    </row>
    <row r="6" spans="2:33" ht="30.75" customHeight="1">
      <c r="C6" s="1105"/>
      <c r="D6" s="813" t="str">
        <f>IF(Indice_index!$Z$1=1,"CGE","Final execution")</f>
        <v>Final execution</v>
      </c>
      <c r="E6" s="813" t="str">
        <f>IF(Indice_index!$Z$1=1,"Orçamento Inicial","Budget")</f>
        <v>Budget</v>
      </c>
      <c r="F6" s="1706" t="str">
        <f>IF(Indice_index!$Z$1=1,"Execução Acumulada","Accumulated Execution")</f>
        <v>Accumulated Execution</v>
      </c>
      <c r="G6" s="1706"/>
      <c r="H6" s="1095" t="str">
        <f>IF(Indice_index!$Z$1=1,"Grau de Execução (%)","Execution Degree (%)")</f>
        <v>Execution Degree (%)</v>
      </c>
      <c r="I6" s="1707" t="str">
        <f>IF(Indice_index!$Z$1=1,"Variação Homóloga Acumulada","YOY Change Rate")</f>
        <v>YOY Change Rate</v>
      </c>
      <c r="J6" s="1708"/>
      <c r="K6" s="117"/>
    </row>
    <row r="7" spans="2:33" ht="33" customHeight="1">
      <c r="C7" s="1106"/>
      <c r="D7" s="815" t="s">
        <v>67</v>
      </c>
      <c r="E7" s="815" t="s">
        <v>73</v>
      </c>
      <c r="F7" s="816" t="s">
        <v>67</v>
      </c>
      <c r="G7" s="816" t="s">
        <v>73</v>
      </c>
      <c r="H7" s="818" t="s">
        <v>73</v>
      </c>
      <c r="I7" s="818" t="str">
        <f>IF(Indice_index!$Z$1=1,"Relativa (%)","Relative change (%)")</f>
        <v>Relative change (%)</v>
      </c>
      <c r="J7" s="819" t="str">
        <f>IF(Indice_index!$Z$1=1,"Contributo VHA (p.p.)","YOY Change Rate Contrib. (p.p.)")</f>
        <v>YOY Change Rate Contrib. (p.p.)</v>
      </c>
      <c r="K7" s="117"/>
    </row>
    <row r="8" spans="2:33" s="292" customFormat="1" ht="15" customHeight="1">
      <c r="C8" s="1107" t="str">
        <f>IF(Indice_index!$Z$1=1,"Receita corrente","Current revenue")</f>
        <v>Current revenue</v>
      </c>
      <c r="D8" s="1107">
        <f>+D9+D14+D23</f>
        <v>10366.37250845</v>
      </c>
      <c r="E8" s="1107">
        <f>+E9+E14+E23</f>
        <v>10352.569979999998</v>
      </c>
      <c r="F8" s="1107">
        <f>+F9+F14+F23</f>
        <v>9536.2408686600011</v>
      </c>
      <c r="G8" s="1107">
        <f>+G9+G14+G23</f>
        <v>9821.1928125499999</v>
      </c>
      <c r="H8" s="1108">
        <f>IFERROR(IF(G8/E8*100&lt;-500,"-",IF(G8/E8*100&gt;500,"-",G8/E8*100)),"-")</f>
        <v>94.867195599966394</v>
      </c>
      <c r="I8" s="1108">
        <f t="shared" ref="I8:I20" si="0">IF(IFERROR((G8-F8)/F8*100,"")&gt;500,"-",IFERROR((G8-F8)/F8*100,""))</f>
        <v>2.9880950766089369</v>
      </c>
      <c r="J8" s="1108">
        <f>IFERROR((G8-F8)/$F$27*100,"-")</f>
        <v>2.9880950766089369</v>
      </c>
      <c r="K8" s="290"/>
      <c r="L8" s="293"/>
      <c r="M8" s="293"/>
      <c r="N8" s="419"/>
      <c r="O8" s="419"/>
      <c r="P8" s="293"/>
      <c r="Q8" s="293"/>
      <c r="R8" s="293"/>
      <c r="S8" s="293"/>
      <c r="T8" s="293"/>
      <c r="U8" s="293"/>
      <c r="V8" s="293"/>
      <c r="W8" s="293"/>
      <c r="X8" s="293"/>
      <c r="Y8" s="293"/>
      <c r="Z8" s="293"/>
      <c r="AA8" s="293"/>
    </row>
    <row r="9" spans="2:33" ht="15" customHeight="1">
      <c r="C9" s="1109" t="str">
        <f>IF(Indice_index!$Z$1=1,"Contribuições para a Caixa Geral de Aposentações","Contributions to the Public Servants Social Scheme (CGA)")</f>
        <v>Contributions to the Public Servants Social Scheme (CGA)</v>
      </c>
      <c r="D9" s="1110">
        <f t="shared" ref="D9:G9" si="1">+D10+D11</f>
        <v>4119.3248779699998</v>
      </c>
      <c r="E9" s="1110">
        <f t="shared" si="1"/>
        <v>4057.5362800000003</v>
      </c>
      <c r="F9" s="1110">
        <f t="shared" si="1"/>
        <v>3584.0575743000004</v>
      </c>
      <c r="G9" s="1110">
        <f t="shared" si="1"/>
        <v>3479.5280556299999</v>
      </c>
      <c r="H9" s="1111">
        <f t="shared" ref="H9:H25" si="2">IFERROR(IF(G9/E9*100&lt;-500,"-",IF(G9/E9*100&gt;500,"-",G9/E9*100)),"-")</f>
        <v>85.754699786196369</v>
      </c>
      <c r="I9" s="1111">
        <f t="shared" si="0"/>
        <v>-2.9165133791249449</v>
      </c>
      <c r="J9" s="1111">
        <f t="shared" ref="J9:J25" si="3">IFERROR((G9-F9)/$F$27*100,"-")</f>
        <v>-1.0961291782543723</v>
      </c>
      <c r="K9" s="117"/>
      <c r="L9" s="87"/>
      <c r="M9" s="87"/>
      <c r="N9" s="419"/>
      <c r="O9" s="419"/>
      <c r="P9" s="293"/>
      <c r="Q9" s="293"/>
      <c r="R9" s="293"/>
      <c r="S9" s="87"/>
      <c r="T9" s="87"/>
      <c r="U9" s="87"/>
      <c r="V9" s="87"/>
      <c r="W9" s="87"/>
      <c r="X9" s="87"/>
      <c r="Y9" s="87"/>
      <c r="Z9" s="87"/>
      <c r="AA9" s="87"/>
      <c r="AB9" s="87"/>
      <c r="AC9" s="87"/>
      <c r="AD9" s="87"/>
      <c r="AE9" s="87"/>
      <c r="AF9" s="87"/>
      <c r="AG9" s="87"/>
    </row>
    <row r="10" spans="2:33" ht="15" customHeight="1">
      <c r="C10" s="1112" t="str">
        <f>IF(Indice_index!$Z$1=1,"Quotas e contribuições para a CGA","Fees and contributions to the CGA")</f>
        <v>Fees and contributions to the CGA</v>
      </c>
      <c r="D10" s="1110">
        <v>4004.8889900199997</v>
      </c>
      <c r="E10" s="1110">
        <v>3939.8765800000001</v>
      </c>
      <c r="F10" s="1110">
        <v>3478.0481365800006</v>
      </c>
      <c r="G10" s="1110">
        <v>3371.8685159500001</v>
      </c>
      <c r="H10" s="1111">
        <f t="shared" si="2"/>
        <v>85.583100066297007</v>
      </c>
      <c r="I10" s="1111">
        <f t="shared" si="0"/>
        <v>-3.0528508077064158</v>
      </c>
      <c r="J10" s="1111">
        <f t="shared" si="3"/>
        <v>-1.1134326627481725</v>
      </c>
      <c r="K10" s="117"/>
      <c r="L10" s="87"/>
      <c r="M10" s="87"/>
      <c r="N10" s="419"/>
      <c r="O10" s="419"/>
      <c r="P10" s="293"/>
      <c r="Q10" s="293"/>
      <c r="R10" s="293"/>
      <c r="S10" s="87"/>
      <c r="T10" s="87"/>
      <c r="U10" s="87"/>
      <c r="V10" s="87"/>
      <c r="W10" s="87"/>
      <c r="X10" s="87"/>
      <c r="Y10" s="87"/>
      <c r="Z10" s="87"/>
      <c r="AA10" s="87"/>
      <c r="AB10" s="87"/>
      <c r="AC10" s="87"/>
      <c r="AD10" s="87"/>
      <c r="AE10" s="87"/>
      <c r="AF10" s="87"/>
      <c r="AG10" s="87"/>
    </row>
    <row r="11" spans="2:33" ht="15" customHeight="1">
      <c r="C11" s="1112" t="str">
        <f>IF(Indice_index!$Z$1=1,"Compensação por pagamento de pensões","Pension payment compensations")</f>
        <v>Pension payment compensations</v>
      </c>
      <c r="D11" s="1113">
        <f t="shared" ref="D11:E11" si="4">+D12+D13</f>
        <v>114.43588794999999</v>
      </c>
      <c r="E11" s="1113">
        <f t="shared" si="4"/>
        <v>117.6597</v>
      </c>
      <c r="F11" s="1113">
        <f t="shared" ref="F11:G11" si="5">+F12+F13</f>
        <v>106.00943772000002</v>
      </c>
      <c r="G11" s="1113">
        <f t="shared" si="5"/>
        <v>107.65953967999999</v>
      </c>
      <c r="H11" s="1111">
        <f t="shared" si="2"/>
        <v>91.500776969514618</v>
      </c>
      <c r="I11" s="1111">
        <f t="shared" si="0"/>
        <v>1.5565613736753738</v>
      </c>
      <c r="J11" s="1111">
        <f t="shared" si="3"/>
        <v>1.730348449379969E-2</v>
      </c>
      <c r="K11" s="117"/>
      <c r="L11" s="87"/>
      <c r="M11" s="87"/>
      <c r="N11" s="419"/>
      <c r="O11" s="419"/>
      <c r="P11" s="293"/>
      <c r="Q11" s="293"/>
      <c r="R11" s="293"/>
      <c r="S11" s="87"/>
      <c r="T11" s="87"/>
      <c r="U11" s="87"/>
      <c r="V11" s="87"/>
      <c r="W11" s="87"/>
      <c r="X11" s="87"/>
      <c r="Y11" s="87"/>
      <c r="Z11" s="87"/>
      <c r="AA11" s="87"/>
      <c r="AB11" s="87"/>
      <c r="AC11" s="87"/>
      <c r="AD11" s="87"/>
      <c r="AE11" s="87"/>
      <c r="AF11" s="87"/>
      <c r="AG11" s="87"/>
    </row>
    <row r="12" spans="2:33" ht="15" customHeight="1">
      <c r="C12" s="1114" t="str">
        <f>IF(Indice_index!$Z$1=1,"Subsectores das Administrações Públicas","General Government subsectors")</f>
        <v>General Government subsectors</v>
      </c>
      <c r="D12" s="1110">
        <v>53.576918370000001</v>
      </c>
      <c r="E12" s="1110">
        <v>44.237499999999997</v>
      </c>
      <c r="F12" s="1110">
        <v>49.615200420000008</v>
      </c>
      <c r="G12" s="1110">
        <v>36.48868907</v>
      </c>
      <c r="H12" s="1111">
        <f t="shared" si="2"/>
        <v>82.483614738626727</v>
      </c>
      <c r="I12" s="1111">
        <f t="shared" si="0"/>
        <v>-26.456632723202063</v>
      </c>
      <c r="J12" s="1111">
        <f t="shared" si="3"/>
        <v>-0.13764869754012934</v>
      </c>
      <c r="K12" s="117"/>
      <c r="L12" s="87"/>
      <c r="M12" s="87"/>
      <c r="N12" s="419"/>
      <c r="O12" s="419"/>
      <c r="P12" s="293"/>
      <c r="Q12" s="293"/>
      <c r="R12" s="293"/>
      <c r="S12" s="87"/>
      <c r="T12" s="87"/>
      <c r="U12" s="87"/>
      <c r="V12" s="87"/>
      <c r="W12" s="87"/>
      <c r="X12" s="87"/>
      <c r="Y12" s="87"/>
      <c r="Z12" s="87"/>
      <c r="AA12" s="87"/>
      <c r="AB12" s="87"/>
      <c r="AC12" s="87"/>
      <c r="AD12" s="87"/>
      <c r="AE12" s="87"/>
      <c r="AF12" s="87"/>
      <c r="AG12" s="87"/>
    </row>
    <row r="13" spans="2:33" ht="15" customHeight="1">
      <c r="C13" s="1114" t="str">
        <f>IF(Indice_index!$Z$1=1,"Outras entidades","Other entities")</f>
        <v>Other entities</v>
      </c>
      <c r="D13" s="1110">
        <v>60.85896958</v>
      </c>
      <c r="E13" s="1110">
        <v>73.422200000000004</v>
      </c>
      <c r="F13" s="1110">
        <v>56.394237300000007</v>
      </c>
      <c r="G13" s="1110">
        <v>71.170850610000002</v>
      </c>
      <c r="H13" s="1111">
        <f t="shared" si="2"/>
        <v>96.933693910016316</v>
      </c>
      <c r="I13" s="1111">
        <f t="shared" si="0"/>
        <v>26.202346228024957</v>
      </c>
      <c r="J13" s="1111">
        <f t="shared" si="3"/>
        <v>0.15495218203392919</v>
      </c>
      <c r="K13" s="117"/>
      <c r="L13" s="87"/>
      <c r="M13" s="87"/>
      <c r="N13" s="419"/>
      <c r="O13" s="419"/>
      <c r="P13" s="293"/>
      <c r="Q13" s="293"/>
      <c r="R13" s="293"/>
      <c r="S13" s="87"/>
      <c r="T13" s="87"/>
      <c r="U13" s="87"/>
      <c r="V13" s="87"/>
      <c r="W13" s="87"/>
      <c r="X13" s="87"/>
      <c r="Y13" s="87"/>
      <c r="Z13" s="87"/>
      <c r="AA13" s="87"/>
      <c r="AB13" s="87"/>
      <c r="AC13" s="87"/>
      <c r="AD13" s="87"/>
      <c r="AE13" s="87"/>
      <c r="AF13" s="87"/>
      <c r="AG13" s="87"/>
    </row>
    <row r="14" spans="2:33" ht="15" customHeight="1">
      <c r="C14" s="1109" t="str">
        <f>IF(Indice_index!$Z$1=1,"Transferências Correntes","Current transfers")</f>
        <v>Current transfers</v>
      </c>
      <c r="D14" s="1110">
        <f t="shared" ref="D14:G14" si="6">+D15+D22</f>
        <v>6044.9386570400011</v>
      </c>
      <c r="E14" s="1110">
        <f t="shared" si="6"/>
        <v>6050.0595000000003</v>
      </c>
      <c r="F14" s="1110">
        <f t="shared" si="6"/>
        <v>5755.1722591199996</v>
      </c>
      <c r="G14" s="1110">
        <f t="shared" si="6"/>
        <v>6133.2435071400005</v>
      </c>
      <c r="H14" s="1111">
        <f t="shared" si="2"/>
        <v>101.37492874475036</v>
      </c>
      <c r="I14" s="1111">
        <f t="shared" si="0"/>
        <v>6.5692429522137417</v>
      </c>
      <c r="J14" s="1111">
        <f t="shared" si="3"/>
        <v>3.9645731816873262</v>
      </c>
      <c r="K14" s="117"/>
      <c r="L14" s="87"/>
      <c r="M14" s="87"/>
      <c r="N14" s="419"/>
      <c r="O14" s="419"/>
      <c r="P14" s="293"/>
      <c r="Q14" s="293"/>
      <c r="R14" s="293"/>
      <c r="S14" s="87"/>
      <c r="T14" s="87"/>
      <c r="U14" s="87"/>
      <c r="V14" s="87"/>
      <c r="W14" s="87"/>
      <c r="X14" s="87"/>
      <c r="Y14" s="87"/>
      <c r="Z14" s="87"/>
      <c r="AA14" s="87"/>
      <c r="AB14" s="87"/>
      <c r="AC14" s="87"/>
      <c r="AD14" s="87"/>
      <c r="AE14" s="87"/>
      <c r="AF14" s="87"/>
      <c r="AG14" s="87"/>
    </row>
    <row r="15" spans="2:33" ht="15" customHeight="1">
      <c r="C15" s="1112" t="str">
        <f>IF(Indice_index!$Z$1=1,"Orçamento do Estado","State Budget")</f>
        <v>State Budget</v>
      </c>
      <c r="D15" s="1110">
        <f t="shared" ref="D15:G15" si="7">+D16+D17</f>
        <v>5488.7991009999996</v>
      </c>
      <c r="E15" s="1110">
        <f t="shared" si="7"/>
        <v>5489.0999999999995</v>
      </c>
      <c r="F15" s="1110">
        <f t="shared" si="7"/>
        <v>5243.7651569999998</v>
      </c>
      <c r="G15" s="1110">
        <f t="shared" si="7"/>
        <v>5611.8062810000001</v>
      </c>
      <c r="H15" s="1111">
        <f t="shared" si="2"/>
        <v>102.23545355340586</v>
      </c>
      <c r="I15" s="1111">
        <f t="shared" si="0"/>
        <v>7.0186423873062909</v>
      </c>
      <c r="J15" s="1111">
        <f t="shared" si="3"/>
        <v>3.8593941687183513</v>
      </c>
      <c r="K15" s="117"/>
      <c r="L15" s="87"/>
      <c r="M15" s="87"/>
      <c r="N15" s="419"/>
      <c r="O15" s="419"/>
      <c r="P15" s="293"/>
      <c r="Q15" s="293"/>
      <c r="R15" s="293"/>
      <c r="S15" s="87"/>
      <c r="T15" s="87"/>
      <c r="U15" s="87"/>
      <c r="V15" s="87"/>
      <c r="W15" s="87"/>
      <c r="X15" s="87"/>
      <c r="Y15" s="87"/>
      <c r="Z15" s="87"/>
      <c r="AA15" s="87"/>
      <c r="AB15" s="87"/>
      <c r="AC15" s="87"/>
      <c r="AD15" s="87"/>
      <c r="AE15" s="87"/>
      <c r="AF15" s="87"/>
      <c r="AG15" s="87"/>
    </row>
    <row r="16" spans="2:33" ht="15" customHeight="1">
      <c r="C16" s="1115" t="str">
        <f>IF(Indice_index!$Z$1=1,"Comparticipação do Orçamento do Estado","State Budget contributions")</f>
        <v>State Budget contributions</v>
      </c>
      <c r="D16" s="1110">
        <v>5076.8823000000002</v>
      </c>
      <c r="E16" s="1110">
        <v>5060.0316999999995</v>
      </c>
      <c r="F16" s="1110">
        <v>4862.8265819999997</v>
      </c>
      <c r="G16" s="1110">
        <v>4871.4202569999998</v>
      </c>
      <c r="H16" s="1111">
        <f t="shared" si="2"/>
        <v>96.272524478453363</v>
      </c>
      <c r="I16" s="1111">
        <f t="shared" si="0"/>
        <v>0.1767218068563251</v>
      </c>
      <c r="J16" s="1111">
        <f t="shared" si="3"/>
        <v>9.0115959929686934E-2</v>
      </c>
      <c r="K16" s="117"/>
      <c r="L16" s="87"/>
      <c r="M16" s="87"/>
      <c r="N16" s="419"/>
      <c r="O16" s="419"/>
      <c r="P16" s="293"/>
      <c r="Q16" s="293"/>
      <c r="R16" s="293"/>
      <c r="S16" s="87"/>
      <c r="T16" s="87"/>
      <c r="U16" s="87"/>
      <c r="V16" s="87"/>
      <c r="W16" s="87"/>
      <c r="X16" s="87"/>
      <c r="Y16" s="87"/>
      <c r="Z16" s="87"/>
      <c r="AA16" s="87"/>
      <c r="AB16" s="87"/>
      <c r="AC16" s="87"/>
      <c r="AD16" s="87"/>
      <c r="AE16" s="87"/>
      <c r="AF16" s="87"/>
      <c r="AG16" s="87"/>
    </row>
    <row r="17" spans="3:33" ht="15" customHeight="1">
      <c r="C17" s="1115" t="str">
        <f>IF(Indice_index!$Z$1=1,"Compensação por pagamento de pensões","Pension payment compensations")</f>
        <v>Pension payment compensations</v>
      </c>
      <c r="D17" s="1110">
        <f>+D18+D19+D20+D21</f>
        <v>411.9168009999994</v>
      </c>
      <c r="E17" s="1110">
        <f>+E18+E19+E20+E21</f>
        <v>429.06830000000002</v>
      </c>
      <c r="F17" s="1110">
        <f>+F18+F19+F20+F21</f>
        <v>380.93857500000013</v>
      </c>
      <c r="G17" s="1110">
        <f>+G18+G19+G20+G21</f>
        <v>740.38602400000036</v>
      </c>
      <c r="H17" s="1111">
        <f t="shared" si="2"/>
        <v>172.55668246756991</v>
      </c>
      <c r="I17" s="1111">
        <f t="shared" si="0"/>
        <v>94.358374968982901</v>
      </c>
      <c r="J17" s="1111">
        <f t="shared" si="3"/>
        <v>3.7692782087886645</v>
      </c>
      <c r="K17" s="117"/>
      <c r="L17" s="87"/>
      <c r="M17" s="87"/>
      <c r="N17" s="419"/>
      <c r="O17" s="419"/>
      <c r="P17" s="293"/>
      <c r="Q17" s="293"/>
      <c r="R17" s="293"/>
      <c r="S17" s="87"/>
      <c r="T17" s="87"/>
      <c r="U17" s="87"/>
      <c r="V17" s="87"/>
      <c r="W17" s="87"/>
      <c r="X17" s="87"/>
      <c r="Y17" s="87"/>
      <c r="Z17" s="87"/>
      <c r="AA17" s="87"/>
      <c r="AB17" s="87"/>
      <c r="AC17" s="87"/>
      <c r="AD17" s="87"/>
      <c r="AE17" s="87"/>
      <c r="AF17" s="87"/>
      <c r="AG17" s="87"/>
    </row>
    <row r="18" spans="3:33" s="120" customFormat="1" ht="15" customHeight="1">
      <c r="C18" s="1116" t="str">
        <f>IF(Indice_index!$Z$1=1,"Deficientes das Forças Armadas / Invalidez","Armed Forces handicapped / disability")</f>
        <v>Armed Forces handicapped / disability</v>
      </c>
      <c r="D18" s="1110">
        <v>169.15</v>
      </c>
      <c r="E18" s="1110">
        <v>170.34299999999999</v>
      </c>
      <c r="F18" s="1110">
        <v>157.1</v>
      </c>
      <c r="G18" s="1110">
        <v>154.934439</v>
      </c>
      <c r="H18" s="1111">
        <f t="shared" si="2"/>
        <v>90.954391433754253</v>
      </c>
      <c r="I18" s="1111">
        <f t="shared" si="0"/>
        <v>-1.3784602164226587</v>
      </c>
      <c r="J18" s="1111">
        <f t="shared" si="3"/>
        <v>-2.2708748969595752E-2</v>
      </c>
      <c r="K18" s="117"/>
      <c r="L18" s="87"/>
      <c r="M18" s="87"/>
      <c r="N18" s="419"/>
      <c r="O18" s="419"/>
      <c r="P18" s="293"/>
      <c r="Q18" s="293"/>
      <c r="R18" s="293"/>
      <c r="S18" s="87"/>
      <c r="T18" s="87"/>
      <c r="U18" s="87"/>
      <c r="V18" s="87"/>
      <c r="W18" s="87"/>
      <c r="X18" s="87"/>
      <c r="Y18" s="87"/>
      <c r="Z18" s="87"/>
      <c r="AA18" s="87"/>
      <c r="AB18" s="87"/>
      <c r="AC18" s="87"/>
      <c r="AD18" s="87"/>
      <c r="AE18" s="87"/>
      <c r="AF18" s="87"/>
      <c r="AG18" s="87"/>
    </row>
    <row r="19" spans="3:33" s="120" customFormat="1" ht="15" customHeight="1">
      <c r="C19" s="1116" t="str">
        <f>IF(Indice_index!$Z$1=1,"Subvenções vitalícias","Lifetime grants")</f>
        <v>Lifetime grants</v>
      </c>
      <c r="D19" s="1110">
        <v>8.1715</v>
      </c>
      <c r="E19" s="1110">
        <v>8.2799999999999994</v>
      </c>
      <c r="F19" s="1110">
        <v>7.4314999999999998</v>
      </c>
      <c r="G19" s="1110">
        <v>6.4494280000000002</v>
      </c>
      <c r="H19" s="1111">
        <f t="shared" si="2"/>
        <v>77.891642512077311</v>
      </c>
      <c r="I19" s="1111">
        <f t="shared" si="0"/>
        <v>-13.214990244230634</v>
      </c>
      <c r="J19" s="1111">
        <f t="shared" si="3"/>
        <v>-1.0298313701654611E-2</v>
      </c>
      <c r="K19" s="117"/>
      <c r="L19" s="87"/>
      <c r="M19" s="87"/>
      <c r="N19" s="419"/>
      <c r="O19" s="419"/>
      <c r="P19" s="293"/>
      <c r="Q19" s="293"/>
      <c r="R19" s="293"/>
      <c r="S19" s="87"/>
      <c r="T19" s="87"/>
      <c r="U19" s="87"/>
      <c r="V19" s="87"/>
      <c r="W19" s="87"/>
      <c r="X19" s="87"/>
      <c r="Y19" s="87"/>
      <c r="Z19" s="87"/>
      <c r="AA19" s="87"/>
      <c r="AB19" s="87"/>
      <c r="AC19" s="87"/>
      <c r="AD19" s="87"/>
      <c r="AE19" s="87"/>
      <c r="AF19" s="87"/>
      <c r="AG19" s="87"/>
    </row>
    <row r="20" spans="3:33" ht="15" customHeight="1">
      <c r="C20" s="1116" t="str">
        <f>IF(Indice_index!$Z$1=1,"Pensões de preço de sangue","Blood price pensions")</f>
        <v>Blood price pensions</v>
      </c>
      <c r="D20" s="1110">
        <v>29.667999999999999</v>
      </c>
      <c r="E20" s="1110">
        <v>28.657</v>
      </c>
      <c r="F20" s="1110">
        <v>27.483000000000001</v>
      </c>
      <c r="G20" s="1110">
        <v>27.007000000000001</v>
      </c>
      <c r="H20" s="1111">
        <f t="shared" si="2"/>
        <v>94.242244477789029</v>
      </c>
      <c r="I20" s="1111">
        <f t="shared" si="0"/>
        <v>-1.7319797693119348</v>
      </c>
      <c r="J20" s="1111">
        <f t="shared" si="3"/>
        <v>-4.9914846589533025E-3</v>
      </c>
      <c r="K20" s="117"/>
      <c r="L20" s="87"/>
      <c r="M20" s="87"/>
      <c r="N20" s="419"/>
      <c r="O20" s="419"/>
      <c r="P20" s="293"/>
      <c r="Q20" s="293"/>
      <c r="R20" s="293"/>
      <c r="S20" s="87"/>
      <c r="T20" s="87"/>
      <c r="U20" s="87"/>
      <c r="V20" s="87"/>
      <c r="W20" s="87"/>
      <c r="X20" s="87"/>
      <c r="Y20" s="87"/>
      <c r="Z20" s="87"/>
      <c r="AA20" s="87"/>
      <c r="AB20" s="87"/>
      <c r="AC20" s="87"/>
      <c r="AD20" s="87"/>
      <c r="AE20" s="87"/>
      <c r="AF20" s="87"/>
      <c r="AG20" s="87"/>
    </row>
    <row r="21" spans="3:33" ht="15" customHeight="1">
      <c r="C21" s="1116" t="str">
        <f>IF(Indice_index!$Z$1=1,"Outras","Others")</f>
        <v>Others</v>
      </c>
      <c r="D21" s="1110">
        <v>204.92730099999937</v>
      </c>
      <c r="E21" s="1110">
        <v>221.78829999999999</v>
      </c>
      <c r="F21" s="1110">
        <v>188.92407500000013</v>
      </c>
      <c r="G21" s="1110">
        <v>551.9951570000004</v>
      </c>
      <c r="H21" s="1111">
        <f t="shared" si="2"/>
        <v>248.88380360911754</v>
      </c>
      <c r="I21" s="1111">
        <f t="shared" ref="I21:I25" si="8">IF(IFERROR((G21-F21)/F21*100,"")&gt;500,"-",IFERROR((G21-F21)/F21*100,""))</f>
        <v>192.17830337398769</v>
      </c>
      <c r="J21" s="1111">
        <f t="shared" si="3"/>
        <v>3.8072767561188678</v>
      </c>
      <c r="K21" s="117"/>
      <c r="L21" s="87"/>
      <c r="M21" s="87"/>
      <c r="N21" s="419"/>
      <c r="O21" s="419"/>
      <c r="P21" s="293"/>
      <c r="Q21" s="293"/>
      <c r="R21" s="293"/>
      <c r="S21" s="87"/>
      <c r="T21" s="87"/>
      <c r="U21" s="87"/>
      <c r="V21" s="87"/>
      <c r="W21" s="87"/>
      <c r="X21" s="87"/>
      <c r="Y21" s="87"/>
      <c r="Z21" s="87"/>
      <c r="AA21" s="87"/>
      <c r="AB21" s="87"/>
      <c r="AC21" s="87"/>
      <c r="AD21" s="87"/>
      <c r="AE21" s="87"/>
      <c r="AF21" s="87"/>
      <c r="AG21" s="87"/>
    </row>
    <row r="22" spans="3:33" ht="15" customHeight="1">
      <c r="C22" s="1112" t="str">
        <f>IF(Indice_index!$Z$1=1,"Outras transferências correntes","Other current transfers")</f>
        <v>Other current transfers</v>
      </c>
      <c r="D22" s="1110">
        <v>556.13955604000148</v>
      </c>
      <c r="E22" s="1110">
        <v>560.95950000000084</v>
      </c>
      <c r="F22" s="1110">
        <v>511.40710211999976</v>
      </c>
      <c r="G22" s="1110">
        <v>521.43722614000035</v>
      </c>
      <c r="H22" s="1111">
        <f t="shared" si="2"/>
        <v>92.954522766795037</v>
      </c>
      <c r="I22" s="1111">
        <f>IF(IFERROR((G22-F22)/F22*100,"")&gt;500,"-",IFERROR((G22-F22)/F22*100,""))</f>
        <v>1.961279766827926</v>
      </c>
      <c r="J22" s="1111">
        <f t="shared" si="3"/>
        <v>0.10517901296897486</v>
      </c>
      <c r="K22" s="117"/>
      <c r="L22" s="87"/>
      <c r="M22" s="87"/>
      <c r="N22" s="419"/>
      <c r="O22" s="419"/>
      <c r="P22" s="293"/>
      <c r="Q22" s="325"/>
      <c r="R22" s="293"/>
      <c r="S22" s="87"/>
      <c r="T22" s="87"/>
      <c r="U22" s="87"/>
      <c r="V22" s="87"/>
      <c r="W22" s="87"/>
      <c r="X22" s="87"/>
      <c r="Y22" s="87"/>
      <c r="Z22" s="87"/>
      <c r="AA22" s="87"/>
      <c r="AB22" s="87"/>
      <c r="AC22" s="87"/>
      <c r="AD22" s="87"/>
      <c r="AE22" s="87"/>
      <c r="AF22" s="87"/>
      <c r="AG22" s="87"/>
    </row>
    <row r="23" spans="3:33" ht="15" customHeight="1">
      <c r="C23" s="1109" t="str">
        <f>IF(Indice_index!$Z$1=1,"Outras receitas correntes","Other current revenue")</f>
        <v>Other current revenue</v>
      </c>
      <c r="D23" s="1110">
        <v>202.10897343999932</v>
      </c>
      <c r="E23" s="1110">
        <v>244.97419999999875</v>
      </c>
      <c r="F23" s="1110">
        <v>197.01103524000064</v>
      </c>
      <c r="G23" s="1110">
        <v>208.42124978000038</v>
      </c>
      <c r="H23" s="1111">
        <f t="shared" si="2"/>
        <v>85.078857193941829</v>
      </c>
      <c r="I23" s="1111">
        <f>IF(IFERROR((G23-F23)/F23*100,"")&gt;500,"-",IFERROR((G23-F23)/F23*100,""))</f>
        <v>5.7916626477799662</v>
      </c>
      <c r="J23" s="1111">
        <f t="shared" si="3"/>
        <v>0.11965107317599734</v>
      </c>
      <c r="K23" s="117"/>
      <c r="L23" s="87"/>
      <c r="M23" s="87"/>
      <c r="N23" s="419"/>
      <c r="O23" s="419"/>
      <c r="P23" s="293"/>
      <c r="Q23" s="293"/>
      <c r="R23" s="293"/>
      <c r="S23" s="87"/>
      <c r="T23" s="87"/>
      <c r="U23" s="87"/>
      <c r="V23" s="87"/>
      <c r="W23" s="87"/>
      <c r="X23" s="87"/>
      <c r="Y23" s="87"/>
      <c r="Z23" s="87"/>
      <c r="AA23" s="87"/>
      <c r="AB23" s="87"/>
      <c r="AC23" s="87"/>
      <c r="AD23" s="87"/>
      <c r="AE23" s="87"/>
      <c r="AF23" s="87"/>
      <c r="AG23" s="87"/>
    </row>
    <row r="24" spans="3:33" s="290" customFormat="1" ht="15" customHeight="1">
      <c r="C24" s="1107" t="str">
        <f>IF(Indice_index!$Z$1=1,"Receita de capital","Capital revenue")</f>
        <v>Capital revenue</v>
      </c>
      <c r="D24" s="1107">
        <f t="shared" ref="D24:G24" si="9">+D25</f>
        <v>0</v>
      </c>
      <c r="E24" s="1107">
        <f t="shared" si="9"/>
        <v>0</v>
      </c>
      <c r="F24" s="1107">
        <f t="shared" si="9"/>
        <v>0</v>
      </c>
      <c r="G24" s="1107">
        <f t="shared" si="9"/>
        <v>1.511941E-2</v>
      </c>
      <c r="H24" s="1108" t="str">
        <f t="shared" si="2"/>
        <v>-</v>
      </c>
      <c r="I24" s="1108" t="str">
        <f>IF(IFERROR((G24-F24)/F24*100,"")&gt;500,"-",IFERROR((G24-F24)/F24*100,""))</f>
        <v>-</v>
      </c>
      <c r="J24" s="1108">
        <f t="shared" si="3"/>
        <v>1.5854685518366658E-4</v>
      </c>
      <c r="L24" s="293"/>
      <c r="M24" s="293"/>
      <c r="N24" s="419"/>
      <c r="O24" s="419"/>
      <c r="P24" s="293"/>
      <c r="Q24" s="293"/>
      <c r="R24" s="293"/>
      <c r="S24" s="293"/>
      <c r="T24" s="293"/>
      <c r="U24" s="293"/>
      <c r="V24" s="293"/>
      <c r="W24" s="293"/>
      <c r="X24" s="293"/>
      <c r="Y24" s="293"/>
      <c r="Z24" s="293"/>
      <c r="AA24" s="293"/>
      <c r="AB24" s="293"/>
      <c r="AC24" s="293"/>
      <c r="AD24" s="293"/>
      <c r="AE24" s="293"/>
      <c r="AF24" s="293"/>
      <c r="AG24" s="293"/>
    </row>
    <row r="25" spans="3:33" ht="15" customHeight="1">
      <c r="C25" s="1109" t="str">
        <f>IF(Indice_index!$Z$1=1,"Transferências de Capital","Capital transfers")</f>
        <v>Capital transfers</v>
      </c>
      <c r="D25" s="1110">
        <v>0</v>
      </c>
      <c r="E25" s="1110">
        <v>0</v>
      </c>
      <c r="F25" s="1110">
        <v>0</v>
      </c>
      <c r="G25" s="1110">
        <v>1.511941E-2</v>
      </c>
      <c r="H25" s="1111" t="str">
        <f t="shared" si="2"/>
        <v>-</v>
      </c>
      <c r="I25" s="1111" t="str">
        <f t="shared" si="8"/>
        <v>-</v>
      </c>
      <c r="J25" s="1111">
        <f t="shared" si="3"/>
        <v>1.5854685518366658E-4</v>
      </c>
      <c r="K25" s="117"/>
      <c r="L25" s="87"/>
      <c r="M25" s="87"/>
      <c r="N25" s="419"/>
      <c r="O25" s="419"/>
      <c r="P25" s="293"/>
      <c r="Q25" s="293"/>
      <c r="R25" s="293"/>
      <c r="S25" s="87"/>
      <c r="T25" s="87"/>
      <c r="U25" s="87"/>
      <c r="V25" s="87"/>
      <c r="W25" s="87"/>
      <c r="X25" s="87"/>
      <c r="Y25" s="87"/>
      <c r="Z25" s="87"/>
      <c r="AA25" s="87"/>
      <c r="AB25" s="87"/>
      <c r="AC25" s="87"/>
      <c r="AD25" s="87"/>
      <c r="AE25" s="87"/>
      <c r="AF25" s="87"/>
      <c r="AG25" s="87"/>
    </row>
    <row r="26" spans="3:33" ht="4.5" customHeight="1">
      <c r="C26" s="1110"/>
      <c r="D26" s="1110"/>
      <c r="E26" s="1110"/>
      <c r="F26" s="1110"/>
      <c r="G26" s="1110"/>
      <c r="H26" s="1111"/>
      <c r="I26" s="1111"/>
      <c r="J26" s="1111"/>
      <c r="K26" s="117"/>
      <c r="L26" s="87"/>
      <c r="M26" s="87"/>
      <c r="N26" s="419"/>
      <c r="O26" s="419"/>
      <c r="P26" s="293"/>
      <c r="Q26" s="293"/>
      <c r="R26" s="293"/>
      <c r="U26" s="87"/>
      <c r="V26" s="87"/>
      <c r="W26" s="87"/>
      <c r="X26" s="87"/>
      <c r="Y26" s="87"/>
      <c r="Z26" s="87"/>
      <c r="AA26" s="87"/>
      <c r="AB26" s="87"/>
      <c r="AC26" s="87"/>
      <c r="AD26" s="87"/>
      <c r="AE26" s="87"/>
      <c r="AF26" s="87"/>
      <c r="AG26" s="87"/>
    </row>
    <row r="27" spans="3:33" s="290" customFormat="1" ht="15" customHeight="1">
      <c r="C27" s="854" t="str">
        <f>IF(Indice_index!$Z$1=1,"Receita Efectiva","Effective revenue")</f>
        <v>Effective revenue</v>
      </c>
      <c r="D27" s="854">
        <f>+D8+D24</f>
        <v>10366.37250845</v>
      </c>
      <c r="E27" s="854">
        <f>+E8+E24</f>
        <v>10352.569979999998</v>
      </c>
      <c r="F27" s="854">
        <f>+F8+F24</f>
        <v>9536.2408686600011</v>
      </c>
      <c r="G27" s="854">
        <f>+G8+G24</f>
        <v>9821.2079319599998</v>
      </c>
      <c r="H27" s="1117">
        <f>IFERROR(IF(G27/E27*100&lt;-500,"-",IF(G27/E27*100&gt;500,"-",G27/E27*100)),"-")</f>
        <v>94.867341644958401</v>
      </c>
      <c r="I27" s="1117">
        <f t="shared" ref="I27:I45" si="10">IF(F27=0,"-",(G27-F27)/F27*100)</f>
        <v>2.9882536234641193</v>
      </c>
      <c r="J27" s="1117"/>
      <c r="L27" s="293"/>
      <c r="M27" s="293"/>
      <c r="N27" s="419"/>
      <c r="O27" s="419"/>
      <c r="P27" s="293"/>
      <c r="Q27" s="293"/>
      <c r="R27" s="293"/>
      <c r="U27" s="293"/>
      <c r="V27" s="293"/>
      <c r="W27" s="293"/>
      <c r="X27" s="293"/>
      <c r="Y27" s="293"/>
      <c r="Z27" s="293"/>
      <c r="AA27" s="293"/>
      <c r="AB27" s="293"/>
      <c r="AC27" s="293"/>
      <c r="AD27" s="293"/>
      <c r="AE27" s="293"/>
      <c r="AF27" s="293"/>
      <c r="AG27" s="293"/>
    </row>
    <row r="28" spans="3:33" ht="4.5" customHeight="1">
      <c r="C28" s="1118"/>
      <c r="D28" s="1110"/>
      <c r="E28" s="1110"/>
      <c r="F28" s="1110"/>
      <c r="G28" s="1110"/>
      <c r="H28" s="1111"/>
      <c r="I28" s="1111"/>
      <c r="J28" s="1111"/>
      <c r="K28" s="117"/>
      <c r="L28" s="87"/>
      <c r="M28" s="87"/>
      <c r="N28" s="419"/>
      <c r="O28" s="419"/>
      <c r="P28" s="293"/>
      <c r="Q28" s="293"/>
      <c r="R28" s="293"/>
      <c r="U28" s="87"/>
      <c r="V28" s="87"/>
      <c r="W28" s="87"/>
      <c r="X28" s="87"/>
      <c r="Y28" s="87"/>
      <c r="Z28" s="87"/>
      <c r="AA28" s="87"/>
      <c r="AB28" s="87"/>
      <c r="AC28" s="87"/>
      <c r="AD28" s="87"/>
      <c r="AE28" s="87"/>
      <c r="AF28" s="87"/>
      <c r="AG28" s="87"/>
    </row>
    <row r="29" spans="3:33" s="290" customFormat="1" ht="15" customHeight="1">
      <c r="C29" s="1107" t="str">
        <f>IF(Indice_index!$Z$1=1,"Despesa Corrente","Current expenditure")</f>
        <v>Current expenditure</v>
      </c>
      <c r="D29" s="1107">
        <f t="shared" ref="D29:E29" si="11">+D30+D34+D35+D36+D42</f>
        <v>10285.655430229999</v>
      </c>
      <c r="E29" s="1107">
        <f t="shared" si="11"/>
        <v>10443.5705</v>
      </c>
      <c r="F29" s="1107">
        <f t="shared" ref="F29:G29" si="12">+F30+F34+F35+F36+F42</f>
        <v>9403.2135156600016</v>
      </c>
      <c r="G29" s="1107">
        <f t="shared" si="12"/>
        <v>9913.1752321900021</v>
      </c>
      <c r="H29" s="1108">
        <f t="shared" ref="H29:H45" si="13">IFERROR(IF(G29/E29*100&lt;-500,"-",IF(G29/E29*100&gt;500,"-",G29/E29*100)),"-")</f>
        <v>94.921322474818382</v>
      </c>
      <c r="I29" s="1108">
        <f t="shared" ref="I29:I43" si="14">IF(IFERROR((G29-F29)/F29*100,"")&gt;500,"-",IFERROR((G29-F29)/F29*100,""))</f>
        <v>5.4232706263738057</v>
      </c>
      <c r="J29" s="1108">
        <f>IFERROR((G29-F29)/$F$45*100,"-")</f>
        <v>5.4232706263738057</v>
      </c>
      <c r="L29" s="293"/>
      <c r="M29" s="293"/>
      <c r="N29" s="419"/>
      <c r="O29" s="419"/>
      <c r="P29" s="293"/>
      <c r="Q29" s="293"/>
      <c r="R29" s="293"/>
      <c r="U29" s="293"/>
      <c r="V29" s="293"/>
      <c r="W29" s="293"/>
      <c r="X29" s="293"/>
      <c r="Y29" s="293"/>
      <c r="Z29" s="293"/>
      <c r="AA29" s="293"/>
      <c r="AB29" s="293"/>
      <c r="AC29" s="293"/>
      <c r="AD29" s="293"/>
      <c r="AE29" s="293"/>
      <c r="AF29" s="293"/>
      <c r="AG29" s="293"/>
    </row>
    <row r="30" spans="3:33" ht="15" customHeight="1">
      <c r="C30" s="1109" t="str">
        <f>IF(Indice_index!$Z$1=1,"Despesas com o pessoal","Employees")</f>
        <v>Employees</v>
      </c>
      <c r="D30" s="1110">
        <f t="shared" ref="D30:E30" si="15">+D31+D32+D33</f>
        <v>7.6524922199999992</v>
      </c>
      <c r="E30" s="1110">
        <f t="shared" si="15"/>
        <v>8.0451999999999995</v>
      </c>
      <c r="F30" s="1110">
        <f t="shared" ref="F30:G30" si="16">+F31+F32+F33</f>
        <v>6.0165544400000002</v>
      </c>
      <c r="G30" s="1110">
        <f t="shared" si="16"/>
        <v>6.9158366900000008</v>
      </c>
      <c r="H30" s="1111">
        <f t="shared" si="13"/>
        <v>85.962271789389959</v>
      </c>
      <c r="I30" s="1111">
        <f t="shared" si="14"/>
        <v>14.946798187701607</v>
      </c>
      <c r="J30" s="1111">
        <f t="shared" ref="J30:J43" si="17">IFERROR((G30-F30)/$F$45*100,"-")</f>
        <v>9.563563014945332E-3</v>
      </c>
      <c r="K30" s="117"/>
      <c r="L30" s="87"/>
      <c r="M30" s="87"/>
      <c r="N30" s="419"/>
      <c r="O30" s="419"/>
      <c r="P30" s="293"/>
      <c r="Q30" s="293"/>
      <c r="R30" s="293"/>
      <c r="U30" s="87"/>
      <c r="V30" s="87"/>
      <c r="W30" s="87"/>
      <c r="X30" s="87"/>
      <c r="Y30" s="87"/>
      <c r="Z30" s="87"/>
      <c r="AA30" s="87"/>
      <c r="AB30" s="87"/>
      <c r="AC30" s="87"/>
      <c r="AD30" s="87"/>
      <c r="AE30" s="87"/>
      <c r="AF30" s="87"/>
      <c r="AG30" s="87"/>
    </row>
    <row r="31" spans="3:33" ht="15" customHeight="1">
      <c r="C31" s="1112" t="str">
        <f>IF(Indice_index!$Z$1=1,"Remunerações Certas e Permanentes","Certain and permanent wages")</f>
        <v>Certain and permanent wages</v>
      </c>
      <c r="D31" s="1110">
        <v>7.8590489999999985E-2</v>
      </c>
      <c r="E31" s="1110">
        <v>0.11119999999999999</v>
      </c>
      <c r="F31" s="1110">
        <v>7.2041300000000003E-2</v>
      </c>
      <c r="G31" s="1110">
        <v>1.1158700000000001E-2</v>
      </c>
      <c r="H31" s="1111">
        <f t="shared" si="13"/>
        <v>10.034802158273383</v>
      </c>
      <c r="I31" s="1111">
        <f t="shared" si="14"/>
        <v>-84.510690395648041</v>
      </c>
      <c r="J31" s="1111">
        <f t="shared" si="17"/>
        <v>-6.4746588917296026E-4</v>
      </c>
      <c r="K31" s="117"/>
      <c r="L31" s="87"/>
      <c r="M31" s="87"/>
      <c r="N31" s="419"/>
      <c r="O31" s="419"/>
      <c r="P31" s="293"/>
      <c r="Q31" s="293"/>
      <c r="R31" s="293"/>
      <c r="U31" s="87"/>
      <c r="V31" s="87"/>
      <c r="W31" s="87"/>
      <c r="X31" s="87"/>
      <c r="Y31" s="87"/>
      <c r="Z31" s="87"/>
      <c r="AA31" s="87"/>
      <c r="AB31" s="87"/>
      <c r="AC31" s="87"/>
      <c r="AD31" s="87"/>
      <c r="AE31" s="87"/>
      <c r="AF31" s="87"/>
      <c r="AG31" s="87"/>
    </row>
    <row r="32" spans="3:33" ht="15" customHeight="1">
      <c r="C32" s="1112" t="str">
        <f>IF(Indice_index!$Z$1=1,"Abonos Variáveis ou Eventuais","Variable or contingent bonuses")</f>
        <v>Variable or contingent bonuses</v>
      </c>
      <c r="D32" s="1110">
        <v>0</v>
      </c>
      <c r="E32" s="1110">
        <v>0</v>
      </c>
      <c r="F32" s="1110">
        <v>0</v>
      </c>
      <c r="G32" s="1110">
        <v>0</v>
      </c>
      <c r="H32" s="1111" t="str">
        <f t="shared" si="13"/>
        <v>-</v>
      </c>
      <c r="I32" s="1111" t="str">
        <f t="shared" si="14"/>
        <v>-</v>
      </c>
      <c r="J32" s="1111">
        <f t="shared" si="17"/>
        <v>0</v>
      </c>
      <c r="K32" s="117"/>
      <c r="L32" s="87"/>
      <c r="M32" s="87"/>
      <c r="N32" s="419"/>
      <c r="O32" s="419"/>
      <c r="P32" s="293"/>
      <c r="Q32" s="293"/>
      <c r="R32" s="293"/>
      <c r="U32" s="87"/>
      <c r="V32" s="87"/>
      <c r="W32" s="87"/>
      <c r="X32" s="87"/>
      <c r="Y32" s="87"/>
      <c r="Z32" s="87"/>
      <c r="AA32" s="87"/>
      <c r="AB32" s="87"/>
      <c r="AC32" s="87"/>
      <c r="AD32" s="87"/>
      <c r="AE32" s="87"/>
      <c r="AF32" s="87"/>
      <c r="AG32" s="87"/>
    </row>
    <row r="33" spans="3:33" ht="15" customHeight="1">
      <c r="C33" s="1112" t="str">
        <f>IF(Indice_index!$Z$1=1,"Segurança social","Social security")</f>
        <v>Social security</v>
      </c>
      <c r="D33" s="1110">
        <v>7.5739017299999993</v>
      </c>
      <c r="E33" s="1110">
        <v>7.9340000000000002</v>
      </c>
      <c r="F33" s="1110">
        <v>5.9445131399999998</v>
      </c>
      <c r="G33" s="1110">
        <v>6.9046779900000006</v>
      </c>
      <c r="H33" s="1111">
        <f t="shared" si="13"/>
        <v>87.02644302999748</v>
      </c>
      <c r="I33" s="1111">
        <f t="shared" si="14"/>
        <v>16.152119229733941</v>
      </c>
      <c r="J33" s="1111">
        <f t="shared" si="17"/>
        <v>1.0211028904118295E-2</v>
      </c>
      <c r="K33" s="117"/>
      <c r="L33" s="87"/>
      <c r="M33" s="87"/>
      <c r="N33" s="419"/>
      <c r="O33" s="419"/>
      <c r="P33" s="293"/>
      <c r="Q33" s="293"/>
      <c r="R33" s="293"/>
      <c r="U33" s="87"/>
      <c r="V33" s="87"/>
      <c r="W33" s="87"/>
      <c r="X33" s="87"/>
      <c r="Y33" s="87"/>
      <c r="Z33" s="87"/>
      <c r="AA33" s="87"/>
      <c r="AB33" s="87"/>
      <c r="AC33" s="87"/>
      <c r="AD33" s="87"/>
      <c r="AE33" s="87"/>
      <c r="AF33" s="87"/>
      <c r="AG33" s="87"/>
    </row>
    <row r="34" spans="3:33" ht="15" customHeight="1">
      <c r="C34" s="1109" t="str">
        <f>IF(Indice_index!$Z$1=1,"Aquisição de bens e serviços","Purchase of goods and services")</f>
        <v>Purchase of goods and services</v>
      </c>
      <c r="D34" s="1110">
        <v>21.20756514</v>
      </c>
      <c r="E34" s="1110">
        <v>33.057099999999998</v>
      </c>
      <c r="F34" s="1110">
        <v>18.048473229999999</v>
      </c>
      <c r="G34" s="1110">
        <v>17.718745990000002</v>
      </c>
      <c r="H34" s="1111">
        <f t="shared" si="13"/>
        <v>53.600424689401073</v>
      </c>
      <c r="I34" s="1111">
        <f t="shared" si="14"/>
        <v>-1.8268982411871126</v>
      </c>
      <c r="J34" s="1111">
        <f t="shared" si="17"/>
        <v>-3.5065378389087199E-3</v>
      </c>
      <c r="K34" s="117"/>
      <c r="L34" s="87"/>
      <c r="M34" s="87"/>
      <c r="N34" s="419"/>
      <c r="O34" s="419"/>
      <c r="P34" s="293"/>
      <c r="Q34" s="293"/>
      <c r="R34" s="293"/>
      <c r="U34" s="87"/>
      <c r="V34" s="87"/>
      <c r="W34" s="87"/>
      <c r="X34" s="87"/>
      <c r="Y34" s="87"/>
      <c r="Z34" s="87"/>
      <c r="AA34" s="87"/>
      <c r="AB34" s="87"/>
      <c r="AC34" s="87"/>
      <c r="AD34" s="87"/>
      <c r="AE34" s="87"/>
      <c r="AF34" s="87"/>
      <c r="AG34" s="87"/>
    </row>
    <row r="35" spans="3:33" ht="15" customHeight="1">
      <c r="C35" s="1109" t="str">
        <f>IF(Indice_index!$Z$1=1,"Juros e outros encargos","Interests and other charges")</f>
        <v>Interests and other charges</v>
      </c>
      <c r="D35" s="1110">
        <v>0.47930070000000002</v>
      </c>
      <c r="E35" s="1110">
        <v>2.2999999999999998</v>
      </c>
      <c r="F35" s="1110">
        <v>0.43841909000000001</v>
      </c>
      <c r="G35" s="1110">
        <v>0.40020644999999999</v>
      </c>
      <c r="H35" s="1111">
        <f t="shared" si="13"/>
        <v>17.400280434782609</v>
      </c>
      <c r="I35" s="1111">
        <f t="shared" si="14"/>
        <v>-8.7160073253197119</v>
      </c>
      <c r="J35" s="1111">
        <f t="shared" si="17"/>
        <v>-4.0637852087864576E-4</v>
      </c>
      <c r="K35" s="117"/>
      <c r="L35" s="87"/>
      <c r="M35" s="87"/>
      <c r="N35" s="419"/>
      <c r="O35" s="419"/>
      <c r="P35" s="293"/>
      <c r="Q35" s="293"/>
      <c r="R35" s="293"/>
      <c r="U35" s="87"/>
      <c r="V35" s="87"/>
      <c r="W35" s="87"/>
      <c r="X35" s="87"/>
      <c r="Y35" s="87"/>
      <c r="Z35" s="87"/>
      <c r="AA35" s="87"/>
      <c r="AB35" s="87"/>
      <c r="AC35" s="87"/>
      <c r="AD35" s="87"/>
      <c r="AE35" s="87"/>
      <c r="AF35" s="87"/>
      <c r="AG35" s="87"/>
    </row>
    <row r="36" spans="3:33" ht="15" customHeight="1">
      <c r="C36" s="1109" t="str">
        <f>IF(Indice_index!$Z$1=1,"Transferências","Transfers")</f>
        <v>Transfers</v>
      </c>
      <c r="D36" s="1110">
        <f t="shared" ref="D36:E36" si="18">+D38+D39+D40+D41</f>
        <v>10253.553413249998</v>
      </c>
      <c r="E36" s="1110">
        <f t="shared" si="18"/>
        <v>10396.468199999999</v>
      </c>
      <c r="F36" s="1110">
        <f t="shared" ref="F36:G36" si="19">+F38+F39+F40+F41</f>
        <v>9376.1513563500012</v>
      </c>
      <c r="G36" s="1110">
        <f t="shared" si="19"/>
        <v>9886.4990754200007</v>
      </c>
      <c r="H36" s="1111">
        <f t="shared" si="13"/>
        <v>95.094784933021799</v>
      </c>
      <c r="I36" s="1111">
        <f t="shared" si="14"/>
        <v>5.4430405362896197</v>
      </c>
      <c r="J36" s="1111">
        <f t="shared" si="17"/>
        <v>5.4273756330223968</v>
      </c>
      <c r="K36" s="117"/>
      <c r="L36" s="87"/>
      <c r="M36" s="87"/>
      <c r="N36" s="419"/>
      <c r="O36" s="419"/>
      <c r="P36" s="293"/>
      <c r="Q36" s="293"/>
      <c r="R36" s="293"/>
      <c r="U36" s="87"/>
      <c r="V36" s="87"/>
      <c r="W36" s="87"/>
      <c r="X36" s="87"/>
      <c r="Y36" s="87"/>
      <c r="Z36" s="87"/>
      <c r="AA36" s="87"/>
      <c r="AB36" s="87"/>
      <c r="AC36" s="87"/>
      <c r="AD36" s="87"/>
      <c r="AE36" s="87"/>
      <c r="AF36" s="87"/>
      <c r="AG36" s="87"/>
    </row>
    <row r="37" spans="3:33" ht="15" customHeight="1">
      <c r="C37" s="1112" t="str">
        <f>IF(Indice_index!$Z$1=1,"Pensões e abonos da responsabilidade de:","Liability for pensions and allowances from:")</f>
        <v>Liability for pensions and allowances from:</v>
      </c>
      <c r="D37" s="1110"/>
      <c r="E37" s="1110"/>
      <c r="F37" s="1110"/>
      <c r="G37" s="1110"/>
      <c r="H37" s="1111"/>
      <c r="I37" s="1111"/>
      <c r="J37" s="1111">
        <f t="shared" si="17"/>
        <v>0</v>
      </c>
      <c r="K37" s="117"/>
      <c r="L37" s="87"/>
      <c r="M37" s="87"/>
      <c r="N37" s="419"/>
      <c r="O37" s="419"/>
      <c r="P37" s="293"/>
      <c r="Q37" s="293"/>
      <c r="R37" s="293"/>
      <c r="U37" s="87"/>
      <c r="V37" s="87"/>
      <c r="W37" s="87"/>
      <c r="X37" s="87"/>
      <c r="Y37" s="87"/>
      <c r="Z37" s="87"/>
      <c r="AA37" s="87"/>
      <c r="AB37" s="87"/>
      <c r="AC37" s="87"/>
      <c r="AD37" s="87"/>
      <c r="AE37" s="87"/>
      <c r="AF37" s="87"/>
      <c r="AG37" s="87"/>
    </row>
    <row r="38" spans="3:33" ht="15" customHeight="1">
      <c r="C38" s="1115" t="str">
        <f>IF(Indice_index!$Z$1=1,"Caixa Geral de Aposentações","Public Servants Social Scheme")</f>
        <v>Public Servants Social Scheme</v>
      </c>
      <c r="D38" s="1110">
        <v>9004.9276782299985</v>
      </c>
      <c r="E38" s="1110">
        <v>9120.4658999999992</v>
      </c>
      <c r="F38" s="1110">
        <v>8240.3329701499988</v>
      </c>
      <c r="G38" s="1110">
        <v>8370.6852316000004</v>
      </c>
      <c r="H38" s="1111">
        <f t="shared" si="13"/>
        <v>91.779140708151772</v>
      </c>
      <c r="I38" s="1111">
        <f t="shared" si="14"/>
        <v>1.5818809982823887</v>
      </c>
      <c r="J38" s="1111">
        <f t="shared" si="17"/>
        <v>1.386252276765964</v>
      </c>
      <c r="K38" s="117"/>
      <c r="L38" s="87"/>
      <c r="M38" s="87"/>
      <c r="N38" s="419"/>
      <c r="O38" s="419"/>
      <c r="P38" s="293"/>
      <c r="Q38" s="293"/>
      <c r="R38" s="293"/>
      <c r="U38" s="87"/>
      <c r="V38" s="87"/>
      <c r="W38" s="87"/>
      <c r="X38" s="87"/>
      <c r="Y38" s="87"/>
      <c r="Z38" s="87"/>
      <c r="AA38" s="87"/>
      <c r="AB38" s="87"/>
      <c r="AC38" s="87"/>
      <c r="AD38" s="87"/>
      <c r="AE38" s="87"/>
      <c r="AF38" s="87"/>
      <c r="AG38" s="87"/>
    </row>
    <row r="39" spans="3:33" ht="15" customHeight="1">
      <c r="C39" s="1115" t="str">
        <f>IF(Indice_index!$Z$1=1,"Orçamento do Estado","State Budget")</f>
        <v>State Budget</v>
      </c>
      <c r="D39" s="1110">
        <v>396.60070667000002</v>
      </c>
      <c r="E39" s="1110">
        <v>411.79729999999995</v>
      </c>
      <c r="F39" s="1110">
        <v>365.86130263000001</v>
      </c>
      <c r="G39" s="1110">
        <v>725.15210722999996</v>
      </c>
      <c r="H39" s="1111">
        <f t="shared" si="13"/>
        <v>176.09442976678088</v>
      </c>
      <c r="I39" s="1111">
        <f t="shared" si="14"/>
        <v>98.204101395045626</v>
      </c>
      <c r="J39" s="1111">
        <f t="shared" si="17"/>
        <v>3.8209363639530385</v>
      </c>
      <c r="K39" s="117"/>
      <c r="L39" s="87"/>
      <c r="M39" s="87"/>
      <c r="N39" s="419"/>
      <c r="O39" s="419"/>
      <c r="P39" s="293"/>
      <c r="Q39" s="293"/>
      <c r="R39" s="293"/>
      <c r="U39" s="87"/>
      <c r="V39" s="87"/>
      <c r="W39" s="87"/>
      <c r="X39" s="87"/>
      <c r="Y39" s="87"/>
      <c r="Z39" s="87"/>
      <c r="AA39" s="87"/>
      <c r="AB39" s="87"/>
      <c r="AC39" s="87"/>
      <c r="AD39" s="87"/>
      <c r="AE39" s="87"/>
      <c r="AF39" s="87"/>
      <c r="AG39" s="87"/>
    </row>
    <row r="40" spans="3:33" ht="15" customHeight="1">
      <c r="C40" s="1115" t="str">
        <f>IF(Indice_index!$Z$1=1,"Outras entidades","Other entities")</f>
        <v>Other entities</v>
      </c>
      <c r="D40" s="1110">
        <v>660.48834474</v>
      </c>
      <c r="E40" s="1110">
        <v>669.56919999999991</v>
      </c>
      <c r="F40" s="1110">
        <v>606.7559905899999</v>
      </c>
      <c r="G40" s="1110">
        <v>618.43606511000007</v>
      </c>
      <c r="H40" s="1111">
        <f t="shared" si="13"/>
        <v>92.363278524460227</v>
      </c>
      <c r="I40" s="1111">
        <f t="shared" si="14"/>
        <v>1.9250035765848237</v>
      </c>
      <c r="J40" s="1111">
        <f t="shared" si="17"/>
        <v>0.12421364781888995</v>
      </c>
      <c r="K40" s="117"/>
      <c r="L40" s="87"/>
      <c r="M40" s="87"/>
      <c r="N40" s="419"/>
      <c r="O40" s="419"/>
      <c r="P40" s="293"/>
      <c r="Q40" s="293"/>
      <c r="R40" s="293"/>
      <c r="U40" s="87"/>
      <c r="V40" s="87"/>
      <c r="W40" s="87"/>
      <c r="X40" s="87"/>
      <c r="Y40" s="87"/>
      <c r="Z40" s="87"/>
      <c r="AA40" s="87"/>
      <c r="AB40" s="87"/>
      <c r="AC40" s="87"/>
      <c r="AD40" s="87"/>
      <c r="AE40" s="87"/>
      <c r="AF40" s="87"/>
      <c r="AG40" s="87"/>
    </row>
    <row r="41" spans="3:33" ht="15" customHeight="1">
      <c r="C41" s="1112" t="str">
        <f>IF(Indice_index!$Z$1=1,"Outras transferências correntes","Other current transfers")</f>
        <v>Other current transfers</v>
      </c>
      <c r="D41" s="1110">
        <v>191.53668360999757</v>
      </c>
      <c r="E41" s="1110">
        <v>194.63580000000024</v>
      </c>
      <c r="F41" s="1119">
        <v>163.2010929800025</v>
      </c>
      <c r="G41" s="1119">
        <v>172.2256714800003</v>
      </c>
      <c r="H41" s="1111">
        <f t="shared" si="13"/>
        <v>88.486122018662599</v>
      </c>
      <c r="I41" s="1111">
        <f t="shared" si="14"/>
        <v>5.5297292041442452</v>
      </c>
      <c r="J41" s="1111">
        <f t="shared" si="17"/>
        <v>9.5973344484503884E-2</v>
      </c>
      <c r="K41" s="117"/>
      <c r="L41" s="87"/>
      <c r="M41" s="87"/>
      <c r="N41" s="419"/>
      <c r="O41" s="419"/>
      <c r="P41" s="293"/>
      <c r="Q41" s="293"/>
      <c r="R41" s="293"/>
      <c r="U41" s="87"/>
      <c r="V41" s="87"/>
      <c r="W41" s="87"/>
      <c r="X41" s="87"/>
      <c r="Y41" s="87"/>
      <c r="Z41" s="87"/>
      <c r="AA41" s="87"/>
      <c r="AB41" s="87"/>
      <c r="AC41" s="87"/>
      <c r="AD41" s="87"/>
      <c r="AE41" s="87"/>
      <c r="AF41" s="87"/>
      <c r="AG41" s="87"/>
    </row>
    <row r="42" spans="3:33" ht="15" customHeight="1">
      <c r="C42" s="1109" t="str">
        <f>IF(Indice_index!$Z$1=1,"Outras despesas correntes","Other current expenditure")</f>
        <v>Other current expenditure</v>
      </c>
      <c r="D42" s="1110">
        <v>2.7626589199999998</v>
      </c>
      <c r="E42" s="1110">
        <v>3.7</v>
      </c>
      <c r="F42" s="1110">
        <v>2.5587125499999996</v>
      </c>
      <c r="G42" s="1110">
        <v>1.6413676400000001</v>
      </c>
      <c r="H42" s="1111">
        <f t="shared" si="13"/>
        <v>44.361287567567572</v>
      </c>
      <c r="I42" s="1111">
        <f t="shared" si="14"/>
        <v>-35.851815789155353</v>
      </c>
      <c r="J42" s="1111">
        <f t="shared" si="17"/>
        <v>-9.7556533037590175E-3</v>
      </c>
      <c r="K42" s="117"/>
      <c r="L42" s="87"/>
      <c r="M42" s="87"/>
      <c r="N42" s="419"/>
      <c r="O42" s="419"/>
      <c r="P42" s="293"/>
      <c r="Q42" s="293"/>
      <c r="R42" s="293"/>
      <c r="U42" s="87"/>
      <c r="V42" s="87"/>
      <c r="W42" s="87"/>
      <c r="X42" s="87"/>
      <c r="Y42" s="87"/>
      <c r="Z42" s="87"/>
      <c r="AA42" s="87"/>
      <c r="AB42" s="87"/>
      <c r="AC42" s="87"/>
      <c r="AD42" s="87"/>
      <c r="AE42" s="87"/>
      <c r="AF42" s="87"/>
      <c r="AG42" s="87"/>
    </row>
    <row r="43" spans="3:33" s="290" customFormat="1" ht="15" customHeight="1">
      <c r="C43" s="1107" t="str">
        <f>IF(Indice_index!$Z$1=1,"Despesa de Capital","Capital expenditure")</f>
        <v>Capital expenditure</v>
      </c>
      <c r="D43" s="1107">
        <v>0</v>
      </c>
      <c r="E43" s="1107">
        <v>0</v>
      </c>
      <c r="F43" s="1107">
        <v>0</v>
      </c>
      <c r="G43" s="1107">
        <v>0</v>
      </c>
      <c r="H43" s="1108" t="str">
        <f t="shared" si="13"/>
        <v>-</v>
      </c>
      <c r="I43" s="1108" t="str">
        <f t="shared" si="14"/>
        <v>-</v>
      </c>
      <c r="J43" s="1108">
        <f t="shared" si="17"/>
        <v>0</v>
      </c>
      <c r="L43" s="293"/>
      <c r="M43" s="293"/>
      <c r="N43" s="419"/>
      <c r="O43" s="419"/>
      <c r="P43" s="293"/>
      <c r="Q43" s="293"/>
      <c r="R43" s="293"/>
      <c r="S43" s="293"/>
      <c r="T43" s="293"/>
      <c r="U43" s="293"/>
      <c r="V43" s="293"/>
      <c r="W43" s="293"/>
      <c r="X43" s="293"/>
      <c r="Y43" s="293"/>
      <c r="Z43" s="293"/>
      <c r="AA43" s="293"/>
      <c r="AB43" s="293"/>
      <c r="AC43" s="293"/>
      <c r="AD43" s="293"/>
      <c r="AE43" s="293"/>
      <c r="AF43" s="293"/>
      <c r="AG43" s="293"/>
    </row>
    <row r="44" spans="3:33" ht="4.5" customHeight="1">
      <c r="C44" s="1118"/>
      <c r="D44" s="1118"/>
      <c r="E44" s="1118"/>
      <c r="F44" s="1118"/>
      <c r="G44" s="1118"/>
      <c r="H44" s="1120"/>
      <c r="I44" s="1120"/>
      <c r="J44" s="1120"/>
      <c r="K44" s="117"/>
      <c r="L44" s="87"/>
      <c r="M44" s="87"/>
      <c r="N44" s="419"/>
      <c r="O44" s="419"/>
      <c r="P44" s="293"/>
      <c r="Q44" s="293"/>
      <c r="R44" s="293"/>
      <c r="U44" s="87"/>
      <c r="V44" s="87"/>
      <c r="W44" s="87"/>
      <c r="X44" s="87"/>
      <c r="Y44" s="87"/>
      <c r="Z44" s="87"/>
      <c r="AA44" s="87"/>
      <c r="AB44" s="87"/>
      <c r="AC44" s="87"/>
      <c r="AD44" s="87"/>
      <c r="AE44" s="87"/>
      <c r="AF44" s="87"/>
      <c r="AG44" s="87"/>
    </row>
    <row r="45" spans="3:33" s="290" customFormat="1" ht="15" customHeight="1">
      <c r="C45" s="854" t="str">
        <f>IF(Indice_index!$Z$1=1,"Despesa efectiva","Effective expenditure")</f>
        <v>Effective expenditure</v>
      </c>
      <c r="D45" s="854">
        <f t="shared" ref="D45:E45" si="20">+D29+D43</f>
        <v>10285.655430229999</v>
      </c>
      <c r="E45" s="854">
        <f t="shared" si="20"/>
        <v>10443.5705</v>
      </c>
      <c r="F45" s="854">
        <f t="shared" ref="F45:G45" si="21">+F29+F43</f>
        <v>9403.2135156600016</v>
      </c>
      <c r="G45" s="854">
        <f t="shared" si="21"/>
        <v>9913.1752321900021</v>
      </c>
      <c r="H45" s="1117">
        <f t="shared" si="13"/>
        <v>94.921322474818382</v>
      </c>
      <c r="I45" s="1117">
        <f t="shared" si="10"/>
        <v>5.4232706263738057</v>
      </c>
      <c r="J45" s="1117"/>
      <c r="L45" s="293"/>
      <c r="M45" s="293"/>
      <c r="N45" s="419"/>
      <c r="O45" s="419"/>
      <c r="P45" s="293"/>
      <c r="Q45" s="293"/>
      <c r="R45" s="293"/>
      <c r="U45" s="293"/>
      <c r="V45" s="293"/>
      <c r="W45" s="293"/>
      <c r="X45" s="293"/>
      <c r="Y45" s="293"/>
      <c r="Z45" s="293"/>
      <c r="AA45" s="293"/>
      <c r="AB45" s="293"/>
      <c r="AC45" s="293"/>
      <c r="AD45" s="293"/>
      <c r="AE45" s="293"/>
      <c r="AF45" s="293"/>
      <c r="AG45" s="293"/>
    </row>
    <row r="46" spans="3:33" ht="4.5" customHeight="1">
      <c r="C46" s="1110"/>
      <c r="D46" s="1110"/>
      <c r="E46" s="1110"/>
      <c r="F46" s="1110"/>
      <c r="G46" s="1110"/>
      <c r="H46" s="1110"/>
      <c r="I46" s="1110"/>
      <c r="J46" s="1110"/>
      <c r="K46" s="117"/>
      <c r="L46" s="87"/>
      <c r="M46" s="87"/>
      <c r="N46" s="419"/>
      <c r="O46" s="419"/>
      <c r="P46" s="293"/>
      <c r="Q46" s="293"/>
      <c r="R46" s="293"/>
      <c r="U46" s="87"/>
      <c r="V46" s="87"/>
      <c r="W46" s="87"/>
      <c r="X46" s="87"/>
      <c r="Y46" s="87"/>
      <c r="Z46" s="87"/>
      <c r="AA46" s="87"/>
      <c r="AB46" s="87"/>
      <c r="AC46" s="87"/>
      <c r="AD46" s="87"/>
      <c r="AE46" s="87"/>
      <c r="AF46" s="87"/>
      <c r="AG46" s="87"/>
    </row>
    <row r="47" spans="3:33" s="290" customFormat="1" ht="15" customHeight="1">
      <c r="C47" s="854" t="str">
        <f>IF(Indice_index!$Z$1=1,"Saldo global","Overall balance")</f>
        <v>Overall balance</v>
      </c>
      <c r="D47" s="854">
        <f t="shared" ref="D47:E47" si="22">+D27-D45</f>
        <v>80.717078220000985</v>
      </c>
      <c r="E47" s="854">
        <f t="shared" si="22"/>
        <v>-91.000520000001416</v>
      </c>
      <c r="F47" s="854">
        <f t="shared" ref="F47:G47" si="23">+F27-F45</f>
        <v>133.02735299999949</v>
      </c>
      <c r="G47" s="854">
        <f t="shared" si="23"/>
        <v>-91.967300230002365</v>
      </c>
      <c r="H47" s="854"/>
      <c r="I47" s="854"/>
      <c r="J47" s="1121"/>
      <c r="L47" s="293"/>
      <c r="M47" s="293"/>
      <c r="N47" s="419"/>
      <c r="O47" s="419"/>
      <c r="P47" s="293"/>
      <c r="Q47" s="293"/>
      <c r="R47" s="293"/>
      <c r="U47" s="293"/>
      <c r="V47" s="293"/>
      <c r="W47" s="293"/>
      <c r="X47" s="293"/>
      <c r="Y47" s="293"/>
      <c r="Z47" s="293"/>
      <c r="AA47" s="293"/>
      <c r="AB47" s="293"/>
      <c r="AC47" s="293"/>
      <c r="AD47" s="293"/>
      <c r="AE47" s="293"/>
      <c r="AF47" s="293"/>
      <c r="AG47" s="293"/>
    </row>
    <row r="48" spans="3:33" ht="4.5" customHeight="1">
      <c r="C48" s="1122"/>
      <c r="D48" s="1105"/>
      <c r="E48" s="1105"/>
      <c r="F48" s="1105"/>
      <c r="G48" s="1105"/>
      <c r="H48" s="1123"/>
      <c r="I48" s="1123"/>
      <c r="J48" s="1123"/>
      <c r="K48" s="117"/>
      <c r="L48" s="87"/>
      <c r="M48" s="87"/>
      <c r="N48" s="419"/>
      <c r="O48" s="419"/>
      <c r="P48" s="293"/>
      <c r="Q48" s="293"/>
      <c r="R48" s="293"/>
      <c r="U48" s="87"/>
      <c r="V48" s="87"/>
      <c r="W48" s="87"/>
      <c r="X48" s="87"/>
      <c r="Y48" s="87"/>
      <c r="Z48" s="87"/>
      <c r="AA48" s="87"/>
      <c r="AB48" s="87"/>
      <c r="AC48" s="87"/>
      <c r="AD48" s="87"/>
      <c r="AE48" s="87"/>
      <c r="AF48" s="87"/>
      <c r="AG48" s="87"/>
    </row>
    <row r="49" spans="3:33" ht="15" customHeight="1">
      <c r="C49" s="1110" t="str">
        <f>IF(Indice_index!$Z$1=1,"Ativos financeiros líquidos de reembolsos","Financial assets net of reimbursements")</f>
        <v>Financial assets net of reimbursements</v>
      </c>
      <c r="D49" s="1110">
        <v>217.27286289000006</v>
      </c>
      <c r="E49" s="1110">
        <v>-91.000519999999995</v>
      </c>
      <c r="F49" s="1110">
        <v>-141.90424376000001</v>
      </c>
      <c r="G49" s="1110">
        <v>-496.71270031000006</v>
      </c>
      <c r="H49" s="1111"/>
      <c r="I49" s="1111"/>
      <c r="J49" s="1124"/>
      <c r="K49" s="117"/>
      <c r="L49" s="87"/>
      <c r="M49" s="87"/>
      <c r="N49" s="419"/>
      <c r="O49" s="419"/>
      <c r="P49" s="293"/>
      <c r="Q49" s="293"/>
      <c r="R49" s="293"/>
      <c r="U49" s="87"/>
      <c r="V49" s="87"/>
      <c r="W49" s="87"/>
      <c r="X49" s="87"/>
      <c r="Y49" s="87"/>
      <c r="Z49" s="87"/>
      <c r="AA49" s="87"/>
      <c r="AB49" s="87"/>
      <c r="AC49" s="87"/>
      <c r="AD49" s="87"/>
      <c r="AE49" s="87"/>
      <c r="AF49" s="87"/>
      <c r="AG49" s="87"/>
    </row>
    <row r="50" spans="3:33" ht="15" customHeight="1">
      <c r="C50" s="1110" t="str">
        <f>IF(Indice_index!$Z$1=1,"Passivos financeiros líquidos de amortizações","Financial liabilities net of amortizations")</f>
        <v>Financial liabilities net of amortizations</v>
      </c>
      <c r="D50" s="1110">
        <v>0</v>
      </c>
      <c r="E50" s="1110">
        <v>0</v>
      </c>
      <c r="F50" s="1110">
        <v>0</v>
      </c>
      <c r="G50" s="1110">
        <v>0</v>
      </c>
      <c r="H50" s="1111"/>
      <c r="I50" s="1111"/>
      <c r="J50" s="1124"/>
      <c r="K50" s="117"/>
      <c r="L50" s="87"/>
      <c r="M50" s="87"/>
      <c r="N50" s="419"/>
      <c r="O50" s="419"/>
      <c r="P50" s="293"/>
      <c r="Q50" s="293"/>
      <c r="R50" s="293"/>
      <c r="U50" s="87"/>
      <c r="V50" s="87"/>
      <c r="W50" s="87"/>
      <c r="X50" s="87"/>
      <c r="Y50" s="87"/>
      <c r="Z50" s="87"/>
      <c r="AA50" s="87"/>
      <c r="AB50" s="87"/>
      <c r="AC50" s="87"/>
      <c r="AD50" s="87"/>
      <c r="AE50" s="87"/>
      <c r="AF50" s="87"/>
      <c r="AG50" s="87"/>
    </row>
    <row r="51" spans="3:33" ht="15" customHeight="1">
      <c r="C51" s="1106" t="str">
        <f>IF(Indice_index!$Z$1=1,"Poupança (+) / Utilização (-) de saldo da gerência anterior","Saving (+) / Usage (-) of balance from previous management")</f>
        <v>Saving (+) / Usage (-) of balance from previous management</v>
      </c>
      <c r="D51" s="1106">
        <f t="shared" ref="D51:E51" si="24">D47-D49+D50</f>
        <v>-136.55578466999907</v>
      </c>
      <c r="E51" s="1106">
        <f t="shared" si="24"/>
        <v>-1.4210854715202004E-12</v>
      </c>
      <c r="F51" s="1106">
        <f t="shared" ref="F51:G51" si="25">F47-F49+F50</f>
        <v>274.93159675999948</v>
      </c>
      <c r="G51" s="1106">
        <f t="shared" si="25"/>
        <v>404.74540007999769</v>
      </c>
      <c r="H51" s="1125"/>
      <c r="I51" s="1125"/>
      <c r="J51" s="1106"/>
      <c r="K51" s="117"/>
      <c r="L51" s="87"/>
      <c r="M51" s="87"/>
      <c r="N51" s="419"/>
      <c r="O51" s="419"/>
      <c r="P51" s="293"/>
      <c r="Q51" s="293"/>
      <c r="R51" s="293"/>
      <c r="U51" s="87"/>
      <c r="V51" s="87"/>
      <c r="W51" s="87"/>
      <c r="X51" s="87"/>
      <c r="Y51" s="87"/>
      <c r="Z51" s="87"/>
      <c r="AA51" s="87"/>
      <c r="AB51" s="87"/>
      <c r="AC51" s="87"/>
      <c r="AD51" s="87"/>
      <c r="AE51" s="87"/>
      <c r="AF51" s="87"/>
      <c r="AG51" s="87"/>
    </row>
    <row r="52" spans="3:33" ht="4.5" customHeight="1">
      <c r="C52" s="1110"/>
      <c r="D52" s="1110"/>
      <c r="E52" s="1110"/>
      <c r="F52" s="1110"/>
      <c r="G52" s="1110"/>
      <c r="H52" s="1124"/>
      <c r="I52" s="1124"/>
      <c r="J52" s="1124"/>
      <c r="K52" s="109"/>
      <c r="L52" s="87"/>
      <c r="M52" s="87"/>
      <c r="N52" s="87"/>
      <c r="O52" s="87"/>
      <c r="U52" s="87"/>
      <c r="V52" s="87"/>
      <c r="W52" s="87"/>
      <c r="X52" s="87"/>
      <c r="Y52" s="87"/>
      <c r="Z52" s="87"/>
      <c r="AA52" s="87"/>
      <c r="AB52" s="87"/>
      <c r="AC52" s="87"/>
      <c r="AD52" s="87"/>
      <c r="AE52" s="87"/>
      <c r="AF52" s="87"/>
      <c r="AG52" s="87"/>
    </row>
    <row r="53" spans="3:33" ht="15" customHeight="1">
      <c r="C53" s="839" t="str">
        <f>IF(Indice_index!$Z$1=1,"Notas:","Notes:")</f>
        <v>Notes:</v>
      </c>
      <c r="D53" s="839"/>
      <c r="E53" s="839"/>
      <c r="F53" s="1110"/>
      <c r="G53" s="1110"/>
      <c r="H53" s="1124"/>
      <c r="I53" s="1124"/>
      <c r="J53" s="1124"/>
      <c r="K53" s="109"/>
      <c r="L53" s="87"/>
      <c r="M53" s="87"/>
      <c r="N53" s="87"/>
      <c r="O53" s="87"/>
      <c r="U53" s="87"/>
      <c r="V53" s="87"/>
      <c r="W53" s="87"/>
      <c r="X53" s="87"/>
      <c r="Y53" s="87"/>
      <c r="Z53" s="87"/>
      <c r="AA53" s="87"/>
      <c r="AB53" s="87"/>
      <c r="AC53" s="87"/>
      <c r="AD53" s="87"/>
      <c r="AE53" s="87"/>
      <c r="AF53" s="87"/>
      <c r="AG53" s="87"/>
    </row>
    <row r="54" spans="3:33" s="22" customFormat="1" ht="15" customHeight="1">
      <c r="C54" s="1705" t="str">
        <f>+'5 - Conta AC + SS'!$C$64</f>
        <v>2021 cumulative execution is monthly reviewed and updated and therefore may differ from data published in 2021.</v>
      </c>
      <c r="D54" s="1705"/>
      <c r="E54" s="1705"/>
      <c r="F54" s="1705"/>
      <c r="G54" s="1705"/>
      <c r="H54" s="1705"/>
      <c r="I54" s="1705"/>
      <c r="J54" s="1705"/>
      <c r="K54" s="62"/>
      <c r="R54" s="24"/>
      <c r="S54" s="24"/>
    </row>
    <row r="55" spans="3:33" ht="4.5" customHeight="1">
      <c r="C55" s="1110"/>
      <c r="D55" s="1110"/>
      <c r="E55" s="1110"/>
      <c r="F55" s="1110"/>
      <c r="G55" s="1110"/>
      <c r="H55" s="1124"/>
      <c r="I55" s="1124"/>
      <c r="J55" s="1124"/>
      <c r="K55" s="109"/>
      <c r="L55" s="87"/>
      <c r="M55" s="87"/>
      <c r="N55" s="87"/>
      <c r="O55" s="87"/>
      <c r="U55" s="87"/>
      <c r="V55" s="87"/>
      <c r="W55" s="87"/>
      <c r="X55" s="87"/>
      <c r="Y55" s="87"/>
      <c r="Z55" s="87"/>
      <c r="AA55" s="87"/>
      <c r="AB55" s="87"/>
      <c r="AC55" s="87"/>
      <c r="AD55" s="87"/>
      <c r="AE55" s="87"/>
      <c r="AF55" s="87"/>
      <c r="AG55" s="87"/>
    </row>
    <row r="56" spans="3:33" ht="15" customHeight="1">
      <c r="C56" s="699" t="str">
        <f>IF(Indice_index!$Z$1=1,"Fonte: Direção-Geral do Orçamento","Source: Budget General Directorate")</f>
        <v>Source: Budget General Directorate</v>
      </c>
      <c r="D56" s="699"/>
      <c r="E56" s="699"/>
      <c r="G56" s="653"/>
    </row>
    <row r="59" spans="3:33">
      <c r="F59" s="87"/>
      <c r="G59" s="121"/>
    </row>
    <row r="60" spans="3:33">
      <c r="F60" s="87"/>
      <c r="G60" s="121"/>
    </row>
    <row r="61" spans="3:33">
      <c r="F61" s="87"/>
      <c r="G61" s="121"/>
    </row>
    <row r="97" spans="3:11" ht="12" customHeight="1">
      <c r="C97" s="116"/>
      <c r="D97" s="444"/>
      <c r="E97" s="650"/>
      <c r="F97" s="116"/>
      <c r="G97" s="116"/>
      <c r="H97" s="652"/>
      <c r="I97" s="116"/>
      <c r="J97" s="373"/>
      <c r="K97" s="116"/>
    </row>
  </sheetData>
  <mergeCells count="3">
    <mergeCell ref="F6:G6"/>
    <mergeCell ref="I6:J6"/>
    <mergeCell ref="C54:J54"/>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5 J6 G6 E6:F6 I7:J7 I6 D6" unlockedFormula="1"/>
    <ignoredError sqref="D7:E7 F7:G7" numberStoredAsText="1" unlockedFormula="1"/>
    <ignoredError sqref="H7" numberStoredAsText="1"/>
  </ignoredError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6">
    <pageSetUpPr fitToPage="1"/>
  </sheetPr>
  <dimension ref="B1:R114"/>
  <sheetViews>
    <sheetView showGridLines="0" zoomScaleNormal="100" zoomScaleSheetLayoutView="100" workbookViewId="0">
      <selection activeCell="B2" sqref="B2"/>
    </sheetView>
  </sheetViews>
  <sheetFormatPr defaultColWidth="9.1796875" defaultRowHeight="10.5"/>
  <cols>
    <col min="1" max="1" width="2.1796875" style="123" customWidth="1"/>
    <col min="2" max="2" width="4.453125" style="123" customWidth="1"/>
    <col min="3" max="3" width="63.453125" style="123" customWidth="1"/>
    <col min="4" max="5" width="9.453125" style="123" customWidth="1"/>
    <col min="6" max="7" width="9.453125" style="124" customWidth="1"/>
    <col min="8" max="9" width="9.453125" style="123" customWidth="1"/>
    <col min="10" max="10" width="8.54296875" style="123" customWidth="1"/>
    <col min="11" max="11" width="14.453125" style="123" bestFit="1" customWidth="1"/>
    <col min="12" max="12" width="11.54296875" style="123" customWidth="1"/>
    <col min="13" max="15" width="8.54296875" style="123" customWidth="1"/>
    <col min="16" max="16384" width="9.1796875" style="123"/>
  </cols>
  <sheetData>
    <row r="1" spans="2:15" s="50" customFormat="1" ht="15" customHeight="1">
      <c r="B1" s="49"/>
      <c r="C1" s="49"/>
      <c r="D1" s="49"/>
      <c r="E1" s="49"/>
      <c r="F1" s="122"/>
    </row>
    <row r="2" spans="2:15" ht="24" customHeight="1">
      <c r="B2" s="8"/>
      <c r="C2" s="51" t="str">
        <f>IF(Indice_index!$Z$1=1,"12 - Execução Orçamental da Segurança Social","12 - Social Security Budget Execution")</f>
        <v>12 - Social Security Budget Execution</v>
      </c>
      <c r="D2" s="51"/>
      <c r="E2" s="51"/>
      <c r="F2" s="51"/>
      <c r="G2" s="51"/>
      <c r="H2" s="51"/>
      <c r="I2" s="51"/>
    </row>
    <row r="3" spans="2:15" ht="15" customHeight="1">
      <c r="H3" s="125"/>
      <c r="I3" s="125"/>
      <c r="K3" s="670"/>
    </row>
    <row r="4" spans="2:15" ht="15" customHeight="1">
      <c r="H4" s="125"/>
      <c r="I4" s="125"/>
      <c r="J4" s="126"/>
    </row>
    <row r="5" spans="2:15" s="294" customFormat="1" ht="15" customHeight="1">
      <c r="C5" s="696" t="str">
        <f>+'5 - Conta AC + SS'!C5</f>
        <v>Period: January to November</v>
      </c>
      <c r="D5" s="696"/>
      <c r="E5" s="696"/>
      <c r="F5" s="926"/>
      <c r="G5" s="926"/>
      <c r="I5" s="927" t="str">
        <f>IF(Indice_index!$Z$1=1,"€ Milhões","€ Millions")</f>
        <v>€ Millions</v>
      </c>
      <c r="K5" s="925"/>
    </row>
    <row r="6" spans="2:15" s="127" customFormat="1" ht="26.25" customHeight="1">
      <c r="C6" s="928"/>
      <c r="D6" s="813" t="str">
        <f>IF(Indice_index!$Z$1=1,"CGE","Final execution")</f>
        <v>Final execution</v>
      </c>
      <c r="E6" s="813" t="str">
        <f>IF(Indice_index!$Z$1=1,"Orçamento Inicial","Budget")</f>
        <v>Budget</v>
      </c>
      <c r="F6" s="1706" t="str">
        <f>IF(Indice_index!$Z$1=1,"Execução Acumulada","Accumulated Execution")</f>
        <v>Accumulated Execution</v>
      </c>
      <c r="G6" s="1706"/>
      <c r="H6" s="1707" t="str">
        <f>IF(Indice_index!$Z$1=1,"Variação Homóloga Acumulada","YOY Change Rate")</f>
        <v>YOY Change Rate</v>
      </c>
      <c r="I6" s="1708"/>
      <c r="K6" s="571"/>
    </row>
    <row r="7" spans="2:15" ht="33" customHeight="1">
      <c r="C7" s="929"/>
      <c r="D7" s="815" t="s">
        <v>67</v>
      </c>
      <c r="E7" s="815" t="s">
        <v>73</v>
      </c>
      <c r="F7" s="816" t="s">
        <v>67</v>
      </c>
      <c r="G7" s="816" t="s">
        <v>73</v>
      </c>
      <c r="H7" s="818" t="str">
        <f>IF(Indice_index!$Z$1=1,"Relativa (%)","Relative change (%)")</f>
        <v>Relative change (%)</v>
      </c>
      <c r="I7" s="819" t="str">
        <f>IF(Indice_index!$Z$1=1,"Contributo VHA (p.p.)","YOY Change Rate Contrib. (p.p.)")</f>
        <v>YOY Change Rate Contrib. (p.p.)</v>
      </c>
      <c r="K7" s="670"/>
    </row>
    <row r="8" spans="2:15" ht="4.5" customHeight="1">
      <c r="C8" s="466"/>
      <c r="D8" s="466"/>
      <c r="E8" s="466"/>
      <c r="F8" s="56"/>
      <c r="G8" s="56"/>
      <c r="H8" s="466"/>
      <c r="I8" s="56"/>
      <c r="K8" s="96"/>
    </row>
    <row r="9" spans="2:15" s="295" customFormat="1" ht="15" customHeight="1">
      <c r="C9" s="930" t="str">
        <f>IF(Indice_index!$Z$1=1,"Receita corrente","Current revenue")</f>
        <v>Current revenue</v>
      </c>
      <c r="D9" s="931">
        <f t="shared" ref="D9:E9" si="0">+SUM(D10:D12)+SUM(D23:D27)</f>
        <v>33565.62642660999</v>
      </c>
      <c r="E9" s="931">
        <f t="shared" si="0"/>
        <v>33601.611486000002</v>
      </c>
      <c r="F9" s="931">
        <f t="shared" ref="F9:G9" si="1">+SUM(F10:F12)+SUM(F23:F27)</f>
        <v>28684.316076869996</v>
      </c>
      <c r="G9" s="931">
        <f t="shared" si="1"/>
        <v>31189.186667010003</v>
      </c>
      <c r="H9" s="932">
        <f>IF(IFERROR((G9-F9)/F9*100,"")&gt;500,"-",IFERROR((G9-F9)/F9*100,""))</f>
        <v>8.7325442357673779</v>
      </c>
      <c r="I9" s="932">
        <f>IFERROR((G9-F9)/$F$32*100,"-")</f>
        <v>8.7323761479911646</v>
      </c>
      <c r="J9" s="296"/>
      <c r="K9" s="296"/>
      <c r="L9" s="634"/>
      <c r="N9" s="455"/>
      <c r="O9" s="455"/>
    </row>
    <row r="10" spans="2:15" s="127" customFormat="1" ht="15" customHeight="1">
      <c r="C10" s="697" t="str">
        <f>IF(Indice_index!$Z$1=1,"Impostos Indiretos","Indirect taxes")</f>
        <v>Indirect taxes</v>
      </c>
      <c r="D10" s="933">
        <v>212.25092951000005</v>
      </c>
      <c r="E10" s="933">
        <v>239.990139</v>
      </c>
      <c r="F10" s="933">
        <v>195.51594174000002</v>
      </c>
      <c r="G10" s="933">
        <v>213.16249138000001</v>
      </c>
      <c r="H10" s="934">
        <f>IF(IFERROR((G10-F10)/F10*100,"")&gt;500,"-",IFERROR((G10-F10)/F10*100,""))</f>
        <v>9.0256321213267761</v>
      </c>
      <c r="I10" s="934">
        <f>IFERROR((G10-F10)/$F$32*100,"-")</f>
        <v>6.1518670775748518E-2</v>
      </c>
      <c r="J10" s="217"/>
      <c r="K10" s="217"/>
      <c r="L10" s="217"/>
      <c r="N10" s="455"/>
      <c r="O10" s="455"/>
    </row>
    <row r="11" spans="2:15" ht="15" customHeight="1">
      <c r="C11" s="935" t="str">
        <f>IF(Indice_index!$Z$1=1,"Contribuições e quotizações","Contributions and membership fees")</f>
        <v>Contributions and membership fees</v>
      </c>
      <c r="D11" s="933">
        <v>19953.700139089997</v>
      </c>
      <c r="E11" s="933">
        <v>21165.819378</v>
      </c>
      <c r="F11" s="933">
        <v>17634.180973099999</v>
      </c>
      <c r="G11" s="933">
        <v>19743.381412400002</v>
      </c>
      <c r="H11" s="934">
        <f>IF(IFERROR((G11-F11)/F11*100,"")&gt;500,"-",IFERROR((G11-F11)/F11*100,""))</f>
        <v>11.96086420184456</v>
      </c>
      <c r="I11" s="934">
        <f>IFERROR((G11-F11)/$F$32*100,"-")</f>
        <v>7.3530072491474936</v>
      </c>
      <c r="J11" s="217"/>
      <c r="K11" s="217"/>
      <c r="L11" s="629"/>
      <c r="N11" s="455"/>
      <c r="O11" s="455"/>
    </row>
    <row r="12" spans="2:15" ht="15" customHeight="1">
      <c r="C12" s="935" t="str">
        <f>IF(Indice_index!$Z$1=1,"Transferências correntes da Administração Central","Central Government current transfers")</f>
        <v>Central Government current transfers</v>
      </c>
      <c r="D12" s="933">
        <v>10871.419801169997</v>
      </c>
      <c r="E12" s="933">
        <v>9566.7203549999995</v>
      </c>
      <c r="F12" s="933">
        <v>8703.557780950001</v>
      </c>
      <c r="G12" s="933">
        <v>9296.8944464900014</v>
      </c>
      <c r="H12" s="934">
        <f t="shared" ref="H12:H30" si="2">IF(IFERROR((G12-F12)/F12*100,"")&gt;500,"-",IFERROR((G12-F12)/F12*100,""))</f>
        <v>6.8171738554855352</v>
      </c>
      <c r="I12" s="934">
        <f>IFERROR((G12-F12)/$F$32*100,"-")</f>
        <v>2.068465718861952</v>
      </c>
      <c r="J12" s="217"/>
      <c r="K12" s="217"/>
      <c r="L12" s="217"/>
      <c r="N12" s="455"/>
      <c r="O12" s="455"/>
    </row>
    <row r="13" spans="2:15" ht="15" customHeight="1">
      <c r="C13" s="936" t="str">
        <f>IF(Indice_index!$Z$1=1,"dos quais:","of which:")</f>
        <v>of which:</v>
      </c>
      <c r="D13" s="933"/>
      <c r="E13" s="933"/>
      <c r="F13" s="933"/>
      <c r="G13" s="933"/>
      <c r="H13" s="934"/>
      <c r="I13" s="934"/>
      <c r="J13" s="217"/>
      <c r="K13" s="217"/>
      <c r="L13" s="217"/>
      <c r="N13" s="455"/>
      <c r="O13" s="455"/>
    </row>
    <row r="14" spans="2:15" ht="15" customHeight="1">
      <c r="C14" s="937" t="str">
        <f>IF(Indice_index!$Z$1=1,"Transferências do OE","State Budget transfers")</f>
        <v>State Budget transfers</v>
      </c>
      <c r="D14" s="933">
        <f t="shared" ref="D14:G14" si="3">SUM(D15:D22)</f>
        <v>10519.713074420002</v>
      </c>
      <c r="E14" s="933">
        <f t="shared" si="3"/>
        <v>9208.4277920000004</v>
      </c>
      <c r="F14" s="933">
        <f t="shared" si="3"/>
        <v>8405.3500887700011</v>
      </c>
      <c r="G14" s="933">
        <f t="shared" si="3"/>
        <v>9013.5291079499984</v>
      </c>
      <c r="H14" s="934">
        <f t="shared" si="2"/>
        <v>7.235617942821408</v>
      </c>
      <c r="I14" s="934">
        <f t="shared" ref="I14:I30" si="4">IFERROR((G14-F14)/$F$32*100,"-")</f>
        <v>2.1202085176381216</v>
      </c>
      <c r="J14" s="217"/>
      <c r="K14" s="217"/>
      <c r="L14" s="217"/>
      <c r="N14" s="455"/>
      <c r="O14" s="455"/>
    </row>
    <row r="15" spans="2:15" ht="15" customHeight="1">
      <c r="C15" s="938" t="str">
        <f>IF(Indice_index!$Z$1=1,"Financiamento da Lei de Bases da Segurança Social","Social Security Framework Law financing")</f>
        <v>Social Security Framework Law financing</v>
      </c>
      <c r="D15" s="933">
        <v>7034.2355838800004</v>
      </c>
      <c r="E15" s="933">
        <v>7147.7003690000001</v>
      </c>
      <c r="F15" s="933">
        <v>6543.0877857200003</v>
      </c>
      <c r="G15" s="933">
        <v>7493.2354310500004</v>
      </c>
      <c r="H15" s="934">
        <f t="shared" si="2"/>
        <v>14.521395347983185</v>
      </c>
      <c r="I15" s="934">
        <f t="shared" si="4"/>
        <v>3.3123653843873466</v>
      </c>
      <c r="J15" s="217"/>
      <c r="K15" s="629"/>
      <c r="L15" s="217"/>
      <c r="N15" s="455"/>
      <c r="O15" s="455"/>
    </row>
    <row r="16" spans="2:15" ht="15" customHeight="1">
      <c r="C16" s="939" t="str">
        <f>IF(Indice_index!$Z$1=1,"Medidas excecionais e temporárias (COVID-19)","Exceptional and temporary measures (COVID-19)")</f>
        <v>Exceptional and temporary measures (COVID-19)</v>
      </c>
      <c r="D16" s="933">
        <v>1545.4616489699999</v>
      </c>
      <c r="E16" s="933">
        <v>200</v>
      </c>
      <c r="F16" s="933">
        <v>607.74999997999987</v>
      </c>
      <c r="G16" s="933">
        <v>200</v>
      </c>
      <c r="H16" s="934">
        <f t="shared" si="2"/>
        <v>-67.091731796531178</v>
      </c>
      <c r="I16" s="934">
        <f t="shared" si="4"/>
        <v>-1.4214811688015117</v>
      </c>
      <c r="J16" s="217"/>
      <c r="K16" s="217"/>
      <c r="L16" s="217"/>
      <c r="N16" s="455"/>
      <c r="O16" s="455"/>
    </row>
    <row r="17" spans="2:15" ht="15" customHeight="1">
      <c r="C17" s="938" t="str">
        <f>IF(Indice_index!$Z$1=1,"Restantes transferências","Other transfers")</f>
        <v>Other transfers</v>
      </c>
      <c r="D17" s="933">
        <v>103.67836415000001</v>
      </c>
      <c r="E17" s="933">
        <v>0</v>
      </c>
      <c r="F17" s="933">
        <v>0</v>
      </c>
      <c r="G17" s="933">
        <v>0.36761031999999999</v>
      </c>
      <c r="H17" s="934" t="str">
        <f t="shared" si="2"/>
        <v>-</v>
      </c>
      <c r="I17" s="934">
        <f t="shared" si="4"/>
        <v>1.2815478782654294E-3</v>
      </c>
      <c r="J17" s="217"/>
      <c r="K17" s="217"/>
      <c r="L17" s="217"/>
      <c r="N17" s="455"/>
      <c r="O17" s="455"/>
    </row>
    <row r="18" spans="2:15" ht="15" customHeight="1">
      <c r="C18" s="938" t="str">
        <f>IF(Indice_index!$Z$1=1,"IVA Social","Social tax")</f>
        <v>Social tax</v>
      </c>
      <c r="D18" s="933">
        <v>915.22045500000002</v>
      </c>
      <c r="E18" s="933">
        <v>970.13368200000002</v>
      </c>
      <c r="F18" s="933">
        <v>838.95208375000004</v>
      </c>
      <c r="G18" s="933">
        <v>882.88266534999991</v>
      </c>
      <c r="H18" s="934">
        <f t="shared" si="2"/>
        <v>5.2363636077565037</v>
      </c>
      <c r="I18" s="934">
        <f t="shared" si="4"/>
        <v>0.15314897481780745</v>
      </c>
      <c r="J18" s="217"/>
      <c r="K18" s="217"/>
      <c r="L18" s="217"/>
      <c r="N18" s="455"/>
      <c r="O18" s="455"/>
    </row>
    <row r="19" spans="2:15" ht="15" customHeight="1">
      <c r="C19" s="938" t="str">
        <f>IF(Indice_index!$Z$1=1,"Adicional ao IMI","Additional to the real estate municipal tax")</f>
        <v>Additional to the real estate municipal tax</v>
      </c>
      <c r="D19" s="933">
        <v>128.194097</v>
      </c>
      <c r="E19" s="933">
        <v>148.06</v>
      </c>
      <c r="F19" s="933">
        <v>23.368507000000001</v>
      </c>
      <c r="G19" s="933">
        <v>31.650153</v>
      </c>
      <c r="H19" s="934">
        <f t="shared" si="2"/>
        <v>35.439345782766516</v>
      </c>
      <c r="I19" s="934">
        <f t="shared" si="4"/>
        <v>2.8871131419393719E-2</v>
      </c>
      <c r="J19" s="217"/>
      <c r="K19" s="217"/>
      <c r="L19" s="217"/>
      <c r="N19" s="455"/>
      <c r="O19" s="455"/>
    </row>
    <row r="20" spans="2:15" ht="15" customHeight="1">
      <c r="C20" s="938" t="str">
        <f>IF(Indice_index!$Z$1=1,"Consignação do IRC","Assignment of Corporate Income Tax")</f>
        <v>Assignment of Corporate Income Tax</v>
      </c>
      <c r="D20" s="933">
        <v>337.30786999999998</v>
      </c>
      <c r="E20" s="933">
        <v>297.27</v>
      </c>
      <c r="F20" s="933">
        <v>0</v>
      </c>
      <c r="G20" s="933">
        <v>0</v>
      </c>
      <c r="H20" s="934" t="str">
        <f t="shared" si="2"/>
        <v>-</v>
      </c>
      <c r="I20" s="934">
        <f t="shared" si="4"/>
        <v>0</v>
      </c>
      <c r="J20" s="217"/>
      <c r="K20" s="217"/>
      <c r="L20" s="217"/>
      <c r="N20" s="455"/>
      <c r="O20" s="455"/>
    </row>
    <row r="21" spans="2:15" ht="15" customHeight="1">
      <c r="C21" s="938" t="str">
        <f>IF(Indice_index!$Z$1=1,"Adicional à Contribuição do Setor Bancário","Additional contribution on the Banking sector")</f>
        <v>Additional contribution on the Banking sector</v>
      </c>
      <c r="D21" s="933">
        <v>33.939816999999998</v>
      </c>
      <c r="E21" s="933">
        <v>34</v>
      </c>
      <c r="F21" s="933">
        <v>0.243783</v>
      </c>
      <c r="G21" s="933">
        <v>25.499999969999998</v>
      </c>
      <c r="H21" s="934" t="str">
        <f t="shared" si="2"/>
        <v>-</v>
      </c>
      <c r="I21" s="934">
        <f t="shared" si="4"/>
        <v>8.8047177976164612E-2</v>
      </c>
      <c r="J21" s="217"/>
      <c r="K21" s="217"/>
      <c r="L21" s="217"/>
      <c r="N21" s="455"/>
      <c r="O21" s="455"/>
    </row>
    <row r="22" spans="2:15" ht="15" customHeight="1">
      <c r="C22" s="938" t="str">
        <f>IF(Indice_index!$Z$1=1,"Pensões Bancários","Old age pension scheme from Banking regime")</f>
        <v>Old age pension scheme from Banking regime</v>
      </c>
      <c r="D22" s="933">
        <v>421.67523842000003</v>
      </c>
      <c r="E22" s="933">
        <v>411.26374099999998</v>
      </c>
      <c r="F22" s="933">
        <v>391.94792932000007</v>
      </c>
      <c r="G22" s="933">
        <v>379.89324825999995</v>
      </c>
      <c r="H22" s="934">
        <f t="shared" si="2"/>
        <v>-3.0755822797467198</v>
      </c>
      <c r="I22" s="934">
        <f t="shared" si="4"/>
        <v>-4.2024530039335165E-2</v>
      </c>
      <c r="J22" s="217"/>
      <c r="K22" s="217"/>
      <c r="L22" s="217"/>
      <c r="N22" s="455"/>
      <c r="O22" s="455"/>
    </row>
    <row r="23" spans="2:15" ht="15" customHeight="1">
      <c r="C23" s="940" t="str">
        <f>IF(Indice_index!$Z$1=1,"Transferências do Fundo Social Europeu","European Social Fund")</f>
        <v>European Social Fund</v>
      </c>
      <c r="D23" s="933">
        <v>1322.4853037599999</v>
      </c>
      <c r="E23" s="933">
        <v>1622.1324729999999</v>
      </c>
      <c r="F23" s="933">
        <v>1236.3110784400001</v>
      </c>
      <c r="G23" s="933">
        <v>962.68083020000006</v>
      </c>
      <c r="H23" s="934">
        <f t="shared" si="2"/>
        <v>-22.132799180710379</v>
      </c>
      <c r="I23" s="934">
        <f t="shared" si="4"/>
        <v>-0.95391844293493921</v>
      </c>
      <c r="J23" s="217"/>
      <c r="K23" s="217"/>
      <c r="L23" s="217"/>
      <c r="N23" s="455"/>
      <c r="O23" s="455"/>
    </row>
    <row r="24" spans="2:15" ht="15" customHeight="1">
      <c r="C24" s="940" t="str">
        <f>IF(Indice_index!$Z$1=1,"Transferências do Fundo Europeu de Auxílio às Pessoas Mais Carenciadas - FEAC","Fund for European Aid to the Most Deprived")</f>
        <v>Fund for European Aid to the Most Deprived</v>
      </c>
      <c r="D24" s="933">
        <v>27</v>
      </c>
      <c r="E24" s="933">
        <v>78.720834999999994</v>
      </c>
      <c r="F24" s="933">
        <v>27</v>
      </c>
      <c r="G24" s="933">
        <v>26.75</v>
      </c>
      <c r="H24" s="934">
        <f t="shared" si="2"/>
        <v>-0.92592592592592582</v>
      </c>
      <c r="I24" s="934">
        <f t="shared" si="4"/>
        <v>-8.7153964982908351E-4</v>
      </c>
      <c r="J24" s="217"/>
      <c r="K24" s="217"/>
      <c r="L24" s="217"/>
      <c r="N24" s="455"/>
      <c r="O24" s="455"/>
    </row>
    <row r="25" spans="2:15" ht="15" customHeight="1">
      <c r="C25" s="940" t="str">
        <f>IF(Indice_index!$Z$1=1,"Transferências da União Europeia - Plano de Recuperação e Resiliência","Recovery and Resilience Plan")</f>
        <v>Recovery and Resilience Plan</v>
      </c>
      <c r="D25" s="933">
        <v>77.730710099999996</v>
      </c>
      <c r="E25" s="933">
        <v>106.318898</v>
      </c>
      <c r="F25" s="933">
        <v>0</v>
      </c>
      <c r="G25" s="933">
        <v>6.3086670999999992</v>
      </c>
      <c r="H25" s="934" t="str">
        <f t="shared" ref="H25" si="5">IF(IFERROR((G25-F25)/F25*100,"")&gt;500,"-",IFERROR((G25-F25)/F25*100,""))</f>
        <v>-</v>
      </c>
      <c r="I25" s="934">
        <f t="shared" si="4"/>
        <v>2.1993014060889039E-2</v>
      </c>
      <c r="J25" s="217"/>
      <c r="K25" s="217"/>
      <c r="L25" s="217"/>
      <c r="N25" s="455"/>
      <c r="O25" s="455"/>
    </row>
    <row r="26" spans="2:15" ht="15" customHeight="1">
      <c r="C26" s="940" t="str">
        <f>IF(Indice_index!$Z$1=1,"Outras transferências","Other transfers")</f>
        <v>Other transfers</v>
      </c>
      <c r="D26" s="933">
        <v>2.4134979799999998</v>
      </c>
      <c r="E26" s="933">
        <v>2</v>
      </c>
      <c r="F26" s="933">
        <v>1.9888883599999996</v>
      </c>
      <c r="G26" s="933">
        <v>2.06734996</v>
      </c>
      <c r="H26" s="934">
        <f t="shared" si="2"/>
        <v>3.9449976971055567</v>
      </c>
      <c r="I26" s="934">
        <f t="shared" si="4"/>
        <v>2.735295815561201E-4</v>
      </c>
      <c r="J26" s="217"/>
      <c r="K26" s="217"/>
      <c r="L26" s="217"/>
      <c r="N26" s="455"/>
      <c r="O26" s="455"/>
    </row>
    <row r="27" spans="2:15" ht="15" customHeight="1">
      <c r="B27" s="128"/>
      <c r="C27" s="935" t="str">
        <f>IF(Indice_index!$Z$1=1,"Restantes receitas correntes","Other current revenue")</f>
        <v>Other current revenue</v>
      </c>
      <c r="D27" s="933">
        <v>1098.626045</v>
      </c>
      <c r="E27" s="933">
        <v>819.90940799999998</v>
      </c>
      <c r="F27" s="933">
        <v>885.76141427999983</v>
      </c>
      <c r="G27" s="933">
        <v>937.94146948000002</v>
      </c>
      <c r="H27" s="934">
        <f t="shared" si="2"/>
        <v>5.8909830975664352</v>
      </c>
      <c r="I27" s="934">
        <f t="shared" si="4"/>
        <v>0.18190794814828168</v>
      </c>
      <c r="J27" s="217"/>
      <c r="K27" s="217"/>
      <c r="L27" s="217"/>
      <c r="N27" s="455"/>
      <c r="O27" s="455"/>
    </row>
    <row r="28" spans="2:15" s="295" customFormat="1" ht="15" customHeight="1">
      <c r="C28" s="930" t="str">
        <f>IF(Indice_index!$Z$1=1,"Receita de capital","Capital revenue")</f>
        <v>Capital revenue</v>
      </c>
      <c r="D28" s="931">
        <f t="shared" ref="D28:E28" si="6">+D29+D30</f>
        <v>0.91545309000000008</v>
      </c>
      <c r="E28" s="931">
        <f t="shared" si="6"/>
        <v>7.2077209999999994</v>
      </c>
      <c r="F28" s="931">
        <f t="shared" ref="F28:G28" si="7">+F29+F30</f>
        <v>0.55213871000000003</v>
      </c>
      <c r="G28" s="931">
        <f t="shared" si="7"/>
        <v>0.78973545000000012</v>
      </c>
      <c r="H28" s="932">
        <f t="shared" si="2"/>
        <v>43.032074313355075</v>
      </c>
      <c r="I28" s="932">
        <f t="shared" si="4"/>
        <v>8.2829991832052748E-4</v>
      </c>
      <c r="J28" s="296"/>
      <c r="K28" s="296"/>
      <c r="L28" s="296"/>
      <c r="N28" s="455"/>
      <c r="O28" s="455"/>
    </row>
    <row r="29" spans="2:15" ht="15" customHeight="1">
      <c r="C29" s="935" t="str">
        <f>IF(Indice_index!$Z$1=1,"Transferências do Orçamento do Estado","State Budget transfers")</f>
        <v>State Budget transfers</v>
      </c>
      <c r="D29" s="933">
        <v>0.29749999999999999</v>
      </c>
      <c r="E29" s="933">
        <v>1.8776079999999999</v>
      </c>
      <c r="F29" s="933">
        <v>0</v>
      </c>
      <c r="G29" s="933">
        <v>0</v>
      </c>
      <c r="H29" s="934" t="str">
        <f t="shared" si="2"/>
        <v>-</v>
      </c>
      <c r="I29" s="934">
        <f t="shared" si="4"/>
        <v>0</v>
      </c>
      <c r="J29" s="217"/>
      <c r="K29" s="217"/>
      <c r="L29" s="217"/>
      <c r="N29" s="455"/>
      <c r="O29" s="455"/>
    </row>
    <row r="30" spans="2:15" ht="15" customHeight="1">
      <c r="C30" s="935" t="str">
        <f>IF(Indice_index!$Z$1=1,"Restantes receitas de capital","Other capital revenue")</f>
        <v>Other capital revenue</v>
      </c>
      <c r="D30" s="933">
        <v>0.61795309000000009</v>
      </c>
      <c r="E30" s="933">
        <v>5.3301129999999999</v>
      </c>
      <c r="F30" s="933">
        <v>0.55213871000000003</v>
      </c>
      <c r="G30" s="933">
        <v>0.78973545000000012</v>
      </c>
      <c r="H30" s="934">
        <f t="shared" si="2"/>
        <v>43.032074313355075</v>
      </c>
      <c r="I30" s="934">
        <f t="shared" si="4"/>
        <v>8.2829991832052748E-4</v>
      </c>
      <c r="J30" s="217"/>
      <c r="K30" s="217"/>
      <c r="L30" s="217"/>
      <c r="N30" s="455"/>
      <c r="O30" s="455"/>
    </row>
    <row r="31" spans="2:15" ht="4.5" customHeight="1">
      <c r="C31" s="466"/>
      <c r="D31" s="933"/>
      <c r="E31" s="933"/>
      <c r="F31" s="933"/>
      <c r="G31" s="933"/>
      <c r="H31" s="934"/>
      <c r="I31" s="466"/>
      <c r="J31" s="217"/>
      <c r="K31" s="217"/>
      <c r="L31" s="217"/>
      <c r="N31" s="455"/>
      <c r="O31" s="455"/>
    </row>
    <row r="32" spans="2:15" s="295" customFormat="1" ht="15" customHeight="1">
      <c r="C32" s="941" t="str">
        <f>IF(Indice_index!$Z$1=1,"Receita Efetiva","Effective revenue")</f>
        <v>Effective revenue</v>
      </c>
      <c r="D32" s="942">
        <f t="shared" ref="D32:E32" si="8">+D9+D28</f>
        <v>33566.541879699987</v>
      </c>
      <c r="E32" s="942">
        <f t="shared" si="8"/>
        <v>33608.819207</v>
      </c>
      <c r="F32" s="942">
        <f t="shared" ref="F32:G32" si="9">+F9+F28</f>
        <v>28684.868215579998</v>
      </c>
      <c r="G32" s="942">
        <f t="shared" si="9"/>
        <v>31189.976402460001</v>
      </c>
      <c r="H32" s="943">
        <f t="shared" ref="H32" si="10">IF(IFERROR((G32-F32)/F32*100,"")&gt;500,"-",IFERROR((G32-F32)/F32*100,""))</f>
        <v>8.7332044479094719</v>
      </c>
      <c r="I32" s="943"/>
      <c r="J32" s="296"/>
      <c r="K32" s="296"/>
      <c r="L32" s="296"/>
      <c r="N32" s="455"/>
      <c r="O32" s="455"/>
    </row>
    <row r="33" spans="3:15" ht="4.5" customHeight="1">
      <c r="C33" s="466"/>
      <c r="D33" s="933"/>
      <c r="E33" s="933"/>
      <c r="F33" s="933"/>
      <c r="G33" s="933"/>
      <c r="H33" s="934"/>
      <c r="I33" s="934"/>
      <c r="J33" s="217"/>
      <c r="K33" s="217"/>
      <c r="L33" s="217"/>
      <c r="N33" s="455"/>
      <c r="O33" s="455"/>
    </row>
    <row r="34" spans="3:15" s="295" customFormat="1" ht="15" customHeight="1">
      <c r="C34" s="930" t="str">
        <f>IF(Indice_index!$Z$1=1,"Despesa Corrente","Current expenditure")</f>
        <v>Current expenditure</v>
      </c>
      <c r="D34" s="931">
        <f>+D35+D56+D57+D58+D59+D62+D63</f>
        <v>31196.79567548</v>
      </c>
      <c r="E34" s="931">
        <f>+E35+E56+E57+E58+E59+E62+E63</f>
        <v>30914.324376</v>
      </c>
      <c r="F34" s="931">
        <f>+F35+F56+F57+F58+F59+F62+F63</f>
        <v>27535.309814139993</v>
      </c>
      <c r="G34" s="931">
        <f>+G35+G56+G57+G58+G59+G62+G63</f>
        <v>27342.976540249991</v>
      </c>
      <c r="H34" s="932">
        <f t="shared" ref="H34" si="11">IF(IFERROR((G34-F34)/F34*100,"")&gt;500,"-",IFERROR((G34-F34)/F34*100,""))</f>
        <v>-0.69849685799153483</v>
      </c>
      <c r="I34" s="932">
        <f t="shared" ref="I34:I41" si="12">IFERROR((G34-F34)/$F$68*100,"-")</f>
        <v>-0.69775642050474729</v>
      </c>
      <c r="J34" s="296"/>
      <c r="K34" s="296"/>
      <c r="L34" s="296"/>
      <c r="N34" s="455"/>
      <c r="O34" s="455"/>
    </row>
    <row r="35" spans="3:15" s="127" customFormat="1" ht="15" customHeight="1">
      <c r="C35" s="944" t="str">
        <f>IF(Indice_index!$Z$1=1,"Prestações Sociais","Social Benefits")</f>
        <v>Social Benefits</v>
      </c>
      <c r="D35" s="945">
        <f t="shared" ref="D35:E35" si="13">+D36+SUM(D43:D55)</f>
        <v>27677.403530839998</v>
      </c>
      <c r="E35" s="945">
        <f t="shared" si="13"/>
        <v>26876.693802000002</v>
      </c>
      <c r="F35" s="946">
        <f t="shared" ref="F35:G35" si="14">+F36+SUM(F43:F55)</f>
        <v>24321.244535459999</v>
      </c>
      <c r="G35" s="946">
        <f t="shared" si="14"/>
        <v>24427.025514419995</v>
      </c>
      <c r="H35" s="947">
        <f t="shared" ref="H35:H59" si="15">IF(IFERROR((G35-F35)/F35*100,"")&gt;500,"-",IFERROR((G35-F35)/F35*100,""))</f>
        <v>0.43493242628175938</v>
      </c>
      <c r="I35" s="947">
        <f t="shared" si="12"/>
        <v>0.38375760857077251</v>
      </c>
      <c r="J35" s="217"/>
      <c r="K35" s="217"/>
      <c r="L35" s="217"/>
      <c r="N35" s="455"/>
      <c r="O35" s="455"/>
    </row>
    <row r="36" spans="3:15" s="129" customFormat="1" ht="15" customHeight="1">
      <c r="C36" s="944" t="str">
        <f>IF(Indice_index!$Z$1=1,"      Pensões","      Pensions")</f>
        <v xml:space="preserve">      Pensions</v>
      </c>
      <c r="D36" s="514">
        <f t="shared" ref="D36:E36" si="16">(SUM(D37:D41))</f>
        <v>18459.21372498</v>
      </c>
      <c r="E36" s="514">
        <f t="shared" si="16"/>
        <v>19078.314131000003</v>
      </c>
      <c r="F36" s="514">
        <f>(((SUM(F37:F42))))</f>
        <v>15813.123759579999</v>
      </c>
      <c r="G36" s="514">
        <f>(((SUM(G37:G42))))</f>
        <v>16986.688898269997</v>
      </c>
      <c r="H36" s="934">
        <f t="shared" si="15"/>
        <v>7.4214630615220543</v>
      </c>
      <c r="I36" s="934">
        <f t="shared" si="12"/>
        <v>4.2575192208801367</v>
      </c>
      <c r="J36" s="217"/>
      <c r="K36" s="217"/>
      <c r="L36" s="217"/>
      <c r="N36" s="455"/>
      <c r="O36" s="455"/>
    </row>
    <row r="37" spans="3:15" s="129" customFormat="1" ht="15" customHeight="1">
      <c r="C37" s="944" t="str">
        <f>IF(Indice_index!$Z$1=1,"            Sobrevivência","            Survival")</f>
        <v xml:space="preserve">            Survival</v>
      </c>
      <c r="D37" s="933">
        <v>2590.4848075700002</v>
      </c>
      <c r="E37" s="933">
        <v>2649.420505</v>
      </c>
      <c r="F37" s="933">
        <v>2222.3453796599997</v>
      </c>
      <c r="G37" s="933">
        <v>2272.4146299499994</v>
      </c>
      <c r="H37" s="934">
        <f t="shared" si="15"/>
        <v>2.2529914003582943</v>
      </c>
      <c r="I37" s="934">
        <f t="shared" si="12"/>
        <v>0.18164376944826921</v>
      </c>
      <c r="J37" s="217"/>
      <c r="K37" s="217"/>
      <c r="L37" s="217"/>
      <c r="N37" s="455"/>
      <c r="O37" s="455"/>
    </row>
    <row r="38" spans="3:15" s="129" customFormat="1" ht="15" customHeight="1">
      <c r="C38" s="944" t="str">
        <f>IF(Indice_index!$Z$1=1,"            Invalidez","            Disability")</f>
        <v xml:space="preserve">            Disability</v>
      </c>
      <c r="D38" s="933">
        <v>1166.6139236599995</v>
      </c>
      <c r="E38" s="933">
        <v>1179.448492</v>
      </c>
      <c r="F38" s="933">
        <v>1005.5010837600001</v>
      </c>
      <c r="G38" s="933">
        <v>1003.6805612200001</v>
      </c>
      <c r="H38" s="934">
        <f t="shared" si="15"/>
        <v>-0.18105624841221998</v>
      </c>
      <c r="I38" s="934">
        <f t="shared" si="12"/>
        <v>-6.6045841432780189E-3</v>
      </c>
      <c r="J38" s="217"/>
      <c r="K38" s="217"/>
      <c r="L38" s="217"/>
      <c r="N38" s="455"/>
      <c r="O38" s="455"/>
    </row>
    <row r="39" spans="3:15" s="129" customFormat="1" ht="15" customHeight="1">
      <c r="C39" s="944" t="str">
        <f>IF(Indice_index!$Z$1=1,"            Velhice","            Old-age")</f>
        <v xml:space="preserve">            Old-age</v>
      </c>
      <c r="D39" s="933">
        <v>13911.745101300001</v>
      </c>
      <c r="E39" s="933">
        <v>14284.298789</v>
      </c>
      <c r="F39" s="933">
        <v>11899.46477083</v>
      </c>
      <c r="G39" s="933">
        <v>12249.351010129998</v>
      </c>
      <c r="H39" s="934">
        <f t="shared" si="15"/>
        <v>2.9403527472739701</v>
      </c>
      <c r="I39" s="934">
        <f t="shared" si="12"/>
        <v>1.2693350712547933</v>
      </c>
      <c r="J39" s="217"/>
      <c r="K39" s="217"/>
      <c r="L39" s="217"/>
      <c r="N39" s="455"/>
      <c r="O39" s="455"/>
    </row>
    <row r="40" spans="3:15" s="129" customFormat="1" ht="15" customHeight="1">
      <c r="C40" s="944" t="str">
        <f>IF(Indice_index!$Z$1=1,"            Beneficiários dos antigos combatentes","            War veteran beneficiaries")</f>
        <v xml:space="preserve">            War veteran beneficiaries</v>
      </c>
      <c r="D40" s="933">
        <v>43.599297430000007</v>
      </c>
      <c r="E40" s="933">
        <v>45.013061</v>
      </c>
      <c r="F40" s="933">
        <v>43.492183879999992</v>
      </c>
      <c r="G40" s="933">
        <v>44.068941850000002</v>
      </c>
      <c r="H40" s="948">
        <f t="shared" si="15"/>
        <v>1.3261186690264908</v>
      </c>
      <c r="I40" s="948">
        <f t="shared" si="12"/>
        <v>2.0923918597410707E-3</v>
      </c>
      <c r="J40" s="217"/>
      <c r="K40" s="217"/>
      <c r="L40" s="217"/>
      <c r="N40" s="455"/>
      <c r="O40" s="455"/>
    </row>
    <row r="41" spans="3:15" s="129" customFormat="1" ht="15" customHeight="1">
      <c r="C41" s="944" t="str">
        <f>IF(Indice_index!$Z$1=1,"            Parcela de atualização extraordinária de pensões","            Portion of extraordinary pensions update")</f>
        <v xml:space="preserve">            Portion of extraordinary pensions update</v>
      </c>
      <c r="D41" s="933">
        <v>746.77059501999997</v>
      </c>
      <c r="E41" s="933">
        <v>920.133284</v>
      </c>
      <c r="F41" s="933">
        <v>642.32034145</v>
      </c>
      <c r="G41" s="933">
        <v>769.29914985000016</v>
      </c>
      <c r="H41" s="948">
        <f t="shared" si="15"/>
        <v>19.768766487038704</v>
      </c>
      <c r="I41" s="948">
        <f t="shared" si="12"/>
        <v>0.46066017094792283</v>
      </c>
      <c r="J41" s="217"/>
      <c r="K41" s="217"/>
      <c r="L41" s="217"/>
      <c r="N41" s="455"/>
      <c r="O41" s="455"/>
    </row>
    <row r="42" spans="3:15" s="129" customFormat="1" ht="15" customHeight="1">
      <c r="C42" s="944" t="str">
        <f>IF(Indice_index!$Z$1=1,"            Complemento excecional de pensão","              32 / 160
Traduzir
inglês
Exceptional pension supplement")</f>
        <v xml:space="preserve">              32 / 160
Traduzir
inglês
Exceptional pension supplement</v>
      </c>
      <c r="D42" s="933">
        <v>0</v>
      </c>
      <c r="E42" s="933">
        <v>0</v>
      </c>
      <c r="F42" s="933">
        <v>0</v>
      </c>
      <c r="G42" s="933">
        <v>647.87460526999996</v>
      </c>
      <c r="H42" s="948" t="str">
        <f t="shared" ref="H42" si="17">IF(IFERROR((G42-F42)/F42*100,"")&gt;500,"-",IFERROR((G42-F42)/F42*100,""))</f>
        <v>-</v>
      </c>
      <c r="I42" s="948">
        <f t="shared" ref="I42" si="18">IFERROR((G42-F42)/$F$68*100,"-")</f>
        <v>2.3503924015126905</v>
      </c>
      <c r="J42" s="217"/>
      <c r="K42" s="217"/>
      <c r="L42" s="217"/>
      <c r="N42" s="455"/>
      <c r="O42" s="455"/>
    </row>
    <row r="43" spans="3:15" s="129" customFormat="1" ht="15" customHeight="1">
      <c r="C43" s="940" t="str">
        <f>IF(Indice_index!$Z$1=1,"Subsídio familiar a crianças e jovens","Family benefit")</f>
        <v>Family benefit</v>
      </c>
      <c r="D43" s="933">
        <v>785.93262444000004</v>
      </c>
      <c r="E43" s="933">
        <v>838.27399400000002</v>
      </c>
      <c r="F43" s="933">
        <v>719.66195873000004</v>
      </c>
      <c r="G43" s="933">
        <v>741.64141991999998</v>
      </c>
      <c r="H43" s="948">
        <f t="shared" si="15"/>
        <v>3.0541368657011518</v>
      </c>
      <c r="I43" s="934">
        <f t="shared" ref="I43:I49" si="19">IFERROR((G43-F43)/$F$68*100,"-")</f>
        <v>7.9738205742436258E-2</v>
      </c>
      <c r="J43" s="217"/>
      <c r="K43" s="217"/>
      <c r="L43" s="217"/>
      <c r="N43" s="455"/>
      <c r="O43" s="455"/>
    </row>
    <row r="44" spans="3:15" s="129" customFormat="1" ht="15" customHeight="1">
      <c r="C44" s="935" t="str">
        <f>IF(Indice_index!$Z$1=1,"Subsídio por doença","Illness benefit")</f>
        <v>Illness benefit</v>
      </c>
      <c r="D44" s="933">
        <v>753.50125893000006</v>
      </c>
      <c r="E44" s="933">
        <v>799.45637299999999</v>
      </c>
      <c r="F44" s="933">
        <v>696.14346873999989</v>
      </c>
      <c r="G44" s="933">
        <v>762.66421507999996</v>
      </c>
      <c r="H44" s="934">
        <f t="shared" si="15"/>
        <v>9.5556087684627347</v>
      </c>
      <c r="I44" s="934">
        <f t="shared" si="19"/>
        <v>0.24132734246518414</v>
      </c>
      <c r="J44" s="217"/>
      <c r="K44" s="217"/>
      <c r="L44" s="217"/>
      <c r="N44" s="455"/>
      <c r="O44" s="455"/>
    </row>
    <row r="45" spans="3:15" s="129" customFormat="1" ht="15" customHeight="1">
      <c r="C45" s="935" t="str">
        <f>IF(Indice_index!$Z$1=1,"Prestações de desemprego","Unemployment benefits")</f>
        <v>Unemployment benefits</v>
      </c>
      <c r="D45" s="933">
        <v>1592.5085594000002</v>
      </c>
      <c r="E45" s="933">
        <v>1542.9161469999999</v>
      </c>
      <c r="F45" s="933">
        <v>1470.46964862</v>
      </c>
      <c r="G45" s="933">
        <v>1175.3735018700002</v>
      </c>
      <c r="H45" s="934">
        <f t="shared" si="15"/>
        <v>-20.068156253815943</v>
      </c>
      <c r="I45" s="934">
        <f t="shared" si="19"/>
        <v>-1.0705647904625326</v>
      </c>
      <c r="J45" s="217"/>
      <c r="K45" s="217"/>
      <c r="L45" s="217"/>
      <c r="N45" s="455"/>
      <c r="O45" s="455"/>
    </row>
    <row r="46" spans="3:15" s="129" customFormat="1" ht="15" customHeight="1">
      <c r="C46" s="935" t="str">
        <f>IF(Indice_index!$Z$1=1,"Complemento Solidário para Idosos","Elderly pension supplement")</f>
        <v>Elderly pension supplement</v>
      </c>
      <c r="D46" s="933">
        <v>204.31185116</v>
      </c>
      <c r="E46" s="933">
        <v>205.21606800000001</v>
      </c>
      <c r="F46" s="933">
        <v>187.46687059999999</v>
      </c>
      <c r="G46" s="933">
        <v>182.77114765999997</v>
      </c>
      <c r="H46" s="934">
        <f t="shared" si="15"/>
        <v>-2.5048281464191811</v>
      </c>
      <c r="I46" s="934">
        <f t="shared" si="19"/>
        <v>-1.7035382198975581E-2</v>
      </c>
      <c r="J46" s="217"/>
      <c r="K46" s="217"/>
      <c r="L46" s="217"/>
      <c r="N46" s="455"/>
      <c r="O46" s="455"/>
    </row>
    <row r="47" spans="3:15" s="129" customFormat="1" ht="15" customHeight="1">
      <c r="C47" s="935" t="str">
        <f>IF(Indice_index!$Z$1=1,"Prestação Social para a Inclusão","Social benefits for inclusion")</f>
        <v>Social benefits for inclusion</v>
      </c>
      <c r="D47" s="933">
        <v>524.53333005000002</v>
      </c>
      <c r="E47" s="933">
        <v>450.62609900000001</v>
      </c>
      <c r="F47" s="933">
        <v>486.47511633000005</v>
      </c>
      <c r="G47" s="933">
        <v>432.46589126999999</v>
      </c>
      <c r="H47" s="934">
        <f t="shared" si="15"/>
        <v>-11.102155741787817</v>
      </c>
      <c r="I47" s="934">
        <f t="shared" si="19"/>
        <v>-0.19593741004821424</v>
      </c>
      <c r="J47" s="217"/>
      <c r="K47" s="217"/>
      <c r="L47" s="217"/>
      <c r="N47" s="455"/>
      <c r="O47" s="455"/>
    </row>
    <row r="48" spans="3:15" s="129" customFormat="1" ht="15" customHeight="1">
      <c r="C48" s="935" t="str">
        <f>IF(Indice_index!$Z$1=1,"Prestações de parentalidade","Parenthood benefits")</f>
        <v>Parenthood benefits</v>
      </c>
      <c r="D48" s="933">
        <v>638.13390999000012</v>
      </c>
      <c r="E48" s="933">
        <v>672.95038899999997</v>
      </c>
      <c r="F48" s="933">
        <v>582.94256795999991</v>
      </c>
      <c r="G48" s="933">
        <v>659.21048229000007</v>
      </c>
      <c r="H48" s="934">
        <f t="shared" si="15"/>
        <v>13.083263861978505</v>
      </c>
      <c r="I48" s="934">
        <f t="shared" si="19"/>
        <v>0.27668861360254632</v>
      </c>
      <c r="J48" s="217"/>
      <c r="K48" s="217"/>
      <c r="L48" s="217"/>
      <c r="N48" s="455"/>
      <c r="O48" s="455"/>
    </row>
    <row r="49" spans="3:15" s="129" customFormat="1" ht="15" customHeight="1">
      <c r="C49" s="935" t="str">
        <f>IF(Indice_index!$Z$1=1,"Medidas excecionais e temporárias (COVID-19)","Exceptional and temporary measures (COVID-19)")</f>
        <v>Exceptional and temporary measures (COVID-19)</v>
      </c>
      <c r="D49" s="933">
        <v>1919.9825029600001</v>
      </c>
      <c r="E49" s="933">
        <v>200</v>
      </c>
      <c r="F49" s="933">
        <v>1815.2571922299999</v>
      </c>
      <c r="G49" s="933">
        <v>596.11490101999993</v>
      </c>
      <c r="H49" s="934">
        <f t="shared" si="15"/>
        <v>-67.160857228848812</v>
      </c>
      <c r="I49" s="934">
        <f t="shared" si="19"/>
        <v>-4.4228663298642212</v>
      </c>
      <c r="J49" s="629"/>
      <c r="K49" s="217"/>
      <c r="L49" s="217"/>
      <c r="N49" s="455"/>
      <c r="O49" s="455"/>
    </row>
    <row r="50" spans="3:15" s="129" customFormat="1" ht="15" hidden="1" customHeight="1">
      <c r="C50" s="935" t="str">
        <f>IF(Indice_index!$Z$1=1,"Complemento-creche","Child daycare supplement")</f>
        <v>Child daycare supplement</v>
      </c>
      <c r="D50" s="933">
        <v>0</v>
      </c>
      <c r="E50" s="933">
        <v>0</v>
      </c>
      <c r="F50" s="933">
        <v>0</v>
      </c>
      <c r="G50" s="933">
        <v>0</v>
      </c>
      <c r="H50" s="934" t="str">
        <f t="shared" ref="H50:H51" si="20">IF(IFERROR((G50-F50)/F50*100,"")&gt;500,"-",IFERROR((G50-F50)/F50*100,""))</f>
        <v>-</v>
      </c>
      <c r="I50" s="934">
        <f t="shared" ref="I50:I51" si="21">IFERROR((G50-F50)/$F$68*100,"-")</f>
        <v>0</v>
      </c>
      <c r="J50" s="217"/>
      <c r="K50" s="217"/>
      <c r="L50" s="217"/>
      <c r="N50" s="455"/>
      <c r="O50" s="455"/>
    </row>
    <row r="51" spans="3:15" s="129" customFormat="1" ht="15" customHeight="1">
      <c r="C51" s="935" t="s">
        <v>579</v>
      </c>
      <c r="D51" s="933">
        <v>0</v>
      </c>
      <c r="E51" s="933">
        <v>35.451974</v>
      </c>
      <c r="F51" s="933">
        <v>0</v>
      </c>
      <c r="G51" s="933">
        <v>20.642232979999999</v>
      </c>
      <c r="H51" s="934" t="str">
        <f t="shared" si="20"/>
        <v>-</v>
      </c>
      <c r="I51" s="934">
        <f t="shared" si="21"/>
        <v>7.4886941318262026E-2</v>
      </c>
      <c r="J51" s="217"/>
      <c r="K51" s="217"/>
      <c r="L51" s="217"/>
      <c r="N51" s="455"/>
      <c r="O51" s="455"/>
    </row>
    <row r="52" spans="3:15" s="129" customFormat="1" ht="15" customHeight="1">
      <c r="C52" s="935" t="str">
        <f>IF(Indice_index!$Z$1=1,"Outras prestações","Other benefits")</f>
        <v>Other benefits</v>
      </c>
      <c r="D52" s="933">
        <v>393.84301586999993</v>
      </c>
      <c r="E52" s="933">
        <v>404.353476</v>
      </c>
      <c r="F52" s="933">
        <v>363.21082992999999</v>
      </c>
      <c r="G52" s="933">
        <v>619.99639365000007</v>
      </c>
      <c r="H52" s="934">
        <f t="shared" si="15"/>
        <v>70.698762966261015</v>
      </c>
      <c r="I52" s="934">
        <f t="shared" ref="I52:I59" si="22">IFERROR((G52-F52)/$F$68*100,"-")</f>
        <v>0.93157971137657802</v>
      </c>
      <c r="J52" s="217"/>
      <c r="K52" s="217"/>
      <c r="L52" s="217"/>
      <c r="N52" s="455"/>
      <c r="O52" s="455"/>
    </row>
    <row r="53" spans="3:15" s="129" customFormat="1" ht="15" customHeight="1">
      <c r="C53" s="935" t="str">
        <f>IF(Indice_index!$Z$1=1,"Ação social","Social assistance")</f>
        <v>Social assistance</v>
      </c>
      <c r="D53" s="933">
        <v>2047.68765882</v>
      </c>
      <c r="E53" s="933">
        <v>2241.9352680000002</v>
      </c>
      <c r="F53" s="933">
        <v>1857.7728815900005</v>
      </c>
      <c r="G53" s="933">
        <v>1930.89416465</v>
      </c>
      <c r="H53" s="934">
        <f t="shared" si="15"/>
        <v>3.9359646049638575</v>
      </c>
      <c r="I53" s="934">
        <f t="shared" si="22"/>
        <v>0.26527310484944511</v>
      </c>
      <c r="J53" s="217"/>
      <c r="K53" s="217"/>
      <c r="L53" s="217"/>
      <c r="N53" s="455"/>
      <c r="O53" s="455"/>
    </row>
    <row r="54" spans="3:15" s="129" customFormat="1" ht="15" customHeight="1">
      <c r="C54" s="935" t="str">
        <f>IF(Indice_index!$Z$1=1,"Rendimento Social de Inserção","Social Integration Income")</f>
        <v>Social Integration Income</v>
      </c>
      <c r="D54" s="933">
        <v>356.16135638999998</v>
      </c>
      <c r="E54" s="933">
        <v>377.199883</v>
      </c>
      <c r="F54" s="933">
        <v>327.34235430000001</v>
      </c>
      <c r="G54" s="933">
        <v>311.95968412000008</v>
      </c>
      <c r="H54" s="934">
        <f t="shared" si="15"/>
        <v>-4.6992605686162303</v>
      </c>
      <c r="I54" s="934">
        <f t="shared" si="22"/>
        <v>-5.5806032235173143E-2</v>
      </c>
      <c r="J54" s="217"/>
      <c r="K54" s="217"/>
      <c r="L54" s="217"/>
      <c r="N54" s="455"/>
      <c r="O54" s="455"/>
    </row>
    <row r="55" spans="3:15" s="129" customFormat="1" ht="15" customHeight="1">
      <c r="C55" s="935" t="str">
        <f>IF(Indice_index!$Z$1=1,"Subsídio de Apoio ao Cuidador Informal","Social Benefit for Informal Caregivers")</f>
        <v>Social Benefit for Informal Caregivers</v>
      </c>
      <c r="D55" s="933">
        <v>1.5937378499999999</v>
      </c>
      <c r="E55" s="933">
        <v>30</v>
      </c>
      <c r="F55" s="933">
        <v>1.3778868499999999</v>
      </c>
      <c r="G55" s="933">
        <v>6.6025816399999995</v>
      </c>
      <c r="H55" s="934">
        <f t="shared" si="15"/>
        <v>379.18170058738855</v>
      </c>
      <c r="I55" s="934">
        <f t="shared" si="22"/>
        <v>1.8954413145304948E-2</v>
      </c>
      <c r="J55" s="217"/>
      <c r="K55" s="217"/>
      <c r="L55" s="217"/>
      <c r="N55" s="455"/>
      <c r="O55" s="455"/>
    </row>
    <row r="56" spans="3:15" s="129" customFormat="1" ht="15" customHeight="1">
      <c r="C56" s="949" t="str">
        <f>IF(Indice_index!$Z$1=1,"Pensão velhice do regime substitutivo dos bancários","Old age pension scheme from Banking regime")</f>
        <v>Old age pension scheme from Banking regime</v>
      </c>
      <c r="D56" s="933">
        <v>429.57635345999995</v>
      </c>
      <c r="E56" s="933">
        <v>419.72063000000003</v>
      </c>
      <c r="F56" s="933">
        <v>398.74314090999997</v>
      </c>
      <c r="G56" s="933">
        <v>386.93906543999992</v>
      </c>
      <c r="H56" s="948">
        <f t="shared" si="15"/>
        <v>-2.9603206322398745</v>
      </c>
      <c r="I56" s="934">
        <f t="shared" si="22"/>
        <v>-4.2823424573043917E-2</v>
      </c>
      <c r="J56" s="217"/>
      <c r="K56" s="217"/>
      <c r="L56" s="217"/>
      <c r="M56" s="127"/>
      <c r="N56" s="455"/>
      <c r="O56" s="455"/>
    </row>
    <row r="57" spans="3:15" ht="15" customHeight="1">
      <c r="C57" s="944" t="str">
        <f>IF(Indice_index!$Z$1=1,"Administração","Administration")</f>
        <v>Administration</v>
      </c>
      <c r="D57" s="933">
        <v>327.75730796999994</v>
      </c>
      <c r="E57" s="933">
        <v>405.168835</v>
      </c>
      <c r="F57" s="933">
        <v>289.22602999999998</v>
      </c>
      <c r="G57" s="933">
        <v>301.14919844999997</v>
      </c>
      <c r="H57" s="934">
        <f t="shared" si="15"/>
        <v>4.1224396192832273</v>
      </c>
      <c r="I57" s="948">
        <f t="shared" si="22"/>
        <v>4.3255476135164846E-2</v>
      </c>
      <c r="J57" s="217"/>
      <c r="K57" s="217"/>
      <c r="L57" s="217"/>
      <c r="N57" s="455"/>
      <c r="O57" s="455"/>
    </row>
    <row r="58" spans="3:15" ht="15" customHeight="1">
      <c r="C58" s="944" t="str">
        <f>IF(Indice_index!$Z$1=1,"Transferências correntes","Current transfers")</f>
        <v>Current transfers</v>
      </c>
      <c r="D58" s="933">
        <v>1313.6678272599991</v>
      </c>
      <c r="E58" s="933">
        <v>1424.7060240000001</v>
      </c>
      <c r="F58" s="933">
        <v>1260.3305662899995</v>
      </c>
      <c r="G58" s="933">
        <v>1235.0221954199963</v>
      </c>
      <c r="H58" s="934">
        <f>IF(IFERROR((G58-F58)/F58*100,"")&gt;500,"-",IFERROR((G58-F58)/F58*100,""))</f>
        <v>-2.0080740360445932</v>
      </c>
      <c r="I58" s="948">
        <f t="shared" si="22"/>
        <v>-9.1814993370099407E-2</v>
      </c>
      <c r="J58" s="217"/>
      <c r="K58" s="217"/>
      <c r="L58" s="217"/>
      <c r="N58" s="455"/>
      <c r="O58" s="455"/>
    </row>
    <row r="59" spans="3:15" ht="15" customHeight="1">
      <c r="C59" s="949" t="str">
        <f>IF(Indice_index!$Z$1=1,"Ações de Formação Profissional","Vocational Training Programs")</f>
        <v>Vocational Training Programs</v>
      </c>
      <c r="D59" s="933">
        <v>1279.2804758</v>
      </c>
      <c r="E59" s="933">
        <v>1539.1685090000001</v>
      </c>
      <c r="F59" s="933">
        <v>1111.9162736300002</v>
      </c>
      <c r="G59" s="933">
        <v>823.55494677000013</v>
      </c>
      <c r="H59" s="934">
        <f t="shared" si="15"/>
        <v>-25.933726639201502</v>
      </c>
      <c r="I59" s="934">
        <f t="shared" si="22"/>
        <v>-1.0461318687732881</v>
      </c>
      <c r="J59" s="217"/>
      <c r="K59" s="217"/>
      <c r="L59" s="217"/>
      <c r="N59" s="455"/>
      <c r="O59" s="455"/>
    </row>
    <row r="60" spans="3:15" ht="15" customHeight="1">
      <c r="C60" s="936" t="str">
        <f>IF(Indice_index!$Z$1=1,"dos quais:","of which:")</f>
        <v>of which:</v>
      </c>
      <c r="D60" s="933"/>
      <c r="E60" s="933"/>
      <c r="F60" s="933"/>
      <c r="G60" s="933"/>
      <c r="H60" s="934"/>
      <c r="I60" s="934"/>
      <c r="J60" s="217"/>
      <c r="K60" s="217"/>
      <c r="L60" s="217"/>
      <c r="N60" s="455"/>
      <c r="O60" s="455"/>
    </row>
    <row r="61" spans="3:15" s="130" customFormat="1" ht="15" customHeight="1">
      <c r="C61" s="950" t="str">
        <f>IF(Indice_index!$Z$1=1,"Com suporte no Fundo Social Europeu","Supported by the European Social Fund")</f>
        <v>Supported by the European Social Fund</v>
      </c>
      <c r="D61" s="933">
        <v>1210.2826756499999</v>
      </c>
      <c r="E61" s="933">
        <v>1398.0811430000001</v>
      </c>
      <c r="F61" s="933">
        <v>1052.3210401200001</v>
      </c>
      <c r="G61" s="933">
        <v>755.25822739</v>
      </c>
      <c r="H61" s="934">
        <f t="shared" ref="H61:H66" si="23">IF(IFERROR((G61-F61)/F61*100,"")&gt;500,"-",IFERROR((G61-F61)/F61*100,""))</f>
        <v>-28.229295186963565</v>
      </c>
      <c r="I61" s="934">
        <f t="shared" ref="I61:I66" si="24">IFERROR((G61-F61)/$F$68*100,"-")</f>
        <v>-1.0776995612007372</v>
      </c>
      <c r="J61" s="217"/>
      <c r="K61" s="217"/>
      <c r="L61" s="217"/>
      <c r="N61" s="455"/>
      <c r="O61" s="455"/>
    </row>
    <row r="62" spans="3:15" s="130" customFormat="1" ht="15" customHeight="1">
      <c r="C62" s="949" t="str">
        <f>IF(Indice_index!$Z$1=1,"Subsídios Correntes - Outros PO PT2020","Current subsidies – Others PO PT2020")</f>
        <v>Current subsidies – Others PO PT2020</v>
      </c>
      <c r="D62" s="933">
        <v>165.51368667</v>
      </c>
      <c r="E62" s="933">
        <v>237.78716399999999</v>
      </c>
      <c r="F62" s="933">
        <v>150.70805620999997</v>
      </c>
      <c r="G62" s="933">
        <v>165.17614420000001</v>
      </c>
      <c r="H62" s="934">
        <f t="shared" si="23"/>
        <v>9.6000760369703695</v>
      </c>
      <c r="I62" s="934">
        <f t="shared" si="24"/>
        <v>5.2488064510479375E-2</v>
      </c>
      <c r="J62" s="217"/>
      <c r="K62" s="217"/>
      <c r="L62" s="217"/>
      <c r="N62" s="455"/>
      <c r="O62" s="455"/>
    </row>
    <row r="63" spans="3:15" s="130" customFormat="1" ht="15" customHeight="1">
      <c r="C63" s="949" t="str">
        <f>IF(Indice_index!$Z$1=1,"Subsídios Correntes - Programa Operacional de Apoio às Pessoas Mais Carenciadas - POAPMC","Current subsidies – Operational Program for Aid to the Most Deprived - POAPMC")</f>
        <v>Current subsidies – Operational Program for Aid to the Most Deprived - POAPMC</v>
      </c>
      <c r="D63" s="933">
        <v>3.5964934799999964</v>
      </c>
      <c r="E63" s="933">
        <v>11.079412</v>
      </c>
      <c r="F63" s="933">
        <v>3.1412116400000012</v>
      </c>
      <c r="G63" s="933">
        <v>4.1094755499999991</v>
      </c>
      <c r="H63" s="934">
        <f t="shared" si="23"/>
        <v>30.82453591060797</v>
      </c>
      <c r="I63" s="934">
        <f t="shared" si="24"/>
        <v>3.5127169952502289E-3</v>
      </c>
      <c r="J63" s="217"/>
      <c r="K63" s="217"/>
      <c r="L63" s="217"/>
      <c r="N63" s="455"/>
      <c r="O63" s="455"/>
    </row>
    <row r="64" spans="3:15" s="295" customFormat="1" ht="15" customHeight="1">
      <c r="C64" s="930" t="str">
        <f>IF(Indice_index!$Z$1=1,"Despesa de Capital","Capital expenditure")</f>
        <v>Capital expenditure</v>
      </c>
      <c r="D64" s="931">
        <f t="shared" ref="D64:E64" si="25">+D65+D66</f>
        <v>41.481170159999998</v>
      </c>
      <c r="E64" s="931">
        <f t="shared" si="25"/>
        <v>98.483846</v>
      </c>
      <c r="F64" s="931">
        <f t="shared" ref="F64:G64" si="26">+F65+F66</f>
        <v>29.219617329999998</v>
      </c>
      <c r="G64" s="931">
        <f t="shared" si="26"/>
        <v>33.305879509999997</v>
      </c>
      <c r="H64" s="932">
        <f t="shared" si="23"/>
        <v>13.984653302781631</v>
      </c>
      <c r="I64" s="932">
        <f t="shared" si="24"/>
        <v>1.4824349496548187E-2</v>
      </c>
      <c r="J64" s="634"/>
      <c r="K64" s="296"/>
      <c r="L64" s="296"/>
      <c r="N64" s="455"/>
      <c r="O64" s="455"/>
    </row>
    <row r="65" spans="3:18" ht="15" customHeight="1">
      <c r="C65" s="940" t="str">
        <f>IF(Indice_index!$Z$1=1,"PIDDAC","PIDDAC - Central Admin. Invest. and Expend. Develop. Program")</f>
        <v>PIDDAC - Central Admin. Invest. and Expend. Develop. Program</v>
      </c>
      <c r="D65" s="933">
        <v>0.35642126000000002</v>
      </c>
      <c r="E65" s="933">
        <v>2.8776079999999999</v>
      </c>
      <c r="F65" s="933">
        <v>5.8921260000000003E-2</v>
      </c>
      <c r="G65" s="933">
        <v>0.25325553000000001</v>
      </c>
      <c r="H65" s="947">
        <f t="shared" si="23"/>
        <v>329.82028897549031</v>
      </c>
      <c r="I65" s="934">
        <f t="shared" si="24"/>
        <v>7.0501573583233964E-4</v>
      </c>
      <c r="J65" s="217"/>
      <c r="K65" s="217"/>
      <c r="L65" s="217"/>
      <c r="M65" s="127"/>
      <c r="N65" s="455"/>
      <c r="O65" s="455"/>
    </row>
    <row r="66" spans="3:18" ht="15" customHeight="1">
      <c r="C66" s="940" t="str">
        <f>IF(Indice_index!$Z$1=1,"Outras","Others")</f>
        <v>Others</v>
      </c>
      <c r="D66" s="933">
        <v>41.1247489</v>
      </c>
      <c r="E66" s="933">
        <v>95.606238000000005</v>
      </c>
      <c r="F66" s="933">
        <v>29.160696069999997</v>
      </c>
      <c r="G66" s="933">
        <v>33.05262398</v>
      </c>
      <c r="H66" s="947">
        <f t="shared" si="23"/>
        <v>13.346484942120258</v>
      </c>
      <c r="I66" s="934">
        <f t="shared" si="24"/>
        <v>1.4119333760715863E-2</v>
      </c>
      <c r="J66" s="217"/>
      <c r="K66" s="217"/>
      <c r="L66" s="217"/>
      <c r="N66" s="455"/>
      <c r="O66" s="455"/>
    </row>
    <row r="67" spans="3:18" ht="4.5" customHeight="1">
      <c r="C67" s="466"/>
      <c r="D67" s="933"/>
      <c r="E67" s="933"/>
      <c r="F67" s="933"/>
      <c r="G67" s="933"/>
      <c r="H67" s="934"/>
      <c r="I67" s="466"/>
      <c r="J67" s="217"/>
      <c r="K67" s="217"/>
      <c r="L67" s="217"/>
      <c r="N67" s="455"/>
      <c r="O67" s="455"/>
    </row>
    <row r="68" spans="3:18" s="295" customFormat="1" ht="15" customHeight="1">
      <c r="C68" s="941" t="str">
        <f>IF(Indice_index!$Z$1=1,"Despesa efetiva","Effective expenditure")</f>
        <v>Effective expenditure</v>
      </c>
      <c r="D68" s="942">
        <f>+D34+D64</f>
        <v>31238.276845640001</v>
      </c>
      <c r="E68" s="942">
        <f>+E34+E64</f>
        <v>31012.808222</v>
      </c>
      <c r="F68" s="942">
        <f>+F34+F64</f>
        <v>27564.529431469993</v>
      </c>
      <c r="G68" s="942">
        <f>+G34+G64</f>
        <v>27376.282419759991</v>
      </c>
      <c r="H68" s="943">
        <f>IF(IFERROR((G68-F68)/F68*100,"")&gt;500,"-",IFERROR((G68-F68)/F68*100,""))</f>
        <v>-0.68293207100819686</v>
      </c>
      <c r="I68" s="943"/>
      <c r="J68" s="296"/>
      <c r="K68" s="296"/>
      <c r="L68" s="296"/>
      <c r="N68" s="455"/>
      <c r="O68" s="455"/>
    </row>
    <row r="69" spans="3:18" ht="4.5" customHeight="1">
      <c r="C69" s="951"/>
      <c r="D69" s="514"/>
      <c r="E69" s="514"/>
      <c r="F69" s="514"/>
      <c r="G69" s="514"/>
      <c r="H69" s="952"/>
      <c r="I69" s="952"/>
      <c r="J69" s="217"/>
      <c r="K69" s="217"/>
      <c r="L69" s="217"/>
      <c r="M69" s="127"/>
      <c r="N69" s="455"/>
      <c r="O69" s="455"/>
    </row>
    <row r="70" spans="3:18" s="297" customFormat="1" ht="15" customHeight="1">
      <c r="C70" s="941" t="str">
        <f>IF(Indice_index!$Z$1=1,"Saldo global","Overall balance")</f>
        <v>Overall balance</v>
      </c>
      <c r="D70" s="942">
        <f>+D32-D68</f>
        <v>2328.2650340599866</v>
      </c>
      <c r="E70" s="942">
        <f>+E32-E68</f>
        <v>2596.0109850000008</v>
      </c>
      <c r="F70" s="942">
        <f>+F32-F68</f>
        <v>1120.3387841100048</v>
      </c>
      <c r="G70" s="942">
        <f>+G32-G68</f>
        <v>3813.6939827000097</v>
      </c>
      <c r="H70" s="942"/>
      <c r="I70" s="942"/>
      <c r="J70" s="296"/>
      <c r="K70" s="296"/>
      <c r="L70" s="296"/>
      <c r="M70" s="295"/>
      <c r="N70" s="455"/>
      <c r="O70" s="455"/>
    </row>
    <row r="71" spans="3:18" ht="4.5" customHeight="1">
      <c r="C71" s="953"/>
      <c r="D71" s="933"/>
      <c r="E71" s="933"/>
      <c r="F71" s="933"/>
      <c r="G71" s="933"/>
      <c r="H71" s="466"/>
      <c r="I71" s="466"/>
      <c r="J71" s="217"/>
      <c r="K71" s="217"/>
      <c r="L71" s="217"/>
      <c r="N71" s="455"/>
      <c r="O71" s="455"/>
    </row>
    <row r="72" spans="3:18" ht="15" customHeight="1">
      <c r="C72" s="954" t="str">
        <f>IF(Indice_index!$Z$1=1,"Ativos financeiros líquidos de reembolsos","Financial assets net of reimbursements")</f>
        <v>Financial assets net of reimbursements</v>
      </c>
      <c r="D72" s="171">
        <v>4376.8330583500019</v>
      </c>
      <c r="E72" s="171">
        <v>451.730343</v>
      </c>
      <c r="F72" s="171">
        <v>3011.8873383099994</v>
      </c>
      <c r="G72" s="171">
        <v>548.7514346799984</v>
      </c>
      <c r="H72" s="955"/>
      <c r="I72" s="956"/>
      <c r="J72" s="217"/>
      <c r="K72" s="217"/>
      <c r="L72" s="217"/>
      <c r="N72" s="455"/>
      <c r="O72" s="455"/>
    </row>
    <row r="73" spans="3:18" ht="15" hidden="1" customHeight="1">
      <c r="C73" s="957" t="str">
        <f>IF(Indice_index!$Z$1=1,"Alienação de partes de Capital","Disposal of Capital Shares")</f>
        <v>Disposal of Capital Shares</v>
      </c>
      <c r="D73" s="171">
        <v>0</v>
      </c>
      <c r="E73" s="171">
        <v>0</v>
      </c>
      <c r="F73" s="171">
        <v>0</v>
      </c>
      <c r="G73" s="171">
        <v>0</v>
      </c>
      <c r="H73" s="955"/>
      <c r="I73" s="955"/>
      <c r="J73" s="217"/>
      <c r="K73" s="217"/>
      <c r="L73" s="217"/>
      <c r="N73" s="455"/>
      <c r="O73" s="455"/>
    </row>
    <row r="74" spans="3:18" ht="15" customHeight="1">
      <c r="C74" s="954" t="str">
        <f>IF(Indice_index!$Z$1=1,"Passivos financeiros líquidos de amortizações","Financial liabilities net of amortizations")</f>
        <v>Financial liabilities net of amortizations</v>
      </c>
      <c r="D74" s="171">
        <v>0</v>
      </c>
      <c r="E74" s="171">
        <v>-39.512804000000003</v>
      </c>
      <c r="F74" s="171">
        <v>0</v>
      </c>
      <c r="G74" s="171">
        <v>-5.8375830000000004E-2</v>
      </c>
      <c r="H74" s="955"/>
      <c r="I74" s="955"/>
      <c r="J74" s="217"/>
      <c r="K74" s="217"/>
      <c r="L74" s="217"/>
      <c r="N74" s="455"/>
      <c r="O74" s="455"/>
    </row>
    <row r="75" spans="3:18" ht="15" customHeight="1">
      <c r="C75" s="958" t="str">
        <f>IF(Indice_index!$Z$1=1,"Poupança (+) / Utilização (-) de saldo da gerência anterior","Saving (+) / Usage (-) of balance from previous management")</f>
        <v>Saving (+) / Usage (-) of balance from previous management</v>
      </c>
      <c r="D75" s="959">
        <f t="shared" ref="D75" si="27">+D70-D72+D74</f>
        <v>-2048.5680242900153</v>
      </c>
      <c r="E75" s="959">
        <v>2104.7678379999934</v>
      </c>
      <c r="F75" s="959">
        <f t="shared" ref="F75:G75" si="28">+F70-F72+F74</f>
        <v>-1891.5485541999947</v>
      </c>
      <c r="G75" s="959">
        <f t="shared" si="28"/>
        <v>3264.8841721900112</v>
      </c>
      <c r="H75" s="960"/>
      <c r="I75" s="960"/>
      <c r="J75" s="217"/>
      <c r="K75" s="217"/>
      <c r="L75" s="217"/>
      <c r="N75" s="455"/>
      <c r="O75" s="455"/>
    </row>
    <row r="76" spans="3:18" ht="4.5" customHeight="1">
      <c r="C76" s="466"/>
      <c r="D76" s="466"/>
      <c r="E76" s="466"/>
      <c r="F76" s="933"/>
      <c r="G76" s="933"/>
      <c r="H76" s="466"/>
      <c r="I76" s="466"/>
      <c r="J76" s="381"/>
      <c r="K76" s="131"/>
    </row>
    <row r="77" spans="3:18" ht="15" customHeight="1">
      <c r="C77" s="961" t="str">
        <f>IF(Indice_index!$Z$1=1,"Notas:","Notes:")</f>
        <v>Notes:</v>
      </c>
      <c r="D77" s="961"/>
      <c r="E77" s="961"/>
      <c r="F77" s="653"/>
      <c r="G77" s="96"/>
      <c r="K77" s="131"/>
    </row>
    <row r="78" spans="3:18" s="96" customFormat="1" ht="15" customHeight="1">
      <c r="C78" s="1729" t="str">
        <f>IF(Indice_index!$Z$1=1,"Valores consolidados - são excluídas transferências intra-setoriais.","Consolidated data - transfers within the subsector are excluded.")</f>
        <v>Consolidated data - transfers within the subsector are excluded.</v>
      </c>
      <c r="D78" s="1729"/>
      <c r="E78" s="1729"/>
      <c r="F78" s="1729"/>
      <c r="G78" s="1729"/>
      <c r="H78" s="1729"/>
      <c r="I78" s="1729"/>
    </row>
    <row r="79" spans="3:18" ht="15" customHeight="1">
      <c r="C79" s="1729" t="str">
        <f>IF(Indice_index!$Z$1=1,"As diferenças de consolidação são imputadas a outras receitas e/ou despesas correntes e de capital.","Other current revenues/expenditure and other capital revenues/expenditure are influenced by subsector consolidation differences.")</f>
        <v>Other current revenues/expenditure and other capital revenues/expenditure are influenced by subsector consolidation differences.</v>
      </c>
      <c r="D79" s="1729"/>
      <c r="E79" s="1729"/>
      <c r="F79" s="1729"/>
      <c r="G79" s="1729"/>
      <c r="H79" s="1729"/>
      <c r="I79" s="1729"/>
      <c r="J79" s="53"/>
      <c r="K79" s="62"/>
    </row>
    <row r="80" spans="3:18" s="22" customFormat="1" ht="15" customHeight="1">
      <c r="C80" s="1705" t="str">
        <f>+'5 - Conta AC + SS'!$C$64</f>
        <v>2021 cumulative execution is monthly reviewed and updated and therefore may differ from data published in 2021.</v>
      </c>
      <c r="D80" s="1705"/>
      <c r="E80" s="1705"/>
      <c r="F80" s="1705"/>
      <c r="G80" s="1705"/>
      <c r="H80" s="1705"/>
      <c r="I80" s="1705"/>
      <c r="J80" s="62"/>
      <c r="Q80" s="24"/>
      <c r="R80" s="24"/>
    </row>
    <row r="81" spans="3:11" ht="62.25" customHeight="1">
      <c r="C81" s="1728" t="str">
        <f>IF(Indice_index!$Z$1=1,C113,C114)</f>
        <v>The line “Old age pension scheme from Banking regime” includes:
- From August 2017 onward, supplemental pension benefits due to Companhia Carris de Ferro de Lisboa, S. A. (Carris) former employees, as Social Security is in charge of making these payments according to Decree-Law no. 95/2017 of August 10.
- From January 2020 onward, supplemental pension benefits due to Sociedade de Transportes Coletivos do Porto, S.A. (STCP) former employees, as Social Security is in charge of making these payments according to Decree-Law no. 151/2019 of October 11.</v>
      </c>
      <c r="D81" s="1728"/>
      <c r="E81" s="1728"/>
      <c r="F81" s="1728"/>
      <c r="G81" s="1728"/>
      <c r="H81" s="1728"/>
      <c r="I81" s="1728"/>
      <c r="J81" s="53"/>
      <c r="K81" s="62"/>
    </row>
    <row r="82" spans="3:11" ht="4.5" customHeight="1">
      <c r="G82" s="962"/>
    </row>
    <row r="83" spans="3:11" ht="15" customHeight="1">
      <c r="C83" s="466" t="str">
        <f>IF(Indice_index!$Z$1=1,"Fonte: Instituto de Gestão Financeira da Segurança Social, IP","Souce: Social Security Finance Management Institute")</f>
        <v>Souce: Social Security Finance Management Institute</v>
      </c>
      <c r="D83" s="466"/>
      <c r="E83" s="466"/>
      <c r="F83" s="96"/>
      <c r="G83" s="96"/>
    </row>
    <row r="84" spans="3:11">
      <c r="F84" s="62"/>
      <c r="G84" s="62"/>
      <c r="H84" s="62"/>
      <c r="I84" s="62"/>
      <c r="J84" s="62"/>
      <c r="K84" s="57"/>
    </row>
    <row r="86" spans="3:11" ht="12.5">
      <c r="F86" s="96"/>
      <c r="G86" s="96"/>
    </row>
    <row r="87" spans="3:11">
      <c r="C87" s="621"/>
      <c r="D87" s="621"/>
      <c r="E87" s="621"/>
      <c r="F87" s="654"/>
      <c r="G87" s="654"/>
      <c r="H87" s="621"/>
      <c r="I87" s="621"/>
    </row>
    <row r="88" spans="3:11">
      <c r="C88" s="621"/>
      <c r="D88" s="621"/>
      <c r="E88" s="621"/>
      <c r="F88" s="654"/>
      <c r="G88" s="654"/>
      <c r="H88" s="621"/>
      <c r="I88" s="621"/>
    </row>
    <row r="89" spans="3:11">
      <c r="C89" s="621"/>
      <c r="D89" s="621"/>
      <c r="E89" s="621"/>
      <c r="F89" s="654"/>
      <c r="G89" s="654"/>
      <c r="H89" s="621"/>
      <c r="I89" s="621"/>
    </row>
    <row r="90" spans="3:11">
      <c r="C90" s="621"/>
      <c r="D90" s="621"/>
      <c r="E90" s="621"/>
      <c r="F90" s="654"/>
      <c r="G90" s="654"/>
      <c r="H90" s="621"/>
      <c r="I90" s="621"/>
    </row>
    <row r="91" spans="3:11">
      <c r="C91" s="621"/>
      <c r="D91" s="621"/>
      <c r="E91" s="621"/>
      <c r="F91" s="654"/>
      <c r="G91" s="654"/>
      <c r="H91" s="621"/>
      <c r="I91" s="621"/>
    </row>
    <row r="92" spans="3:11">
      <c r="C92" s="621"/>
      <c r="D92" s="621"/>
      <c r="E92" s="621"/>
      <c r="F92" s="654"/>
      <c r="G92" s="654"/>
      <c r="H92" s="621"/>
      <c r="I92" s="621"/>
    </row>
    <row r="93" spans="3:11">
      <c r="C93" s="621"/>
      <c r="D93" s="621"/>
      <c r="E93" s="621"/>
      <c r="F93" s="654"/>
      <c r="G93" s="654"/>
      <c r="H93" s="621"/>
      <c r="I93" s="621"/>
    </row>
    <row r="94" spans="3:11">
      <c r="C94" s="621"/>
      <c r="D94" s="621"/>
      <c r="E94" s="621"/>
      <c r="F94" s="654"/>
      <c r="G94" s="654"/>
      <c r="H94" s="621"/>
      <c r="I94" s="621"/>
    </row>
    <row r="95" spans="3:11">
      <c r="C95" s="621"/>
      <c r="D95" s="621"/>
      <c r="E95" s="621"/>
      <c r="F95" s="654"/>
      <c r="G95" s="654"/>
      <c r="H95" s="621"/>
      <c r="I95" s="621"/>
    </row>
    <row r="96" spans="3:11">
      <c r="C96" s="621"/>
      <c r="D96" s="621"/>
      <c r="E96" s="621"/>
      <c r="F96" s="654"/>
      <c r="G96" s="654"/>
      <c r="H96" s="621"/>
      <c r="I96" s="621"/>
    </row>
    <row r="97" spans="3:9">
      <c r="C97" s="621"/>
      <c r="D97" s="621"/>
      <c r="E97" s="621"/>
      <c r="F97" s="654"/>
      <c r="G97" s="654"/>
      <c r="H97" s="621"/>
      <c r="I97" s="621"/>
    </row>
    <row r="98" spans="3:9">
      <c r="C98" s="621"/>
      <c r="D98" s="621"/>
      <c r="E98" s="621"/>
      <c r="F98" s="654"/>
      <c r="G98" s="654"/>
      <c r="H98" s="621"/>
      <c r="I98" s="621"/>
    </row>
    <row r="99" spans="3:9">
      <c r="C99" s="621"/>
      <c r="D99" s="621"/>
      <c r="E99" s="621"/>
      <c r="F99" s="654"/>
      <c r="G99" s="654"/>
      <c r="H99" s="621"/>
      <c r="I99" s="621"/>
    </row>
    <row r="100" spans="3:9">
      <c r="C100" s="621"/>
      <c r="D100" s="621"/>
      <c r="E100" s="621"/>
      <c r="F100" s="654"/>
      <c r="G100" s="654"/>
      <c r="H100" s="621"/>
      <c r="I100" s="621"/>
    </row>
    <row r="101" spans="3:9">
      <c r="C101" s="621"/>
      <c r="D101" s="621"/>
      <c r="E101" s="621"/>
      <c r="F101" s="654"/>
      <c r="G101" s="654"/>
      <c r="H101" s="621"/>
      <c r="I101" s="621"/>
    </row>
    <row r="102" spans="3:9">
      <c r="C102" s="621"/>
      <c r="D102" s="621"/>
      <c r="E102" s="621"/>
      <c r="F102" s="654"/>
      <c r="G102" s="654"/>
      <c r="H102" s="621"/>
      <c r="I102" s="621"/>
    </row>
    <row r="103" spans="3:9">
      <c r="C103" s="621"/>
      <c r="D103" s="621"/>
      <c r="E103" s="621"/>
      <c r="F103" s="654"/>
      <c r="G103" s="654"/>
      <c r="H103" s="621"/>
      <c r="I103" s="621"/>
    </row>
    <row r="104" spans="3:9">
      <c r="C104" s="621"/>
      <c r="D104" s="621"/>
      <c r="E104" s="621"/>
      <c r="F104" s="654"/>
      <c r="G104" s="654"/>
      <c r="H104" s="621"/>
      <c r="I104" s="621"/>
    </row>
    <row r="105" spans="3:9">
      <c r="C105" s="621"/>
      <c r="D105" s="621"/>
      <c r="E105" s="621"/>
      <c r="F105" s="654"/>
      <c r="G105" s="654"/>
      <c r="H105" s="621"/>
      <c r="I105" s="621"/>
    </row>
    <row r="110" spans="3:9">
      <c r="C110" s="211"/>
      <c r="D110" s="211"/>
      <c r="E110" s="211"/>
    </row>
    <row r="111" spans="3:9" s="134" customFormat="1">
      <c r="C111" s="132" t="s">
        <v>7</v>
      </c>
      <c r="D111" s="132"/>
      <c r="E111" s="132"/>
      <c r="F111" s="133"/>
      <c r="G111" s="133"/>
    </row>
    <row r="112" spans="3:9">
      <c r="C112" s="132" t="s">
        <v>8</v>
      </c>
      <c r="D112" s="132"/>
      <c r="E112" s="132"/>
    </row>
    <row r="113" spans="3:9">
      <c r="C113" s="361" t="s">
        <v>59</v>
      </c>
      <c r="D113" s="358"/>
      <c r="E113" s="358"/>
      <c r="F113" s="359"/>
      <c r="G113" s="359"/>
      <c r="H113" s="360"/>
      <c r="I113" s="360"/>
    </row>
    <row r="114" spans="3:9">
      <c r="C114" s="361" t="s">
        <v>60</v>
      </c>
      <c r="D114" s="358"/>
      <c r="E114" s="358"/>
      <c r="F114" s="359"/>
      <c r="G114" s="359"/>
      <c r="H114" s="360"/>
      <c r="I114" s="360"/>
    </row>
  </sheetData>
  <mergeCells count="6">
    <mergeCell ref="C81:I81"/>
    <mergeCell ref="F6:G6"/>
    <mergeCell ref="H6:I6"/>
    <mergeCell ref="C78:I78"/>
    <mergeCell ref="C79:I79"/>
    <mergeCell ref="C80:I80"/>
  </mergeCells>
  <printOptions horizontalCentered="1"/>
  <pageMargins left="0.70866141732283472" right="0.70866141732283472" top="0.74803149606299213" bottom="0.74803149606299213" header="0.74803149606299213" footer="0.35433070866141736"/>
  <pageSetup paperSize="9" scale="59" orientation="portrait" r:id="rId1"/>
  <headerFooter differentOddEven="1">
    <oddFooter>&amp;R&amp;G</oddFooter>
    <evenFooter>&amp;L&amp;G</evenFooter>
  </headerFooter>
  <ignoredErrors>
    <ignoredError sqref="C81 F78:G78 H78:I78 C78:C79 H7:I7 I6 G6 E6:F6 H6 D6" unlockedFormula="1"/>
    <ignoredError sqref="F33:G33 E9:G9 D35:D36 F14:G14 F35:G35 D9 D14:E14 E35:E36 F36:G36" formulaRange="1"/>
    <ignoredError sqref="E7:G7 D7" numberStoredAsText="1" unlockedFormula="1"/>
  </ignoredError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lha17"/>
  <dimension ref="B1:AB149"/>
  <sheetViews>
    <sheetView showGridLines="0" zoomScaleNormal="100" zoomScaleSheetLayoutView="100" workbookViewId="0">
      <selection activeCell="B2" sqref="B2"/>
    </sheetView>
  </sheetViews>
  <sheetFormatPr defaultColWidth="9.1796875" defaultRowHeight="14.5"/>
  <cols>
    <col min="1" max="1" width="3.54296875" style="467" customWidth="1"/>
    <col min="2" max="2" width="4.453125" style="467" customWidth="1"/>
    <col min="3" max="3" width="49" style="467" customWidth="1"/>
    <col min="4" max="5" width="9.453125" style="467" customWidth="1"/>
    <col min="6" max="6" width="9.453125" style="468" customWidth="1"/>
    <col min="7" max="7" width="10.54296875" style="468" customWidth="1"/>
    <col min="8" max="8" width="9.453125" style="478" customWidth="1"/>
    <col min="9" max="9" width="9.453125" style="468" customWidth="1"/>
    <col min="10" max="10" width="20.7265625" style="467" bestFit="1" customWidth="1"/>
    <col min="11" max="11" width="18.26953125" style="467" bestFit="1" customWidth="1"/>
    <col min="12" max="12" width="12.1796875" style="467" bestFit="1" customWidth="1"/>
    <col min="13" max="15" width="8.54296875" style="467" customWidth="1"/>
    <col min="16" max="16384" width="9.1796875" style="467"/>
  </cols>
  <sheetData>
    <row r="1" spans="2:19" ht="15" customHeight="1">
      <c r="G1" s="469"/>
      <c r="H1" s="470"/>
      <c r="I1" s="471"/>
      <c r="L1" s="477"/>
    </row>
    <row r="2" spans="2:19" ht="24" customHeight="1">
      <c r="B2" s="8"/>
      <c r="C2" s="51" t="str">
        <f>IF(Indice_index!$Z$1=1,"13 - Execução Orçamental da Segurança Social por Classificação Económica","13 - Social Security Budget Execution by Economic Categories")</f>
        <v>13 - Social Security Budget Execution by Economic Categories</v>
      </c>
      <c r="D2" s="51"/>
      <c r="E2" s="51"/>
      <c r="F2" s="51"/>
      <c r="G2" s="51"/>
      <c r="H2" s="51"/>
      <c r="I2" s="51"/>
      <c r="J2" s="472"/>
      <c r="K2" s="472"/>
      <c r="L2" s="472"/>
      <c r="M2" s="472"/>
      <c r="N2" s="472"/>
      <c r="O2" s="472"/>
      <c r="P2" s="472"/>
      <c r="Q2" s="472"/>
      <c r="R2" s="472"/>
      <c r="S2" s="472"/>
    </row>
    <row r="3" spans="2:19" ht="15" customHeight="1">
      <c r="B3" s="472"/>
      <c r="C3" s="473"/>
      <c r="D3" s="473"/>
      <c r="E3" s="473"/>
      <c r="F3" s="474"/>
      <c r="G3" s="474"/>
      <c r="H3" s="470"/>
      <c r="I3" s="471"/>
      <c r="J3" s="475"/>
      <c r="K3" s="472"/>
      <c r="L3" s="472"/>
      <c r="M3" s="472"/>
      <c r="N3" s="472"/>
      <c r="O3" s="472"/>
      <c r="P3" s="472"/>
      <c r="Q3" s="472"/>
      <c r="R3" s="472"/>
      <c r="S3" s="472"/>
    </row>
    <row r="4" spans="2:19" ht="15" customHeight="1">
      <c r="B4" s="472"/>
      <c r="C4" s="476"/>
      <c r="D4" s="476"/>
      <c r="E4" s="476"/>
      <c r="F4" s="477"/>
      <c r="G4" s="477"/>
      <c r="I4" s="467"/>
      <c r="J4" s="475"/>
      <c r="K4" s="472"/>
      <c r="M4" s="472"/>
      <c r="N4" s="472"/>
      <c r="O4" s="472"/>
      <c r="P4" s="472"/>
      <c r="Q4" s="472"/>
      <c r="R4" s="472"/>
      <c r="S4" s="472"/>
    </row>
    <row r="5" spans="2:19" s="480" customFormat="1" ht="15" customHeight="1">
      <c r="B5" s="479"/>
      <c r="C5" s="696" t="str">
        <f>+'5 - Conta AC + SS'!C5</f>
        <v>Period: January to November</v>
      </c>
      <c r="D5" s="696"/>
      <c r="E5" s="696"/>
      <c r="F5" s="963"/>
      <c r="G5" s="963"/>
      <c r="H5" s="964"/>
      <c r="I5" s="965" t="str">
        <f>IF(Indice_index!$Z$1=1,"€ Milhões","€ Millions")</f>
        <v>€ Millions</v>
      </c>
      <c r="J5" s="479"/>
      <c r="K5" s="479"/>
      <c r="L5" s="479"/>
      <c r="M5" s="479"/>
      <c r="N5" s="479"/>
      <c r="O5" s="479"/>
      <c r="P5" s="479"/>
      <c r="Q5" s="479"/>
      <c r="R5" s="479"/>
      <c r="S5" s="479"/>
    </row>
    <row r="6" spans="2:19" ht="27" customHeight="1">
      <c r="B6" s="472"/>
      <c r="C6" s="966"/>
      <c r="D6" s="813" t="str">
        <f>IF(Indice_index!$Z$1=1,"CGE","Final execution")</f>
        <v>Final execution</v>
      </c>
      <c r="E6" s="813" t="str">
        <f>IF(Indice_index!$Z$1=1,"Orçamento Inicial","Budget")</f>
        <v>Budget</v>
      </c>
      <c r="F6" s="1706" t="str">
        <f>IF(Indice_index!$Z$1=1,"Execução Acumulada","Accumulated Execution")</f>
        <v>Accumulated Execution</v>
      </c>
      <c r="G6" s="1706"/>
      <c r="H6" s="1707" t="str">
        <f>IF(Indice_index!$Z$1=1,"Variação Homóloga Acumulada","YOY Change Rate")</f>
        <v>YOY Change Rate</v>
      </c>
      <c r="I6" s="1708"/>
      <c r="J6" s="676"/>
      <c r="K6" s="84"/>
      <c r="L6" s="472"/>
      <c r="M6" s="482"/>
      <c r="N6" s="482"/>
      <c r="O6" s="84"/>
      <c r="P6" s="85"/>
      <c r="Q6" s="472"/>
      <c r="R6" s="472"/>
      <c r="S6" s="472"/>
    </row>
    <row r="7" spans="2:19" ht="33" customHeight="1">
      <c r="B7" s="472"/>
      <c r="C7" s="967"/>
      <c r="D7" s="815" t="s">
        <v>67</v>
      </c>
      <c r="E7" s="815" t="s">
        <v>73</v>
      </c>
      <c r="F7" s="816" t="s">
        <v>67</v>
      </c>
      <c r="G7" s="816" t="s">
        <v>73</v>
      </c>
      <c r="H7" s="818" t="str">
        <f>IF(Indice_index!$Z$1=1,"Relativa (%)","Relative change (%)")</f>
        <v>Relative change (%)</v>
      </c>
      <c r="I7" s="819" t="str">
        <f>IF(Indice_index!$Z$1=1,"Contributo VHA (p.p.)","YOY Change Rate Contrib. (p.p.)")</f>
        <v>YOY Change Rate Contrib. (p.p.)</v>
      </c>
      <c r="J7" s="483"/>
      <c r="K7" s="481"/>
      <c r="L7" s="472"/>
      <c r="M7" s="472"/>
      <c r="N7" s="472"/>
      <c r="O7" s="472"/>
      <c r="P7" s="472"/>
      <c r="Q7" s="472"/>
      <c r="R7" s="472"/>
      <c r="S7" s="472"/>
    </row>
    <row r="8" spans="2:19" s="480" customFormat="1" ht="15" customHeight="1">
      <c r="B8" s="479"/>
      <c r="C8" s="968" t="str">
        <f>IF(Indice_index!$Z$1=1,"Receita corrente","Current revenue")</f>
        <v>Current revenue</v>
      </c>
      <c r="D8" s="969">
        <f t="shared" ref="D8:E8" si="0">+D9+D12+D13+D14+D19</f>
        <v>33565.626426610004</v>
      </c>
      <c r="E8" s="969">
        <f t="shared" si="0"/>
        <v>33601.192499999997</v>
      </c>
      <c r="F8" s="969">
        <f t="shared" ref="F8:G8" si="1">+F9+F12+F13+F14+F19</f>
        <v>28684.31607687</v>
      </c>
      <c r="G8" s="969">
        <f t="shared" si="1"/>
        <v>31189.47401089</v>
      </c>
      <c r="H8" s="969">
        <f>IF(IFERROR((G8-F8)/F8*100,"")&gt;500,"-",IFERROR((G8-F8)/F8*100,""))</f>
        <v>8.7335459813876124</v>
      </c>
      <c r="I8" s="969">
        <f t="shared" ref="I8:I22" si="2">IFERROR((G8-F8)/$F$29*100,"-")</f>
        <v>8.7333778743293653</v>
      </c>
      <c r="J8" s="484"/>
      <c r="K8" s="484"/>
      <c r="L8" s="484"/>
      <c r="M8" s="485"/>
      <c r="N8" s="486"/>
      <c r="O8" s="486"/>
      <c r="P8" s="485"/>
      <c r="Q8" s="479"/>
      <c r="R8" s="479"/>
      <c r="S8" s="479"/>
    </row>
    <row r="9" spans="2:19" ht="15" customHeight="1">
      <c r="B9" s="472"/>
      <c r="C9" s="970" t="str">
        <f>IF(Indice_index!$Z$1=1,"Receitas fiscais","Tax revenue")</f>
        <v>Tax revenue</v>
      </c>
      <c r="D9" s="971">
        <f t="shared" ref="D9:E9" si="3">+D10+D11</f>
        <v>212.25092951000005</v>
      </c>
      <c r="E9" s="971">
        <f t="shared" si="3"/>
        <v>239.990139</v>
      </c>
      <c r="F9" s="971">
        <f t="shared" ref="F9:G9" si="4">+F10+F11</f>
        <v>195.51594173999999</v>
      </c>
      <c r="G9" s="971">
        <f t="shared" si="4"/>
        <v>213.16249138000001</v>
      </c>
      <c r="H9" s="972">
        <f t="shared" ref="H9:H27" si="5">IF(IFERROR((G9-F9)/F9*100,"")&gt;500,"-",IFERROR((G9-F9)/F9*100,""))</f>
        <v>9.0256321213267938</v>
      </c>
      <c r="I9" s="972">
        <f t="shared" si="2"/>
        <v>6.1518670775748616E-2</v>
      </c>
      <c r="J9" s="487"/>
      <c r="K9" s="487"/>
      <c r="L9" s="487"/>
      <c r="M9" s="488"/>
      <c r="N9" s="486"/>
      <c r="O9" s="486"/>
      <c r="P9" s="488"/>
      <c r="Q9" s="472"/>
      <c r="R9" s="472"/>
      <c r="S9" s="472"/>
    </row>
    <row r="10" spans="2:19" ht="15" hidden="1" customHeight="1">
      <c r="B10" s="472"/>
      <c r="C10" s="973" t="str">
        <f>IF(Indice_index!$Z$1=1,"Impostos diretos","Direct taxes")</f>
        <v>Direct taxes</v>
      </c>
      <c r="D10" s="971">
        <v>0</v>
      </c>
      <c r="E10" s="971">
        <v>0</v>
      </c>
      <c r="F10" s="971">
        <v>0</v>
      </c>
      <c r="G10" s="971">
        <v>0</v>
      </c>
      <c r="H10" s="974" t="str">
        <f t="shared" si="5"/>
        <v>-</v>
      </c>
      <c r="I10" s="974">
        <f t="shared" si="2"/>
        <v>0</v>
      </c>
      <c r="J10" s="487"/>
      <c r="K10" s="487"/>
      <c r="L10" s="487"/>
      <c r="M10" s="472"/>
      <c r="N10" s="486"/>
      <c r="O10" s="486"/>
      <c r="P10" s="472"/>
      <c r="Q10" s="472"/>
      <c r="R10" s="472"/>
      <c r="S10" s="472"/>
    </row>
    <row r="11" spans="2:19" ht="15" customHeight="1">
      <c r="B11" s="472"/>
      <c r="C11" s="973" t="str">
        <f>IF(Indice_index!$Z$1=1,"Impostos indiretos","Indirect taxes")</f>
        <v>Indirect taxes</v>
      </c>
      <c r="D11" s="971">
        <v>212.25092951000005</v>
      </c>
      <c r="E11" s="971">
        <v>239.990139</v>
      </c>
      <c r="F11" s="971">
        <v>195.51594173999999</v>
      </c>
      <c r="G11" s="971">
        <v>213.16249138000001</v>
      </c>
      <c r="H11" s="974">
        <f t="shared" si="5"/>
        <v>9.0256321213267938</v>
      </c>
      <c r="I11" s="974">
        <f t="shared" si="2"/>
        <v>6.1518670775748616E-2</v>
      </c>
      <c r="J11" s="487"/>
      <c r="K11" s="487"/>
      <c r="L11" s="487"/>
      <c r="M11" s="472"/>
      <c r="N11" s="486"/>
      <c r="O11" s="486"/>
      <c r="P11" s="472"/>
      <c r="Q11" s="472"/>
      <c r="R11" s="472"/>
      <c r="S11" s="472"/>
    </row>
    <row r="12" spans="2:19" ht="15" customHeight="1">
      <c r="B12" s="472"/>
      <c r="C12" s="970" t="str">
        <f>IF(Indice_index!$Z$1=1,"Contribuições para Segurança Social, CGA e ADSE","Contributions to the Social Security, Public Servants Social and ADSE")</f>
        <v>Contributions to the Social Security, Public Servants Social and ADSE</v>
      </c>
      <c r="D12" s="971">
        <v>19953.700139089997</v>
      </c>
      <c r="E12" s="971">
        <v>21165.819378</v>
      </c>
      <c r="F12" s="971">
        <v>17634.180973099999</v>
      </c>
      <c r="G12" s="971">
        <v>19743.381412400002</v>
      </c>
      <c r="H12" s="974">
        <f t="shared" si="5"/>
        <v>11.96086420184456</v>
      </c>
      <c r="I12" s="974">
        <f t="shared" si="2"/>
        <v>7.3530072491474918</v>
      </c>
      <c r="J12" s="487"/>
      <c r="K12" s="628"/>
      <c r="L12" s="487"/>
      <c r="M12" s="472"/>
      <c r="N12" s="486"/>
      <c r="O12" s="486"/>
      <c r="P12" s="472"/>
      <c r="Q12" s="472"/>
      <c r="R12" s="472"/>
      <c r="S12" s="472"/>
    </row>
    <row r="13" spans="2:19" ht="15" customHeight="1">
      <c r="B13" s="472"/>
      <c r="C13" s="970" t="str">
        <f>IF(Indice_index!$Z$1=1,"Taxas, Multas e Outras Penalidades","Taxes, fines and other penalties")</f>
        <v>Taxes, fines and other penalties</v>
      </c>
      <c r="D13" s="971">
        <v>76.977224400000026</v>
      </c>
      <c r="E13" s="971">
        <v>88.190309999999997</v>
      </c>
      <c r="F13" s="971">
        <v>69.193609359999996</v>
      </c>
      <c r="G13" s="971">
        <v>82.736019600000006</v>
      </c>
      <c r="H13" s="974">
        <f t="shared" si="5"/>
        <v>19.571764452323421</v>
      </c>
      <c r="I13" s="974">
        <f t="shared" si="2"/>
        <v>4.7210989913645605E-2</v>
      </c>
      <c r="J13" s="487"/>
      <c r="K13" s="487"/>
      <c r="L13" s="487"/>
      <c r="M13" s="472"/>
      <c r="N13" s="486"/>
      <c r="O13" s="486"/>
      <c r="P13" s="472"/>
      <c r="Q13" s="472"/>
      <c r="R13" s="472"/>
      <c r="S13" s="472"/>
    </row>
    <row r="14" spans="2:19" ht="15" customHeight="1">
      <c r="B14" s="472"/>
      <c r="C14" s="970" t="str">
        <f>IF(Indice_index!$Z$1=1,"Transferências Correntes","Current transfers")</f>
        <v>Current transfers</v>
      </c>
      <c r="D14" s="975">
        <f t="shared" ref="D14:E14" si="6">SUM(D15:D18)</f>
        <v>12301.049313010004</v>
      </c>
      <c r="E14" s="975">
        <f t="shared" si="6"/>
        <v>11375.892560999999</v>
      </c>
      <c r="F14" s="975">
        <f t="shared" ref="F14:G14" si="7">SUM(F15:F18)</f>
        <v>9968.8577477500003</v>
      </c>
      <c r="G14" s="975">
        <f t="shared" si="7"/>
        <v>10294.701293749999</v>
      </c>
      <c r="H14" s="974">
        <f t="shared" si="5"/>
        <v>3.2686146622319097</v>
      </c>
      <c r="I14" s="974">
        <f t="shared" si="2"/>
        <v>1.1359422799196213</v>
      </c>
      <c r="J14" s="487"/>
      <c r="K14" s="487"/>
      <c r="L14" s="487"/>
      <c r="M14" s="472"/>
      <c r="N14" s="486"/>
      <c r="O14" s="486"/>
      <c r="P14" s="472"/>
      <c r="Q14" s="472"/>
      <c r="R14" s="472"/>
      <c r="S14" s="472"/>
    </row>
    <row r="15" spans="2:19" ht="15" customHeight="1">
      <c r="B15" s="472"/>
      <c r="C15" s="858" t="str">
        <f>IF(Indice_index!$Z$1=1,"Administração Central","Central Administration")</f>
        <v>Central Administration</v>
      </c>
      <c r="D15" s="971">
        <v>10871.419801170003</v>
      </c>
      <c r="E15" s="971">
        <v>9566.7203549999995</v>
      </c>
      <c r="F15" s="971">
        <v>8703.557780950001</v>
      </c>
      <c r="G15" s="971">
        <v>9296.8944464899978</v>
      </c>
      <c r="H15" s="974">
        <f t="shared" si="5"/>
        <v>6.8171738554854935</v>
      </c>
      <c r="I15" s="974">
        <f t="shared" si="2"/>
        <v>2.0684657188619395</v>
      </c>
      <c r="J15" s="487"/>
      <c r="K15" s="487"/>
      <c r="L15" s="487"/>
      <c r="M15" s="472"/>
      <c r="N15" s="486"/>
      <c r="O15" s="486"/>
      <c r="P15" s="472"/>
      <c r="Q15" s="472"/>
      <c r="R15" s="472"/>
      <c r="S15" s="472"/>
    </row>
    <row r="16" spans="2:19" ht="15" hidden="1" customHeight="1">
      <c r="B16" s="472"/>
      <c r="C16" s="973" t="str">
        <f>IF(Indice_index!$Z$1=1,"Outros subsectores das AP","Other General Government subsectors")</f>
        <v>Other General Government subsectors</v>
      </c>
      <c r="D16" s="971">
        <v>0</v>
      </c>
      <c r="E16" s="971">
        <v>0</v>
      </c>
      <c r="F16" s="971">
        <v>0</v>
      </c>
      <c r="G16" s="971">
        <v>0</v>
      </c>
      <c r="H16" s="974" t="str">
        <f t="shared" si="5"/>
        <v>-</v>
      </c>
      <c r="I16" s="974">
        <f t="shared" si="2"/>
        <v>0</v>
      </c>
      <c r="J16" s="487"/>
      <c r="K16" s="487"/>
      <c r="L16" s="487"/>
      <c r="M16" s="472"/>
      <c r="N16" s="486"/>
      <c r="O16" s="486"/>
      <c r="P16" s="472"/>
      <c r="Q16" s="472"/>
      <c r="R16" s="472"/>
      <c r="S16" s="472"/>
    </row>
    <row r="17" spans="2:28" ht="15" customHeight="1">
      <c r="B17" s="472"/>
      <c r="C17" s="973" t="str">
        <f>IF(Indice_index!$Z$1=1,"União Europeia","European Union")</f>
        <v>European Union</v>
      </c>
      <c r="D17" s="971">
        <v>1427.2160138600002</v>
      </c>
      <c r="E17" s="971">
        <v>1807.172206</v>
      </c>
      <c r="F17" s="971">
        <v>1263.3110784400001</v>
      </c>
      <c r="G17" s="971">
        <v>995.73949730000015</v>
      </c>
      <c r="H17" s="974">
        <f t="shared" si="5"/>
        <v>-21.180181643812602</v>
      </c>
      <c r="I17" s="974">
        <f t="shared" si="2"/>
        <v>-0.93279696852387894</v>
      </c>
      <c r="J17" s="487"/>
      <c r="K17" s="487"/>
      <c r="L17" s="487"/>
      <c r="M17" s="472"/>
      <c r="N17" s="486"/>
      <c r="O17" s="486"/>
      <c r="P17" s="472"/>
      <c r="Q17" s="472"/>
      <c r="R17" s="472"/>
      <c r="S17" s="472"/>
      <c r="T17" s="472"/>
      <c r="U17" s="472"/>
      <c r="V17" s="472"/>
      <c r="W17" s="472"/>
      <c r="X17" s="472"/>
      <c r="Y17" s="472"/>
      <c r="Z17" s="472"/>
      <c r="AA17" s="472"/>
      <c r="AB17" s="472"/>
    </row>
    <row r="18" spans="2:28" ht="15" customHeight="1">
      <c r="B18" s="472"/>
      <c r="C18" s="973" t="str">
        <f>IF(Indice_index!$Z$1=1,"Outras transferências","Other transfers")</f>
        <v>Other transfers</v>
      </c>
      <c r="D18" s="971">
        <v>2.4134979799999998</v>
      </c>
      <c r="E18" s="971">
        <v>2</v>
      </c>
      <c r="F18" s="971">
        <v>1.9888883599999996</v>
      </c>
      <c r="G18" s="971">
        <v>2.06734996</v>
      </c>
      <c r="H18" s="974">
        <f t="shared" si="5"/>
        <v>3.9449976971055567</v>
      </c>
      <c r="I18" s="974">
        <f t="shared" si="2"/>
        <v>2.735295815561201E-4</v>
      </c>
      <c r="J18" s="487"/>
      <c r="K18" s="487"/>
      <c r="L18" s="487"/>
      <c r="M18" s="472"/>
      <c r="N18" s="486"/>
      <c r="O18" s="486"/>
      <c r="P18" s="472"/>
      <c r="Q18" s="472"/>
      <c r="R18" s="472"/>
      <c r="S18" s="472"/>
      <c r="T18" s="472"/>
      <c r="U18" s="472"/>
      <c r="V18" s="472"/>
      <c r="W18" s="472"/>
      <c r="X18" s="472"/>
      <c r="Y18" s="472"/>
      <c r="Z18" s="472"/>
      <c r="AA18" s="472"/>
      <c r="AB18" s="472"/>
    </row>
    <row r="19" spans="2:28" ht="15" customHeight="1">
      <c r="B19" s="489"/>
      <c r="C19" s="970" t="str">
        <f>IF(Indice_index!$Z$1=1,"Outras receitas correntes","Other current revenue")</f>
        <v>Other current revenue</v>
      </c>
      <c r="D19" s="971">
        <v>1021.6488205999999</v>
      </c>
      <c r="E19" s="971">
        <v>731.30011200000001</v>
      </c>
      <c r="F19" s="971">
        <v>816.56780491999984</v>
      </c>
      <c r="G19" s="971">
        <v>855.49279376000004</v>
      </c>
      <c r="H19" s="974">
        <f t="shared" si="5"/>
        <v>4.7669022223835684</v>
      </c>
      <c r="I19" s="974">
        <f t="shared" si="2"/>
        <v>0.13569868457285902</v>
      </c>
      <c r="J19" s="487"/>
      <c r="K19" s="487"/>
      <c r="L19" s="487"/>
      <c r="M19" s="472"/>
      <c r="N19" s="486"/>
      <c r="O19" s="486"/>
      <c r="P19" s="472"/>
      <c r="Q19" s="472"/>
      <c r="R19" s="472"/>
      <c r="S19" s="472"/>
      <c r="T19" s="472"/>
      <c r="U19" s="472"/>
      <c r="V19" s="472"/>
      <c r="W19" s="472"/>
      <c r="X19" s="472"/>
      <c r="Y19" s="472"/>
      <c r="Z19" s="472"/>
      <c r="AA19" s="472"/>
      <c r="AB19" s="472"/>
    </row>
    <row r="20" spans="2:28" s="480" customFormat="1" ht="15" customHeight="1">
      <c r="B20" s="490"/>
      <c r="C20" s="968" t="str">
        <f>IF(Indice_index!$Z$1=1,"Receita de capital","Capital revenue")</f>
        <v>Capital revenue</v>
      </c>
      <c r="D20" s="969">
        <f>+D21+D22+D27</f>
        <v>0.91545309000000008</v>
      </c>
      <c r="E20" s="969">
        <f>+E21+E22+E27</f>
        <v>7.6267070000000006</v>
      </c>
      <c r="F20" s="969">
        <f>+F21+F22+F27</f>
        <v>0.55213871000000003</v>
      </c>
      <c r="G20" s="969">
        <f>+G21+G22+G27</f>
        <v>0.50239157000000001</v>
      </c>
      <c r="H20" s="969">
        <f t="shared" si="5"/>
        <v>-9.0098989799139453</v>
      </c>
      <c r="I20" s="969">
        <f t="shared" si="2"/>
        <v>-1.7342641990239363E-4</v>
      </c>
      <c r="J20" s="484"/>
      <c r="K20" s="484"/>
      <c r="L20" s="484"/>
      <c r="M20" s="479"/>
      <c r="N20" s="486"/>
      <c r="O20" s="486"/>
      <c r="P20" s="479"/>
      <c r="Q20" s="479"/>
      <c r="R20" s="479"/>
      <c r="S20" s="479"/>
      <c r="T20" s="479"/>
      <c r="U20" s="479"/>
      <c r="V20" s="479"/>
      <c r="W20" s="479"/>
      <c r="X20" s="479"/>
      <c r="Y20" s="479"/>
      <c r="Z20" s="479"/>
      <c r="AA20" s="479"/>
      <c r="AB20" s="479"/>
    </row>
    <row r="21" spans="2:28" ht="15" customHeight="1">
      <c r="B21" s="489"/>
      <c r="C21" s="970" t="str">
        <f>IF(Indice_index!$Z$1=1,"Venda de bens de investimento","Sale of investment goods")</f>
        <v>Sale of investment goods</v>
      </c>
      <c r="D21" s="971">
        <v>0.61795309000000009</v>
      </c>
      <c r="E21" s="971">
        <v>5.3141949999999998</v>
      </c>
      <c r="F21" s="971">
        <v>0.55213871000000003</v>
      </c>
      <c r="G21" s="971">
        <v>0.49684954000000003</v>
      </c>
      <c r="H21" s="974">
        <f t="shared" si="5"/>
        <v>-10.01363769622311</v>
      </c>
      <c r="I21" s="974">
        <f t="shared" si="2"/>
        <v>-1.9274681544456266E-4</v>
      </c>
      <c r="J21" s="487"/>
      <c r="K21" s="487"/>
      <c r="L21" s="487"/>
      <c r="M21" s="472"/>
      <c r="N21" s="486"/>
      <c r="O21" s="486"/>
      <c r="P21" s="472"/>
      <c r="Q21" s="472"/>
      <c r="R21" s="472"/>
      <c r="S21" s="472"/>
      <c r="T21" s="472"/>
      <c r="U21" s="472"/>
      <c r="V21" s="472"/>
      <c r="W21" s="472"/>
      <c r="X21" s="472"/>
      <c r="Y21" s="472"/>
      <c r="Z21" s="472"/>
      <c r="AA21" s="472"/>
      <c r="AB21" s="472"/>
    </row>
    <row r="22" spans="2:28" ht="15" customHeight="1">
      <c r="B22" s="491"/>
      <c r="C22" s="970" t="str">
        <f>IF(Indice_index!$Z$1=1,"Transferências de capital","Capital transfers")</f>
        <v>Capital transfers</v>
      </c>
      <c r="D22" s="975">
        <f>+SUM(D23:D26)</f>
        <v>0.29749999999999999</v>
      </c>
      <c r="E22" s="975">
        <f>+SUM(E23:E26)</f>
        <v>1.8776079999999999</v>
      </c>
      <c r="F22" s="975">
        <f>+SUM(F23:F26)</f>
        <v>0</v>
      </c>
      <c r="G22" s="975">
        <f>+SUM(G23:G26)</f>
        <v>0</v>
      </c>
      <c r="H22" s="974" t="str">
        <f t="shared" si="5"/>
        <v>-</v>
      </c>
      <c r="I22" s="974">
        <f t="shared" si="2"/>
        <v>0</v>
      </c>
      <c r="J22" s="487"/>
      <c r="K22" s="487"/>
      <c r="L22" s="487"/>
      <c r="M22" s="472"/>
      <c r="N22" s="486"/>
      <c r="O22" s="486"/>
      <c r="P22" s="472"/>
      <c r="Q22" s="472"/>
      <c r="R22" s="472"/>
      <c r="S22" s="472"/>
      <c r="T22" s="472"/>
      <c r="U22" s="472"/>
      <c r="V22" s="472"/>
      <c r="W22" s="472"/>
      <c r="X22" s="472"/>
      <c r="Y22" s="472"/>
      <c r="Z22" s="472"/>
      <c r="AA22" s="472"/>
      <c r="AB22" s="472"/>
    </row>
    <row r="23" spans="2:28" ht="15" hidden="1" customHeight="1">
      <c r="B23" s="491"/>
      <c r="C23" s="858" t="str">
        <f>IF(Indice_index!$Z$1=1,"Administração Central","Central Administration")</f>
        <v>Central Administration</v>
      </c>
      <c r="D23" s="971">
        <v>0.29749999999999999</v>
      </c>
      <c r="E23" s="971">
        <v>1.8776079999999999</v>
      </c>
      <c r="F23" s="971">
        <v>0</v>
      </c>
      <c r="G23" s="971">
        <v>0</v>
      </c>
      <c r="H23" s="974" t="str">
        <f t="shared" si="5"/>
        <v>-</v>
      </c>
      <c r="I23" s="974">
        <f t="shared" ref="I23" si="8">IFERROR((G23-F23)/$F$29*100,"-")</f>
        <v>0</v>
      </c>
      <c r="J23" s="487"/>
      <c r="K23" s="487"/>
      <c r="L23" s="487"/>
      <c r="M23" s="472"/>
      <c r="N23" s="486"/>
      <c r="O23" s="486"/>
      <c r="P23" s="472"/>
      <c r="Q23" s="472"/>
      <c r="R23" s="472"/>
      <c r="S23" s="472"/>
      <c r="T23" s="472"/>
      <c r="U23" s="472"/>
      <c r="V23" s="472"/>
      <c r="W23" s="472"/>
      <c r="X23" s="472"/>
      <c r="Y23" s="472"/>
      <c r="Z23" s="472"/>
      <c r="AA23" s="472"/>
      <c r="AB23" s="472"/>
    </row>
    <row r="24" spans="2:28" ht="15" hidden="1" customHeight="1">
      <c r="B24" s="491"/>
      <c r="C24" s="973" t="str">
        <f>IF(Indice_index!$Z$1=1,"Outros subsectores das AP","Other General Government subsectors")</f>
        <v>Other General Government subsectors</v>
      </c>
      <c r="D24" s="971">
        <v>0</v>
      </c>
      <c r="E24" s="971">
        <v>0</v>
      </c>
      <c r="F24" s="971">
        <v>0</v>
      </c>
      <c r="G24" s="971">
        <v>0</v>
      </c>
      <c r="H24" s="974" t="str">
        <f t="shared" si="5"/>
        <v>-</v>
      </c>
      <c r="I24" s="974">
        <f>IFERROR((G24-F24)/$F$29*100,"-")</f>
        <v>0</v>
      </c>
      <c r="J24" s="487"/>
      <c r="K24" s="487"/>
      <c r="L24" s="487"/>
      <c r="M24" s="472"/>
      <c r="N24" s="486"/>
      <c r="O24" s="486"/>
      <c r="P24" s="472"/>
      <c r="Q24" s="472"/>
      <c r="R24" s="472"/>
      <c r="S24" s="472"/>
      <c r="T24" s="472"/>
      <c r="U24" s="472"/>
      <c r="V24" s="472"/>
      <c r="W24" s="472"/>
      <c r="X24" s="472"/>
      <c r="Y24" s="472"/>
      <c r="Z24" s="472"/>
      <c r="AA24" s="472"/>
      <c r="AB24" s="472"/>
    </row>
    <row r="25" spans="2:28" ht="15" hidden="1" customHeight="1">
      <c r="B25" s="472"/>
      <c r="C25" s="973" t="str">
        <f>IF(Indice_index!$Z$1=1,"União Europeia","European Union")</f>
        <v>European Union</v>
      </c>
      <c r="D25" s="971">
        <v>0</v>
      </c>
      <c r="E25" s="971">
        <v>0</v>
      </c>
      <c r="F25" s="971">
        <v>0</v>
      </c>
      <c r="G25" s="971">
        <v>0</v>
      </c>
      <c r="H25" s="974" t="str">
        <f t="shared" si="5"/>
        <v>-</v>
      </c>
      <c r="I25" s="974">
        <f>IFERROR((G25-F25)/$F$29*100,"-")</f>
        <v>0</v>
      </c>
      <c r="J25" s="487"/>
      <c r="K25" s="487"/>
      <c r="L25" s="487"/>
      <c r="M25" s="472"/>
      <c r="N25" s="486"/>
      <c r="O25" s="486"/>
      <c r="P25" s="472"/>
      <c r="Q25" s="472"/>
      <c r="R25" s="472"/>
      <c r="S25" s="472"/>
      <c r="T25" s="472"/>
      <c r="U25" s="472"/>
      <c r="V25" s="472"/>
      <c r="W25" s="472"/>
      <c r="X25" s="472"/>
      <c r="Y25" s="472"/>
      <c r="Z25" s="472"/>
      <c r="AA25" s="472"/>
      <c r="AB25" s="472"/>
    </row>
    <row r="26" spans="2:28" ht="15" hidden="1" customHeight="1">
      <c r="B26" s="472"/>
      <c r="C26" s="973" t="str">
        <f>IF(Indice_index!$Z$1=1,"Outras transferências","Other transfers")</f>
        <v>Other transfers</v>
      </c>
      <c r="D26" s="971">
        <v>0</v>
      </c>
      <c r="E26" s="971">
        <v>0</v>
      </c>
      <c r="F26" s="971">
        <v>0</v>
      </c>
      <c r="G26" s="971">
        <v>0</v>
      </c>
      <c r="H26" s="974" t="str">
        <f t="shared" si="5"/>
        <v>-</v>
      </c>
      <c r="I26" s="974">
        <f>IFERROR((G26-F26)/$F$29*100,"-")</f>
        <v>0</v>
      </c>
      <c r="J26" s="487"/>
      <c r="K26" s="487"/>
      <c r="L26" s="487"/>
      <c r="M26" s="472"/>
      <c r="N26" s="486"/>
      <c r="O26" s="486"/>
      <c r="P26" s="472"/>
      <c r="Q26" s="472"/>
      <c r="R26" s="472"/>
      <c r="S26" s="472"/>
      <c r="T26" s="472"/>
      <c r="U26" s="472"/>
      <c r="V26" s="472"/>
      <c r="W26" s="472"/>
      <c r="X26" s="472"/>
      <c r="Y26" s="472"/>
      <c r="Z26" s="472"/>
      <c r="AA26" s="472"/>
      <c r="AB26" s="472"/>
    </row>
    <row r="27" spans="2:28" ht="15" customHeight="1">
      <c r="B27" s="472"/>
      <c r="C27" s="970" t="str">
        <f>IF(Indice_index!$Z$1=1,"Outras Receitas de Capital","Other capital revenue")</f>
        <v>Other capital revenue</v>
      </c>
      <c r="D27" s="971">
        <v>0</v>
      </c>
      <c r="E27" s="971">
        <v>0.43490400000000001</v>
      </c>
      <c r="F27" s="971">
        <v>0</v>
      </c>
      <c r="G27" s="971">
        <v>5.5420300000000007E-3</v>
      </c>
      <c r="H27" s="974" t="str">
        <f t="shared" si="5"/>
        <v>-</v>
      </c>
      <c r="I27" s="974">
        <f>IFERROR((G27-F27)/$F$29*100,"-")</f>
        <v>1.9320395542169105E-5</v>
      </c>
      <c r="J27" s="487"/>
      <c r="K27" s="487"/>
      <c r="L27" s="487"/>
      <c r="M27" s="472"/>
      <c r="N27" s="486"/>
      <c r="O27" s="486"/>
      <c r="P27" s="472"/>
      <c r="Q27" s="472"/>
      <c r="R27" s="472"/>
      <c r="S27" s="472"/>
      <c r="T27" s="472"/>
      <c r="U27" s="472"/>
      <c r="V27" s="472"/>
      <c r="W27" s="472"/>
      <c r="X27" s="472"/>
      <c r="Y27" s="472"/>
      <c r="Z27" s="472"/>
      <c r="AA27" s="472"/>
      <c r="AB27" s="472"/>
    </row>
    <row r="28" spans="2:28" ht="4.5" customHeight="1">
      <c r="B28" s="472"/>
      <c r="C28" s="973"/>
      <c r="D28" s="974"/>
      <c r="E28" s="974"/>
      <c r="F28" s="974"/>
      <c r="G28" s="974"/>
      <c r="H28" s="974"/>
      <c r="I28" s="974"/>
      <c r="J28" s="487"/>
      <c r="K28" s="487"/>
      <c r="L28" s="487"/>
      <c r="M28" s="472"/>
      <c r="N28" s="486"/>
      <c r="O28" s="486"/>
      <c r="P28" s="472"/>
      <c r="Q28" s="472"/>
      <c r="R28" s="472"/>
      <c r="S28" s="472"/>
      <c r="T28" s="472"/>
      <c r="U28" s="472"/>
      <c r="V28" s="472"/>
      <c r="W28" s="472"/>
      <c r="X28" s="472"/>
      <c r="Y28" s="472"/>
      <c r="Z28" s="472"/>
      <c r="AA28" s="472"/>
      <c r="AB28" s="472"/>
    </row>
    <row r="29" spans="2:28" s="480" customFormat="1" ht="15" customHeight="1">
      <c r="B29" s="479"/>
      <c r="C29" s="976" t="str">
        <f>IF(Indice_index!$Z$1=1,"Receita efetiva","Effective revenue")</f>
        <v>Effective revenue</v>
      </c>
      <c r="D29" s="977">
        <f>+D8+D20</f>
        <v>33566.541879700002</v>
      </c>
      <c r="E29" s="977">
        <f>+E8+E20</f>
        <v>33608.819207</v>
      </c>
      <c r="F29" s="977">
        <f>+F8+F20</f>
        <v>28684.868215580002</v>
      </c>
      <c r="G29" s="977">
        <f>+G8+G20</f>
        <v>31189.976402460001</v>
      </c>
      <c r="H29" s="977">
        <f t="shared" ref="H29" si="9">IF(IFERROR((G29-F29)/F29*100,"")&gt;500,"-",IFERROR((G29-F29)/F29*100,""))</f>
        <v>8.7332044479094577</v>
      </c>
      <c r="I29" s="977"/>
      <c r="J29" s="484"/>
      <c r="K29" s="484"/>
      <c r="L29" s="484"/>
      <c r="M29" s="479"/>
      <c r="N29" s="486"/>
      <c r="O29" s="486"/>
      <c r="P29" s="479"/>
      <c r="Q29" s="479"/>
      <c r="R29" s="479"/>
      <c r="S29" s="479"/>
      <c r="T29" s="479"/>
      <c r="U29" s="479"/>
      <c r="V29" s="479"/>
      <c r="W29" s="479"/>
      <c r="X29" s="479"/>
      <c r="Y29" s="479"/>
      <c r="Z29" s="479"/>
      <c r="AA29" s="479"/>
      <c r="AB29" s="479"/>
    </row>
    <row r="30" spans="2:28" ht="4.5" customHeight="1">
      <c r="B30" s="472"/>
      <c r="C30" s="973"/>
      <c r="D30" s="974"/>
      <c r="E30" s="974"/>
      <c r="F30" s="974"/>
      <c r="G30" s="974"/>
      <c r="H30" s="974"/>
      <c r="I30" s="974"/>
      <c r="J30" s="487"/>
      <c r="K30" s="487"/>
      <c r="L30" s="487"/>
      <c r="M30" s="472"/>
      <c r="N30" s="486"/>
      <c r="O30" s="486"/>
      <c r="P30" s="472"/>
      <c r="Q30" s="472"/>
      <c r="R30" s="472"/>
      <c r="S30" s="472"/>
      <c r="T30" s="472"/>
      <c r="U30" s="472"/>
      <c r="V30" s="472"/>
      <c r="W30" s="472"/>
      <c r="X30" s="472"/>
      <c r="Y30" s="472"/>
      <c r="Z30" s="472"/>
      <c r="AA30" s="472"/>
      <c r="AB30" s="472"/>
    </row>
    <row r="31" spans="2:28" s="480" customFormat="1" ht="15" customHeight="1">
      <c r="B31" s="479"/>
      <c r="C31" s="968" t="str">
        <f>IF(Indice_index!$Z$1=1,"Despesa corrente","Current Expenditure")</f>
        <v>Current Expenditure</v>
      </c>
      <c r="D31" s="969">
        <f t="shared" ref="D31:E31" si="10">+D32+D36+D37+D38+D43+D44</f>
        <v>31195.450149439996</v>
      </c>
      <c r="E31" s="969">
        <f t="shared" si="10"/>
        <v>30910.787177000002</v>
      </c>
      <c r="F31" s="969">
        <f t="shared" ref="F31:G31" si="11">+F32+F36+F37+F38+F43+F44</f>
        <v>27534.676763109997</v>
      </c>
      <c r="G31" s="969">
        <f t="shared" si="11"/>
        <v>27342.534511690003</v>
      </c>
      <c r="H31" s="969">
        <f t="shared" ref="H31:H52" si="12">IF(IFERROR((G31-F31)/F31*100,"")&gt;500,"-",IFERROR((G31-F31)/F31*100,""))</f>
        <v>-0.69781916480465234</v>
      </c>
      <c r="I31" s="969">
        <f>IFERROR((G31-F31)/$F$54*100,"-")</f>
        <v>-0.69706341948514827</v>
      </c>
      <c r="J31" s="484"/>
      <c r="K31" s="484"/>
      <c r="L31" s="484"/>
      <c r="M31" s="479"/>
      <c r="N31" s="486"/>
      <c r="O31" s="486"/>
      <c r="P31" s="479"/>
      <c r="Q31" s="479"/>
      <c r="R31" s="479"/>
      <c r="S31" s="479"/>
      <c r="T31" s="479"/>
      <c r="U31" s="479"/>
      <c r="V31" s="479"/>
      <c r="W31" s="479"/>
      <c r="X31" s="479"/>
      <c r="Y31" s="479"/>
      <c r="Z31" s="479"/>
      <c r="AA31" s="479"/>
      <c r="AB31" s="479"/>
    </row>
    <row r="32" spans="2:28" ht="15" customHeight="1">
      <c r="B32" s="472"/>
      <c r="C32" s="970" t="str">
        <f>IF(Indice_index!$Z$1=1,"Despesas com o pessoal","Employees")</f>
        <v>Employees</v>
      </c>
      <c r="D32" s="974">
        <f t="shared" ref="D32:E32" si="13">+D33+D34+D35</f>
        <v>292.95986727999991</v>
      </c>
      <c r="E32" s="974">
        <f t="shared" si="13"/>
        <v>324.63119100000006</v>
      </c>
      <c r="F32" s="974">
        <f t="shared" ref="F32:G32" si="14">+F33+F34+F35</f>
        <v>266.39309865000001</v>
      </c>
      <c r="G32" s="974">
        <f t="shared" si="14"/>
        <v>275.79708890000001</v>
      </c>
      <c r="H32" s="974">
        <f t="shared" si="12"/>
        <v>3.5301178212410842</v>
      </c>
      <c r="I32" s="974">
        <f t="shared" ref="I32:I52" si="15">IFERROR((G32-F32)/$F$54*100,"-")</f>
        <v>3.4116273500622879E-2</v>
      </c>
      <c r="J32" s="487"/>
      <c r="K32" s="487"/>
      <c r="L32" s="487"/>
      <c r="M32" s="472"/>
      <c r="N32" s="486"/>
      <c r="O32" s="486"/>
      <c r="P32" s="472"/>
      <c r="Q32" s="472"/>
      <c r="R32" s="472"/>
      <c r="S32" s="472"/>
      <c r="T32" s="472"/>
      <c r="U32" s="472"/>
      <c r="V32" s="472"/>
      <c r="W32" s="472"/>
      <c r="X32" s="472"/>
      <c r="Y32" s="472"/>
      <c r="Z32" s="472"/>
      <c r="AA32" s="472"/>
      <c r="AB32" s="472"/>
    </row>
    <row r="33" spans="2:28" ht="15" customHeight="1">
      <c r="B33" s="472"/>
      <c r="C33" s="858" t="str">
        <f>IF(Indice_index!$Z$1=1,"Remunerações Certas e Permanentes","Certain and permanent wages")</f>
        <v>Certain and permanent wages</v>
      </c>
      <c r="D33" s="971">
        <v>233.69650922999992</v>
      </c>
      <c r="E33" s="971">
        <v>260.99803300000002</v>
      </c>
      <c r="F33" s="971">
        <v>215.40642075000002</v>
      </c>
      <c r="G33" s="971">
        <v>223.78098027000004</v>
      </c>
      <c r="H33" s="974">
        <f t="shared" si="12"/>
        <v>3.8877947513549311</v>
      </c>
      <c r="I33" s="974">
        <f t="shared" si="15"/>
        <v>3.0381652408834212E-2</v>
      </c>
      <c r="J33" s="487"/>
      <c r="K33" s="487"/>
      <c r="L33" s="487"/>
      <c r="M33" s="472"/>
      <c r="N33" s="486"/>
      <c r="O33" s="486"/>
      <c r="P33" s="472"/>
      <c r="Q33" s="472"/>
      <c r="R33" s="472"/>
      <c r="S33" s="472"/>
      <c r="T33" s="472"/>
      <c r="U33" s="472"/>
      <c r="V33" s="472"/>
      <c r="W33" s="472"/>
      <c r="X33" s="472"/>
      <c r="Y33" s="472"/>
      <c r="Z33" s="472"/>
      <c r="AA33" s="472"/>
      <c r="AB33" s="472"/>
    </row>
    <row r="34" spans="2:28" ht="15" customHeight="1">
      <c r="B34" s="472"/>
      <c r="C34" s="858" t="str">
        <f>IF(Indice_index!$Z$1=1,"Abonos Variáveis ou Eventuais","Variable or contingent bonuses")</f>
        <v>Variable or contingent bonuses</v>
      </c>
      <c r="D34" s="971">
        <v>5.1169230200000007</v>
      </c>
      <c r="E34" s="971">
        <v>7.6004949999999996</v>
      </c>
      <c r="F34" s="971">
        <v>4.4319055000000001</v>
      </c>
      <c r="G34" s="971">
        <v>4.6029236999999998</v>
      </c>
      <c r="H34" s="974">
        <f t="shared" si="12"/>
        <v>3.8587961769491654</v>
      </c>
      <c r="I34" s="974">
        <f t="shared" si="15"/>
        <v>6.2042851275651001E-4</v>
      </c>
      <c r="J34" s="487"/>
      <c r="K34" s="487"/>
      <c r="L34" s="487"/>
      <c r="M34" s="472"/>
      <c r="N34" s="486"/>
      <c r="O34" s="486"/>
      <c r="P34" s="472"/>
      <c r="Q34" s="472"/>
      <c r="R34" s="472"/>
      <c r="S34" s="472"/>
      <c r="T34" s="472"/>
      <c r="U34" s="472"/>
      <c r="V34" s="472"/>
      <c r="W34" s="472"/>
      <c r="X34" s="472"/>
      <c r="Y34" s="472"/>
      <c r="Z34" s="472"/>
      <c r="AA34" s="472"/>
      <c r="AB34" s="472"/>
    </row>
    <row r="35" spans="2:28" ht="15" customHeight="1">
      <c r="B35" s="472"/>
      <c r="C35" s="858" t="str">
        <f>IF(Indice_index!$Z$1=1,"Segurança social","Social security")</f>
        <v>Social security</v>
      </c>
      <c r="D35" s="971">
        <v>54.146435030000006</v>
      </c>
      <c r="E35" s="971">
        <v>56.032662999999999</v>
      </c>
      <c r="F35" s="971">
        <v>46.554772400000012</v>
      </c>
      <c r="G35" s="971">
        <v>47.413184929999993</v>
      </c>
      <c r="H35" s="974">
        <f t="shared" si="12"/>
        <v>1.8438765474449639</v>
      </c>
      <c r="I35" s="974">
        <f t="shared" si="15"/>
        <v>3.114192579032185E-3</v>
      </c>
      <c r="J35" s="487"/>
      <c r="K35" s="487"/>
      <c r="L35" s="487"/>
      <c r="M35" s="472"/>
      <c r="N35" s="486"/>
      <c r="O35" s="486"/>
      <c r="P35" s="472"/>
      <c r="Q35" s="472"/>
      <c r="R35" s="472"/>
      <c r="S35" s="472"/>
      <c r="T35" s="472"/>
      <c r="U35" s="472"/>
      <c r="V35" s="472"/>
      <c r="W35" s="472"/>
      <c r="X35" s="472"/>
      <c r="Y35" s="472"/>
      <c r="Z35" s="472"/>
      <c r="AA35" s="472"/>
      <c r="AB35" s="472"/>
    </row>
    <row r="36" spans="2:28" ht="15" customHeight="1">
      <c r="B36" s="472"/>
      <c r="C36" s="970" t="str">
        <f>IF(Indice_index!$Z$1=1,"Aquisição de bens e serviços","Purchase of goods and services")</f>
        <v>Purchase of goods and services</v>
      </c>
      <c r="D36" s="971">
        <v>99.981533720000002</v>
      </c>
      <c r="E36" s="971">
        <v>186.896266</v>
      </c>
      <c r="F36" s="971">
        <v>81.881336560000008</v>
      </c>
      <c r="G36" s="971">
        <v>73.763300629999975</v>
      </c>
      <c r="H36" s="974">
        <f t="shared" si="12"/>
        <v>-9.9143910823333936</v>
      </c>
      <c r="I36" s="974">
        <f t="shared" si="15"/>
        <v>-2.945102309902594E-2</v>
      </c>
      <c r="J36" s="487"/>
      <c r="K36" s="487"/>
      <c r="L36" s="487"/>
      <c r="M36" s="472"/>
      <c r="N36" s="486"/>
      <c r="O36" s="486"/>
      <c r="P36" s="472"/>
      <c r="Q36" s="472"/>
      <c r="R36" s="472"/>
      <c r="S36" s="472"/>
      <c r="T36" s="472"/>
      <c r="U36" s="472"/>
      <c r="V36" s="472"/>
      <c r="W36" s="492"/>
      <c r="X36" s="472"/>
      <c r="Y36" s="472"/>
      <c r="Z36" s="492"/>
      <c r="AA36" s="472"/>
      <c r="AB36" s="492"/>
    </row>
    <row r="37" spans="2:28" ht="15" customHeight="1">
      <c r="C37" s="970" t="str">
        <f>IF(Indice_index!$Z$1=1,"Juros e outros encargos","Interests")</f>
        <v>Interests</v>
      </c>
      <c r="D37" s="971">
        <v>6.5070547399999992</v>
      </c>
      <c r="E37" s="971">
        <v>10.362807</v>
      </c>
      <c r="F37" s="971">
        <v>5.7459727699999998</v>
      </c>
      <c r="G37" s="971">
        <v>6.3777875700000006</v>
      </c>
      <c r="H37" s="974">
        <f t="shared" si="12"/>
        <v>10.99578479206752</v>
      </c>
      <c r="I37" s="974">
        <f t="shared" si="15"/>
        <v>2.2921298242032295E-3</v>
      </c>
      <c r="J37" s="487"/>
      <c r="K37" s="487"/>
      <c r="L37" s="487"/>
      <c r="M37" s="472"/>
      <c r="N37" s="486"/>
      <c r="O37" s="486"/>
      <c r="P37" s="472"/>
      <c r="Q37" s="472"/>
      <c r="R37" s="472"/>
      <c r="S37" s="472"/>
      <c r="T37" s="472"/>
      <c r="U37" s="472"/>
      <c r="V37" s="472"/>
    </row>
    <row r="38" spans="2:28" ht="15" customHeight="1">
      <c r="C38" s="970" t="str">
        <f>IF(Indice_index!$Z$1=1,"Transferências correntes","Current transfers")</f>
        <v>Current transfers</v>
      </c>
      <c r="D38" s="975">
        <f t="shared" ref="D38:E38" si="16">+D39+D40+D41+D42</f>
        <v>29805.776706309996</v>
      </c>
      <c r="E38" s="975">
        <f t="shared" si="16"/>
        <v>28761.380738</v>
      </c>
      <c r="F38" s="975">
        <f t="shared" ref="F38:G38" si="17">+F39+F40+F41+F42</f>
        <v>26357.047777889999</v>
      </c>
      <c r="G38" s="975">
        <f t="shared" si="17"/>
        <v>26180.468638670001</v>
      </c>
      <c r="H38" s="974">
        <f t="shared" si="12"/>
        <v>-0.66995037042093608</v>
      </c>
      <c r="I38" s="974">
        <f t="shared" si="15"/>
        <v>-0.64060277052435177</v>
      </c>
      <c r="J38" s="487"/>
      <c r="K38" s="487"/>
      <c r="L38" s="487"/>
      <c r="M38" s="472"/>
      <c r="N38" s="486"/>
      <c r="O38" s="486"/>
      <c r="P38" s="472"/>
      <c r="Q38" s="472"/>
      <c r="R38" s="472"/>
      <c r="S38" s="472"/>
      <c r="T38" s="472"/>
      <c r="U38" s="472"/>
      <c r="V38" s="472"/>
    </row>
    <row r="39" spans="2:28" ht="15" customHeight="1">
      <c r="C39" s="858" t="str">
        <f>IF(Indice_index!$Z$1=1,"Administração Central","Central Administration")</f>
        <v>Central Administration</v>
      </c>
      <c r="D39" s="971">
        <v>2005.25270972</v>
      </c>
      <c r="E39" s="971">
        <v>1793.2989580000001</v>
      </c>
      <c r="F39" s="971">
        <v>1878.6953810999998</v>
      </c>
      <c r="G39" s="971">
        <v>1556.9057976599997</v>
      </c>
      <c r="H39" s="974">
        <f t="shared" si="12"/>
        <v>-17.128353360382896</v>
      </c>
      <c r="I39" s="974">
        <f t="shared" si="15"/>
        <v>-1.1674045959682444</v>
      </c>
      <c r="J39" s="487"/>
      <c r="K39" s="487"/>
      <c r="L39" s="487"/>
      <c r="M39" s="472"/>
      <c r="N39" s="486"/>
      <c r="O39" s="486"/>
      <c r="P39" s="472"/>
      <c r="Q39" s="472"/>
      <c r="R39" s="472"/>
      <c r="S39" s="472"/>
      <c r="T39" s="472"/>
      <c r="U39" s="472"/>
      <c r="V39" s="472"/>
    </row>
    <row r="40" spans="2:28" ht="15" customHeight="1">
      <c r="C40" s="973" t="str">
        <f>IF(Indice_index!$Z$1=1,"Outros subsectores das AP","Other General Government subsectors")</f>
        <v>Other General Government subsectors</v>
      </c>
      <c r="D40" s="971">
        <v>92.915999979999995</v>
      </c>
      <c r="E40" s="971">
        <v>86.357648999999995</v>
      </c>
      <c r="F40" s="971">
        <v>92.01707798999999</v>
      </c>
      <c r="G40" s="971">
        <v>63.055917350000001</v>
      </c>
      <c r="H40" s="974">
        <f t="shared" si="12"/>
        <v>-31.473679965307483</v>
      </c>
      <c r="I40" s="974">
        <f t="shared" si="15"/>
        <v>-0.10506676963959152</v>
      </c>
      <c r="J40" s="487"/>
      <c r="K40" s="487"/>
      <c r="L40" s="487"/>
      <c r="M40" s="472"/>
      <c r="N40" s="486"/>
      <c r="O40" s="486"/>
      <c r="P40" s="472"/>
      <c r="Q40" s="472"/>
      <c r="R40" s="472"/>
      <c r="S40" s="472"/>
      <c r="T40" s="472"/>
      <c r="U40" s="472"/>
      <c r="V40" s="472"/>
    </row>
    <row r="41" spans="2:28" ht="15" hidden="1" customHeight="1">
      <c r="C41" s="973" t="str">
        <f>IF(Indice_index!$Z$1=1,"União Europeia","European Union")</f>
        <v>European Union</v>
      </c>
      <c r="D41" s="971">
        <v>0</v>
      </c>
      <c r="E41" s="971">
        <v>0</v>
      </c>
      <c r="F41" s="971">
        <v>0</v>
      </c>
      <c r="G41" s="971">
        <v>0</v>
      </c>
      <c r="H41" s="974" t="str">
        <f t="shared" si="12"/>
        <v>-</v>
      </c>
      <c r="I41" s="974">
        <f t="shared" si="15"/>
        <v>0</v>
      </c>
      <c r="J41" s="487"/>
      <c r="K41" s="487"/>
      <c r="L41" s="487"/>
      <c r="M41" s="472"/>
      <c r="N41" s="486"/>
      <c r="O41" s="486"/>
      <c r="P41" s="472"/>
      <c r="Q41" s="472"/>
      <c r="R41" s="472"/>
      <c r="S41" s="472"/>
      <c r="T41" s="472"/>
      <c r="U41" s="472"/>
      <c r="V41" s="472"/>
    </row>
    <row r="42" spans="2:28" ht="15" customHeight="1">
      <c r="C42" s="973" t="str">
        <f>IF(Indice_index!$Z$1=1,"Outras transferências","Other transfers")</f>
        <v>Other transfers</v>
      </c>
      <c r="D42" s="971">
        <v>27707.607996609997</v>
      </c>
      <c r="E42" s="971">
        <v>26881.724130999999</v>
      </c>
      <c r="F42" s="971">
        <v>24386.3353188</v>
      </c>
      <c r="G42" s="971">
        <v>24560.506923660003</v>
      </c>
      <c r="H42" s="974">
        <f t="shared" si="12"/>
        <v>0.71421803474394885</v>
      </c>
      <c r="I42" s="974">
        <f t="shared" si="15"/>
        <v>0.6318685950834837</v>
      </c>
      <c r="J42" s="487"/>
      <c r="K42" s="487"/>
      <c r="L42" s="487"/>
      <c r="M42" s="472"/>
      <c r="N42" s="486"/>
      <c r="O42" s="486"/>
      <c r="P42" s="472"/>
      <c r="Q42" s="472"/>
      <c r="R42" s="472"/>
      <c r="S42" s="472"/>
      <c r="T42" s="472"/>
      <c r="U42" s="472"/>
      <c r="V42" s="472"/>
    </row>
    <row r="43" spans="2:28" ht="15" customHeight="1">
      <c r="C43" s="970" t="str">
        <f>IF(Indice_index!$Z$1=1,"Subsídios","Subsidies")</f>
        <v>Subsidies</v>
      </c>
      <c r="D43" s="971">
        <v>980.28050590999999</v>
      </c>
      <c r="E43" s="971">
        <v>1612.925189</v>
      </c>
      <c r="F43" s="971">
        <v>814.46185185000002</v>
      </c>
      <c r="G43" s="971">
        <v>795.3982657900001</v>
      </c>
      <c r="H43" s="974">
        <f t="shared" si="12"/>
        <v>-2.3406358464424279</v>
      </c>
      <c r="I43" s="974">
        <f t="shared" si="15"/>
        <v>-6.9159845835188902E-2</v>
      </c>
      <c r="J43" s="487"/>
      <c r="K43" s="487"/>
      <c r="L43" s="487"/>
      <c r="M43" s="472"/>
      <c r="N43" s="486"/>
      <c r="O43" s="486"/>
      <c r="P43" s="472"/>
      <c r="Q43" s="472"/>
      <c r="R43" s="472"/>
      <c r="S43" s="472"/>
      <c r="T43" s="472"/>
      <c r="U43" s="472"/>
      <c r="V43" s="472"/>
    </row>
    <row r="44" spans="2:28" ht="15" customHeight="1">
      <c r="C44" s="970" t="str">
        <f>IF(Indice_index!$Z$1=1,"Outras despesas correntes","Other current expenditure")</f>
        <v>Other current expenditure</v>
      </c>
      <c r="D44" s="971">
        <v>9.9444814800000003</v>
      </c>
      <c r="E44" s="971">
        <v>14.590985999999999</v>
      </c>
      <c r="F44" s="971">
        <v>9.1467253900000003</v>
      </c>
      <c r="G44" s="971">
        <v>10.729430130000003</v>
      </c>
      <c r="H44" s="974">
        <f t="shared" si="12"/>
        <v>17.303512158901736</v>
      </c>
      <c r="I44" s="974">
        <f t="shared" si="15"/>
        <v>5.7418166485840774E-3</v>
      </c>
      <c r="J44" s="487"/>
      <c r="K44" s="487"/>
      <c r="L44" s="487"/>
      <c r="M44" s="472"/>
      <c r="N44" s="486"/>
      <c r="O44" s="486"/>
      <c r="P44" s="472"/>
      <c r="Q44" s="472"/>
      <c r="R44" s="472"/>
      <c r="S44" s="472"/>
      <c r="T44" s="472"/>
      <c r="U44" s="472"/>
      <c r="V44" s="472"/>
    </row>
    <row r="45" spans="2:28" s="480" customFormat="1" ht="15" customHeight="1">
      <c r="C45" s="968" t="str">
        <f>IF(Indice_index!$Z$1=1,"Despesa de capital","Capital expenditure")</f>
        <v>Capital expenditure</v>
      </c>
      <c r="D45" s="969">
        <f t="shared" ref="D45:E45" si="18">+D46+D47+D52</f>
        <v>42.826696200000008</v>
      </c>
      <c r="E45" s="969">
        <f t="shared" si="18"/>
        <v>102.021045</v>
      </c>
      <c r="F45" s="969">
        <f t="shared" ref="F45:G45" si="19">+F46+F47+F52</f>
        <v>29.852668359999996</v>
      </c>
      <c r="G45" s="969">
        <f t="shared" si="19"/>
        <v>33.747908070000001</v>
      </c>
      <c r="H45" s="969">
        <f t="shared" si="12"/>
        <v>13.048212853291504</v>
      </c>
      <c r="I45" s="969">
        <f t="shared" si="15"/>
        <v>1.4131348476977338E-2</v>
      </c>
      <c r="J45" s="484"/>
      <c r="K45" s="484"/>
      <c r="L45" s="484"/>
      <c r="M45" s="479"/>
      <c r="N45" s="486"/>
      <c r="O45" s="486"/>
      <c r="P45" s="479"/>
      <c r="Q45" s="479"/>
      <c r="R45" s="479"/>
      <c r="S45" s="479"/>
      <c r="T45" s="479"/>
      <c r="U45" s="479"/>
      <c r="V45" s="479"/>
    </row>
    <row r="46" spans="2:28" ht="15" customHeight="1">
      <c r="C46" s="970" t="str">
        <f>IF(Indice_index!$Z$1=1,"Investimento","Investment")</f>
        <v>Investment</v>
      </c>
      <c r="D46" s="971">
        <v>38.651164250000008</v>
      </c>
      <c r="E46" s="971">
        <v>95.302459999999996</v>
      </c>
      <c r="F46" s="971">
        <v>26.967336929999995</v>
      </c>
      <c r="G46" s="971">
        <v>30.892491380000003</v>
      </c>
      <c r="H46" s="974">
        <f t="shared" si="12"/>
        <v>14.555217150987732</v>
      </c>
      <c r="I46" s="974">
        <f t="shared" si="15"/>
        <v>1.4239874690255805E-2</v>
      </c>
      <c r="J46" s="487"/>
      <c r="K46" s="487"/>
      <c r="L46" s="487"/>
      <c r="M46" s="472"/>
      <c r="N46" s="486"/>
      <c r="O46" s="486"/>
      <c r="P46" s="472"/>
      <c r="Q46" s="472"/>
      <c r="R46" s="472"/>
      <c r="S46" s="472"/>
      <c r="T46" s="472"/>
      <c r="U46" s="472"/>
      <c r="V46" s="472"/>
    </row>
    <row r="47" spans="2:28" ht="15" customHeight="1">
      <c r="C47" s="970" t="str">
        <f>IF(Indice_index!$Z$1=1,"Transferências de capital","Capital transfers")</f>
        <v>Capital transfers</v>
      </c>
      <c r="D47" s="975">
        <f t="shared" ref="D47" si="20">+D49+D51+D48+D50</f>
        <v>4.1755319499999999</v>
      </c>
      <c r="E47" s="975">
        <f>(+E49+E51+E48+E50)</f>
        <v>6.718585</v>
      </c>
      <c r="F47" s="975">
        <f>(+F49+F51+F48+F50)</f>
        <v>2.8853314299999999</v>
      </c>
      <c r="G47" s="975">
        <f>(+G49+G51+G48+G50)</f>
        <v>2.8554166900000002</v>
      </c>
      <c r="H47" s="974">
        <f t="shared" si="12"/>
        <v>-1.0367869593407408</v>
      </c>
      <c r="I47" s="974">
        <f t="shared" si="15"/>
        <v>-1.0852621327845533E-4</v>
      </c>
      <c r="J47" s="487"/>
      <c r="K47" s="487"/>
      <c r="L47" s="487"/>
      <c r="M47" s="472"/>
      <c r="N47" s="486"/>
      <c r="O47" s="486"/>
      <c r="P47" s="472"/>
      <c r="Q47" s="472"/>
      <c r="R47" s="472"/>
      <c r="S47" s="472"/>
      <c r="T47" s="472"/>
      <c r="U47" s="472"/>
      <c r="V47" s="472"/>
    </row>
    <row r="48" spans="2:28" ht="15" hidden="1" customHeight="1">
      <c r="C48" s="858" t="str">
        <f>IF(Indice_index!$Z$1=1,"Administração Central","Central Administration")</f>
        <v>Central Administration</v>
      </c>
      <c r="D48" s="971">
        <v>0</v>
      </c>
      <c r="E48" s="971">
        <v>0</v>
      </c>
      <c r="F48" s="971">
        <v>0</v>
      </c>
      <c r="G48" s="971">
        <v>0</v>
      </c>
      <c r="H48" s="974" t="str">
        <f t="shared" si="12"/>
        <v>-</v>
      </c>
      <c r="I48" s="974">
        <f t="shared" si="15"/>
        <v>0</v>
      </c>
      <c r="J48" s="487"/>
      <c r="K48" s="487"/>
      <c r="L48" s="487"/>
      <c r="M48" s="472"/>
      <c r="N48" s="486"/>
      <c r="O48" s="486"/>
      <c r="P48" s="472"/>
      <c r="Q48" s="472"/>
      <c r="R48" s="472"/>
      <c r="S48" s="472"/>
      <c r="T48" s="472"/>
      <c r="U48" s="472"/>
      <c r="V48" s="472"/>
    </row>
    <row r="49" spans="2:22" ht="15" hidden="1" customHeight="1">
      <c r="C49" s="973" t="str">
        <f>IF(Indice_index!$Z$1=1,"Outros subsectores das AP","Other General Government subsectors")</f>
        <v>Other General Government subsectors</v>
      </c>
      <c r="D49" s="971">
        <v>0</v>
      </c>
      <c r="E49" s="971">
        <v>0</v>
      </c>
      <c r="F49" s="971">
        <v>0</v>
      </c>
      <c r="G49" s="971">
        <v>0</v>
      </c>
      <c r="H49" s="974" t="str">
        <f t="shared" si="12"/>
        <v>-</v>
      </c>
      <c r="I49" s="974">
        <f t="shared" si="15"/>
        <v>0</v>
      </c>
      <c r="J49" s="487"/>
      <c r="K49" s="487"/>
      <c r="L49" s="487"/>
      <c r="M49" s="472"/>
      <c r="N49" s="486"/>
      <c r="O49" s="486"/>
      <c r="P49" s="472"/>
      <c r="Q49" s="472"/>
      <c r="R49" s="472"/>
      <c r="S49" s="472"/>
      <c r="T49" s="472"/>
      <c r="U49" s="472"/>
      <c r="V49" s="472"/>
    </row>
    <row r="50" spans="2:22" ht="15" customHeight="1">
      <c r="C50" s="973" t="str">
        <f>IF(Indice_index!$Z$1=1,"União Europeia","European Union")</f>
        <v>European Union</v>
      </c>
      <c r="D50" s="971">
        <v>0.77931732999999992</v>
      </c>
      <c r="E50" s="971">
        <v>0.88119999999999998</v>
      </c>
      <c r="F50" s="971">
        <v>0.22886918000000001</v>
      </c>
      <c r="G50" s="971">
        <v>0.10633652</v>
      </c>
      <c r="H50" s="974">
        <f t="shared" si="12"/>
        <v>-53.538296418941158</v>
      </c>
      <c r="I50" s="974">
        <f t="shared" si="15"/>
        <v>-4.4453020794219097E-4</v>
      </c>
      <c r="J50" s="487"/>
      <c r="K50" s="487"/>
      <c r="L50" s="487"/>
      <c r="M50" s="472"/>
      <c r="N50" s="486"/>
      <c r="O50" s="486"/>
      <c r="P50" s="472"/>
      <c r="Q50" s="472"/>
      <c r="R50" s="472"/>
      <c r="S50" s="472"/>
      <c r="T50" s="472"/>
      <c r="U50" s="472"/>
      <c r="V50" s="472"/>
    </row>
    <row r="51" spans="2:22" ht="15" customHeight="1">
      <c r="C51" s="973" t="str">
        <f>IF(Indice_index!$Z$1=1,"Outras transferências","Other transfers")</f>
        <v>Other transfers</v>
      </c>
      <c r="D51" s="971">
        <v>3.3962146200000003</v>
      </c>
      <c r="E51" s="971">
        <v>5.8373850000000003</v>
      </c>
      <c r="F51" s="971">
        <v>2.6564622500000001</v>
      </c>
      <c r="G51" s="971">
        <v>2.74908017</v>
      </c>
      <c r="H51" s="974">
        <f t="shared" si="12"/>
        <v>3.4865136894002502</v>
      </c>
      <c r="I51" s="974">
        <f t="shared" si="15"/>
        <v>3.3600399466373427E-4</v>
      </c>
      <c r="J51" s="487"/>
      <c r="K51" s="487"/>
      <c r="L51" s="487"/>
      <c r="M51" s="472"/>
      <c r="N51" s="486"/>
      <c r="O51" s="486"/>
      <c r="P51" s="472"/>
      <c r="Q51" s="472"/>
      <c r="R51" s="472"/>
      <c r="S51" s="472"/>
      <c r="T51" s="472"/>
      <c r="U51" s="472"/>
      <c r="V51" s="472"/>
    </row>
    <row r="52" spans="2:22" ht="15" hidden="1" customHeight="1">
      <c r="C52" s="970" t="str">
        <f>IF(Indice_index!$Z$1=1,"Outras despesas de capital","Other capital expenditure")</f>
        <v>Other capital expenditure</v>
      </c>
      <c r="D52" s="971">
        <v>0</v>
      </c>
      <c r="E52" s="971">
        <v>0</v>
      </c>
      <c r="F52" s="971">
        <v>0</v>
      </c>
      <c r="G52" s="971">
        <v>0</v>
      </c>
      <c r="H52" s="974" t="str">
        <f t="shared" si="12"/>
        <v>-</v>
      </c>
      <c r="I52" s="974">
        <f t="shared" si="15"/>
        <v>0</v>
      </c>
      <c r="J52" s="487"/>
      <c r="K52" s="487"/>
      <c r="L52" s="487"/>
      <c r="M52" s="472"/>
      <c r="N52" s="486"/>
      <c r="O52" s="486"/>
      <c r="P52" s="472"/>
      <c r="Q52" s="472"/>
      <c r="R52" s="472"/>
      <c r="S52" s="472"/>
      <c r="T52" s="472"/>
      <c r="U52" s="472"/>
      <c r="V52" s="472"/>
    </row>
    <row r="53" spans="2:22" ht="4.5" customHeight="1">
      <c r="C53" s="970"/>
      <c r="D53" s="974"/>
      <c r="E53" s="974"/>
      <c r="F53" s="974"/>
      <c r="G53" s="974"/>
      <c r="H53" s="974"/>
      <c r="I53" s="974"/>
      <c r="J53" s="487"/>
      <c r="K53" s="487"/>
      <c r="L53" s="487"/>
      <c r="M53" s="493"/>
      <c r="N53" s="486"/>
      <c r="O53" s="486"/>
      <c r="P53" s="472"/>
      <c r="Q53" s="472"/>
      <c r="R53" s="472"/>
      <c r="S53" s="472"/>
      <c r="T53" s="472"/>
      <c r="U53" s="472"/>
      <c r="V53" s="472"/>
    </row>
    <row r="54" spans="2:22" s="480" customFormat="1" ht="15" customHeight="1">
      <c r="C54" s="976" t="str">
        <f>IF(Indice_index!$Z$1=1,"Despesa efetiva","Effective Expenditure")</f>
        <v>Effective Expenditure</v>
      </c>
      <c r="D54" s="977">
        <f t="shared" ref="D54:E54" si="21">+D45+D31</f>
        <v>31238.276845639997</v>
      </c>
      <c r="E54" s="977">
        <f t="shared" si="21"/>
        <v>31012.808222000003</v>
      </c>
      <c r="F54" s="977">
        <f t="shared" ref="F54:G54" si="22">+F45+F31</f>
        <v>27564.529431469997</v>
      </c>
      <c r="G54" s="977">
        <f t="shared" si="22"/>
        <v>27376.282419760002</v>
      </c>
      <c r="H54" s="977">
        <f t="shared" ref="H54" si="23">IF(IFERROR((G54-F54)/F54*100,"")&gt;500,"-",IFERROR((G54-F54)/F54*100,""))</f>
        <v>-0.68293207100817033</v>
      </c>
      <c r="I54" s="977"/>
      <c r="J54" s="484"/>
      <c r="K54" s="484"/>
      <c r="L54" s="484"/>
      <c r="M54" s="479"/>
      <c r="N54" s="486"/>
      <c r="O54" s="486"/>
      <c r="P54" s="479"/>
      <c r="Q54" s="479"/>
      <c r="R54" s="479"/>
      <c r="S54" s="479"/>
      <c r="T54" s="479"/>
      <c r="U54" s="479"/>
      <c r="V54" s="479"/>
    </row>
    <row r="55" spans="2:22" ht="4.5" customHeight="1">
      <c r="C55" s="978"/>
      <c r="D55" s="111"/>
      <c r="E55" s="111"/>
      <c r="F55" s="111"/>
      <c r="G55" s="111"/>
      <c r="H55" s="979"/>
      <c r="I55" s="974"/>
      <c r="J55" s="487"/>
      <c r="K55" s="487"/>
      <c r="L55" s="487"/>
      <c r="N55" s="486"/>
      <c r="O55" s="486"/>
      <c r="P55" s="493"/>
      <c r="Q55" s="493"/>
      <c r="R55" s="493"/>
      <c r="S55" s="472"/>
      <c r="T55" s="472"/>
      <c r="U55" s="472"/>
      <c r="V55" s="472"/>
    </row>
    <row r="56" spans="2:22" s="480" customFormat="1" ht="15" customHeight="1">
      <c r="C56" s="980" t="str">
        <f>IF(Indice_index!$Z$1=1,"Saldo global","Overall Balance")</f>
        <v>Overall Balance</v>
      </c>
      <c r="D56" s="981">
        <f t="shared" ref="D56:G56" si="24">+D29-D54</f>
        <v>2328.2650340600048</v>
      </c>
      <c r="E56" s="981">
        <f t="shared" ref="E56" si="25">+E29-E54</f>
        <v>2596.0109849999972</v>
      </c>
      <c r="F56" s="981">
        <f>+F29-F54</f>
        <v>1120.3387841100048</v>
      </c>
      <c r="G56" s="981">
        <f t="shared" si="24"/>
        <v>3813.6939826999987</v>
      </c>
      <c r="H56" s="981"/>
      <c r="I56" s="981"/>
      <c r="J56" s="494"/>
      <c r="K56" s="495"/>
      <c r="L56" s="484"/>
      <c r="N56" s="486"/>
      <c r="O56" s="486"/>
      <c r="P56" s="479"/>
      <c r="Q56" s="479"/>
      <c r="R56" s="479"/>
      <c r="S56" s="479"/>
      <c r="T56" s="479"/>
      <c r="U56" s="479"/>
      <c r="V56" s="479"/>
    </row>
    <row r="57" spans="2:22" ht="8.25" customHeight="1">
      <c r="B57" s="472"/>
      <c r="C57" s="982"/>
      <c r="D57" s="111"/>
      <c r="E57" s="111"/>
      <c r="F57" s="111"/>
      <c r="G57" s="111"/>
      <c r="H57" s="972"/>
      <c r="I57" s="983"/>
      <c r="J57" s="487"/>
      <c r="K57" s="487"/>
      <c r="L57" s="487"/>
      <c r="N57" s="486"/>
      <c r="O57" s="486"/>
    </row>
    <row r="58" spans="2:22" ht="15" customHeight="1">
      <c r="B58" s="472"/>
      <c r="C58" s="984" t="str">
        <f>IF(Indice_index!$Z$1=1,"Despesa  primária","Primary Expenditure")</f>
        <v>Primary Expenditure</v>
      </c>
      <c r="D58" s="701">
        <f t="shared" ref="D58:E58" si="26">+D54-D37</f>
        <v>31231.769790899998</v>
      </c>
      <c r="E58" s="701">
        <f t="shared" si="26"/>
        <v>31002.445415000002</v>
      </c>
      <c r="F58" s="701">
        <f t="shared" ref="F58:G58" si="27">+F54-F37</f>
        <v>27558.783458699996</v>
      </c>
      <c r="G58" s="701">
        <f t="shared" si="27"/>
        <v>27369.904632190002</v>
      </c>
      <c r="H58" s="975">
        <f t="shared" ref="H58" si="28">IF(IFERROR((G58-F58)/F58*100,"")&gt;500,"-",IFERROR((G58-F58)/F58*100,""))</f>
        <v>-0.68536706924327939</v>
      </c>
      <c r="I58" s="974"/>
      <c r="J58" s="487"/>
      <c r="K58" s="487"/>
      <c r="L58" s="487"/>
      <c r="N58" s="486"/>
      <c r="O58" s="486"/>
    </row>
    <row r="59" spans="2:22" ht="15" customHeight="1">
      <c r="B59" s="472"/>
      <c r="C59" s="984" t="str">
        <f>IF(Indice_index!$Z$1=1,"Saldo primário","Primary balance")</f>
        <v>Primary balance</v>
      </c>
      <c r="D59" s="701">
        <f t="shared" ref="D59:E59" si="29">+D56+D37</f>
        <v>2334.7720888000049</v>
      </c>
      <c r="E59" s="701">
        <f t="shared" si="29"/>
        <v>2606.3737919999971</v>
      </c>
      <c r="F59" s="701">
        <f t="shared" ref="F59:G59" si="30">+F56+F37</f>
        <v>1126.0847568800048</v>
      </c>
      <c r="G59" s="701">
        <f t="shared" si="30"/>
        <v>3820.0717702699985</v>
      </c>
      <c r="H59" s="975"/>
      <c r="I59" s="975"/>
      <c r="J59" s="487"/>
      <c r="K59" s="487"/>
      <c r="L59" s="487"/>
      <c r="N59" s="486"/>
      <c r="O59" s="486"/>
    </row>
    <row r="60" spans="2:22" ht="15" customHeight="1">
      <c r="B60" s="472"/>
      <c r="C60" s="984" t="str">
        <f>IF(Indice_index!$Z$1=1,"Saldo corrente","Current balance")</f>
        <v>Current balance</v>
      </c>
      <c r="D60" s="701">
        <f>+D8-D31</f>
        <v>2370.1762771700087</v>
      </c>
      <c r="E60" s="701">
        <f>+E8-E31</f>
        <v>2690.4053229999954</v>
      </c>
      <c r="F60" s="701">
        <f>+F8-F31</f>
        <v>1149.6393137600026</v>
      </c>
      <c r="G60" s="701">
        <f>+G8-G31</f>
        <v>3846.939499199998</v>
      </c>
      <c r="H60" s="975"/>
      <c r="I60" s="975"/>
      <c r="J60" s="487"/>
      <c r="K60" s="487"/>
      <c r="L60" s="487"/>
      <c r="N60" s="486"/>
      <c r="O60" s="486"/>
    </row>
    <row r="61" spans="2:22" ht="15" customHeight="1">
      <c r="B61" s="472"/>
      <c r="C61" s="984" t="str">
        <f>IF(Indice_index!$Z$1=1,"Saldo de capital","Capital balance")</f>
        <v>Capital balance</v>
      </c>
      <c r="D61" s="701">
        <f>+D20-D45</f>
        <v>-41.911243110000008</v>
      </c>
      <c r="E61" s="701">
        <f>+E20-E45</f>
        <v>-94.394338000000005</v>
      </c>
      <c r="F61" s="701">
        <f>+F20-F45</f>
        <v>-29.300529649999994</v>
      </c>
      <c r="G61" s="701">
        <f>+G20-G45</f>
        <v>-33.245516500000001</v>
      </c>
      <c r="H61" s="975"/>
      <c r="I61" s="975"/>
      <c r="J61" s="487"/>
      <c r="K61" s="487"/>
      <c r="L61" s="487"/>
      <c r="N61" s="486"/>
      <c r="O61" s="486"/>
    </row>
    <row r="62" spans="2:22" ht="4.5" customHeight="1">
      <c r="B62" s="472"/>
      <c r="C62" s="984"/>
      <c r="D62" s="971"/>
      <c r="E62" s="971"/>
      <c r="F62" s="971"/>
      <c r="G62" s="971"/>
      <c r="H62" s="972"/>
      <c r="I62" s="983"/>
      <c r="J62" s="487"/>
      <c r="K62" s="487"/>
      <c r="L62" s="487"/>
      <c r="N62" s="486"/>
      <c r="O62" s="486"/>
    </row>
    <row r="63" spans="2:22" ht="15" customHeight="1">
      <c r="B63" s="472"/>
      <c r="C63" s="984" t="str">
        <f>IF(Indice_index!$Z$1=1,"Ativos financeiros líquidos de reembolsos","Financial assets net of reimbursements")</f>
        <v>Financial assets net of reimbursements</v>
      </c>
      <c r="D63" s="971">
        <v>4376.8330583500019</v>
      </c>
      <c r="E63" s="971">
        <v>451.730343</v>
      </c>
      <c r="F63" s="971">
        <v>3011.8873383099994</v>
      </c>
      <c r="G63" s="971">
        <v>548.7514346799984</v>
      </c>
      <c r="H63" s="972"/>
      <c r="I63" s="983"/>
      <c r="J63" s="487"/>
      <c r="K63" s="487"/>
      <c r="L63" s="487"/>
      <c r="N63" s="486"/>
      <c r="O63" s="486"/>
    </row>
    <row r="64" spans="2:22" ht="15" customHeight="1">
      <c r="B64" s="472"/>
      <c r="C64" s="982" t="str">
        <f>IF(Indice_index!$Z$1=1,"dos quais Receitas de:","of which revenue from:")</f>
        <v>of which revenue from:</v>
      </c>
      <c r="D64" s="971"/>
      <c r="E64" s="971"/>
      <c r="F64" s="971"/>
      <c r="G64" s="971"/>
      <c r="H64" s="972"/>
      <c r="I64" s="983"/>
      <c r="J64" s="487"/>
      <c r="K64" s="487"/>
      <c r="L64" s="487"/>
      <c r="N64" s="486"/>
      <c r="O64" s="486"/>
    </row>
    <row r="65" spans="2:18" ht="15" hidden="1" customHeight="1">
      <c r="C65" s="985" t="str">
        <f>IF(Indice_index!$Z$1=1,"Alienação de partes de Capital","Disposal of Capital Shares")</f>
        <v>Disposal of Capital Shares</v>
      </c>
      <c r="D65" s="971">
        <v>0</v>
      </c>
      <c r="E65" s="971"/>
      <c r="F65" s="971">
        <v>0</v>
      </c>
      <c r="G65" s="971">
        <v>0</v>
      </c>
      <c r="H65" s="972"/>
      <c r="I65" s="983"/>
      <c r="J65" s="487"/>
      <c r="K65" s="487"/>
      <c r="L65" s="487"/>
      <c r="N65" s="486"/>
      <c r="O65" s="486"/>
    </row>
    <row r="66" spans="2:18" ht="15" customHeight="1">
      <c r="B66" s="475"/>
      <c r="C66" s="985" t="str">
        <f>IF(Indice_index!$Z$1=1,"Outros Ativos","Other Assets")</f>
        <v>Other Assets</v>
      </c>
      <c r="D66" s="971">
        <v>7165.9928975199991</v>
      </c>
      <c r="E66" s="971">
        <v>26677.602394000001</v>
      </c>
      <c r="F66" s="971">
        <v>6774.0324575600007</v>
      </c>
      <c r="G66" s="971">
        <v>9238.8593879600012</v>
      </c>
      <c r="H66" s="972"/>
      <c r="I66" s="983"/>
      <c r="J66" s="487"/>
      <c r="K66" s="487"/>
      <c r="L66" s="487"/>
      <c r="N66" s="486"/>
      <c r="O66" s="486"/>
    </row>
    <row r="67" spans="2:18" ht="15" customHeight="1">
      <c r="B67" s="475"/>
      <c r="C67" s="984" t="str">
        <f>IF(Indice_index!$Z$1=1,"Passivos financeiros líquidos de amortizações","Financial liabilities net of amortizations")</f>
        <v>Financial liabilities net of amortizations</v>
      </c>
      <c r="D67" s="971">
        <v>0</v>
      </c>
      <c r="E67" s="971">
        <v>-39.512804000000003</v>
      </c>
      <c r="F67" s="971">
        <v>0</v>
      </c>
      <c r="G67" s="971">
        <v>-5.8375830000000004E-2</v>
      </c>
      <c r="H67" s="974"/>
      <c r="I67" s="986"/>
      <c r="J67" s="487"/>
      <c r="K67" s="487"/>
      <c r="L67" s="487"/>
      <c r="N67" s="486"/>
      <c r="O67" s="486"/>
    </row>
    <row r="68" spans="2:18" ht="15" customHeight="1">
      <c r="B68" s="472"/>
      <c r="C68" s="967" t="str">
        <f>IF(Indice_index!$Z$1=1,"Poupança (+) / Utilização (-) de saldo da gerência anterior","Saving (+) / Usage (-) of balance from previous management")</f>
        <v>Saving (+) / Usage (-) of balance from previous management</v>
      </c>
      <c r="D68" s="987">
        <f t="shared" ref="D68:E68" si="31">+D56-D63+D67</f>
        <v>-2048.5680242899971</v>
      </c>
      <c r="E68" s="987">
        <f t="shared" si="31"/>
        <v>2104.767837999997</v>
      </c>
      <c r="F68" s="987">
        <f t="shared" ref="F68:G68" si="32">+F56-F63+F67</f>
        <v>-1891.5485541999947</v>
      </c>
      <c r="G68" s="987">
        <f t="shared" si="32"/>
        <v>3264.8841721900003</v>
      </c>
      <c r="H68" s="988"/>
      <c r="I68" s="989"/>
      <c r="J68" s="487"/>
      <c r="K68" s="487"/>
      <c r="L68" s="487"/>
      <c r="N68" s="486"/>
      <c r="O68" s="486"/>
    </row>
    <row r="69" spans="2:18" s="123" customFormat="1" ht="4.5" customHeight="1">
      <c r="C69" s="466"/>
      <c r="D69" s="466"/>
      <c r="E69" s="466"/>
      <c r="F69" s="933"/>
      <c r="G69" s="933"/>
      <c r="H69" s="466"/>
      <c r="I69" s="466"/>
      <c r="J69" s="466"/>
      <c r="K69" s="111"/>
    </row>
    <row r="70" spans="2:18" s="123" customFormat="1" ht="15" customHeight="1">
      <c r="C70" s="990" t="str">
        <f>IF(Indice_index!$Z$1=1,"Notas:","Notes:")</f>
        <v>Notes:</v>
      </c>
      <c r="D70" s="990"/>
      <c r="E70" s="990"/>
      <c r="F70" s="933"/>
      <c r="G70" s="933"/>
      <c r="H70" s="466"/>
      <c r="I70" s="466"/>
      <c r="J70" s="466"/>
      <c r="K70" s="111"/>
    </row>
    <row r="71" spans="2:18" s="96" customFormat="1" ht="15" customHeight="1">
      <c r="C71" s="1729" t="str">
        <f>IF(Indice_index!$Z$1=1,"Valores consolidados - são excluídas transferências intra-setoriais.","Consolidated data - transfers within the subsector are excluded.")</f>
        <v>Consolidated data - transfers within the subsector are excluded.</v>
      </c>
      <c r="D71" s="1729"/>
      <c r="E71" s="1729"/>
      <c r="F71" s="1729"/>
      <c r="G71" s="1729"/>
      <c r="H71" s="1729"/>
      <c r="I71" s="1729"/>
      <c r="J71" s="111"/>
      <c r="K71" s="111"/>
    </row>
    <row r="72" spans="2:18" s="123" customFormat="1" ht="13.5" customHeight="1">
      <c r="C72" s="1729" t="str">
        <f>IF(Indice_index!$Z$1=1,"As diferenças de consolidação são imputadas a outras receitas e/ou despesas correntes e de capital.","Other current revenues/expenditure and other capital revenues/expenditure are influenced by subsector consolidation differences.")</f>
        <v>Other current revenues/expenditure and other capital revenues/expenditure are influenced by subsector consolidation differences.</v>
      </c>
      <c r="D72" s="1729"/>
      <c r="E72" s="1729"/>
      <c r="F72" s="1729"/>
      <c r="G72" s="1729"/>
      <c r="H72" s="1729"/>
      <c r="I72" s="1729"/>
      <c r="J72" s="464"/>
      <c r="K72" s="135"/>
    </row>
    <row r="73" spans="2:18" s="22" customFormat="1" ht="12.75" customHeight="1">
      <c r="C73" s="1705" t="str">
        <f>+'5 - Conta AC + SS'!$C$64</f>
        <v>2021 cumulative execution is monthly reviewed and updated and therefore may differ from data published in 2021.</v>
      </c>
      <c r="D73" s="1705"/>
      <c r="E73" s="1705"/>
      <c r="F73" s="1705"/>
      <c r="G73" s="1705"/>
      <c r="H73" s="1705"/>
      <c r="I73" s="1705"/>
      <c r="J73" s="62"/>
      <c r="Q73" s="24"/>
      <c r="R73" s="24"/>
    </row>
    <row r="74" spans="2:18" s="123" customFormat="1" ht="4.5" customHeight="1">
      <c r="C74" s="466"/>
      <c r="D74" s="466"/>
      <c r="E74" s="466"/>
      <c r="F74" s="933"/>
      <c r="G74" s="991"/>
      <c r="H74" s="466"/>
      <c r="I74" s="466"/>
      <c r="J74" s="466"/>
      <c r="K74" s="466"/>
    </row>
    <row r="75" spans="2:18" ht="15" customHeight="1">
      <c r="C75" s="466" t="str">
        <f>IF(Indice_index!$Z$1=1,"Fonte: Instituto de Gestão Financeira da Segurança Social, I.P.","Souce: Social Security Finance Management Institute")</f>
        <v>Souce: Social Security Finance Management Institute</v>
      </c>
      <c r="D75" s="466"/>
      <c r="E75" s="466"/>
      <c r="F75" s="111"/>
      <c r="G75" s="992"/>
      <c r="H75" s="466"/>
      <c r="I75" s="466"/>
      <c r="J75" s="466"/>
      <c r="K75" s="466"/>
    </row>
    <row r="76" spans="2:18" ht="12.75" customHeight="1">
      <c r="C76" s="622"/>
      <c r="D76" s="622"/>
      <c r="E76" s="622"/>
      <c r="F76" s="677"/>
      <c r="G76" s="137"/>
      <c r="H76" s="623"/>
      <c r="I76" s="624"/>
    </row>
    <row r="77" spans="2:18" ht="12.75" customHeight="1">
      <c r="C77" s="622"/>
      <c r="D77" s="622"/>
      <c r="E77" s="622"/>
      <c r="F77" s="620"/>
      <c r="G77" s="620"/>
      <c r="H77" s="623"/>
      <c r="I77" s="624"/>
    </row>
    <row r="78" spans="2:18" ht="12.75" customHeight="1">
      <c r="F78" s="514"/>
      <c r="G78" s="514"/>
    </row>
    <row r="79" spans="2:18" ht="12.75" customHeight="1">
      <c r="F79" s="514"/>
      <c r="G79" s="514"/>
    </row>
    <row r="80" spans="2:18" ht="12.75" customHeight="1"/>
    <row r="81" spans="6:9" ht="12.75" customHeight="1">
      <c r="F81" s="514"/>
      <c r="G81" s="514"/>
    </row>
    <row r="82" spans="6:9" ht="12.75" customHeight="1">
      <c r="F82" s="514"/>
      <c r="G82" s="514"/>
    </row>
    <row r="83" spans="6:9" ht="12.75" customHeight="1"/>
    <row r="84" spans="6:9" ht="12.75" customHeight="1"/>
    <row r="85" spans="6:9" ht="12.75" customHeight="1"/>
    <row r="86" spans="6:9" ht="12.75" customHeight="1"/>
    <row r="87" spans="6:9" ht="12.75" customHeight="1"/>
    <row r="88" spans="6:9" ht="12.75" customHeight="1"/>
    <row r="89" spans="6:9" ht="12.75" customHeight="1"/>
    <row r="90" spans="6:9" ht="12.75" customHeight="1"/>
    <row r="91" spans="6:9" ht="12.75" customHeight="1">
      <c r="F91" s="497"/>
      <c r="G91" s="497"/>
      <c r="I91" s="478"/>
    </row>
    <row r="92" spans="6:9" ht="12.75" customHeight="1">
      <c r="F92" s="497"/>
      <c r="G92" s="497"/>
      <c r="I92" s="478"/>
    </row>
    <row r="93" spans="6:9" ht="12.75" customHeight="1">
      <c r="F93" s="478"/>
      <c r="G93" s="478"/>
      <c r="H93" s="496"/>
      <c r="I93" s="496"/>
    </row>
    <row r="94" spans="6:9" ht="12.75" customHeight="1"/>
    <row r="95" spans="6:9" ht="12.75" customHeight="1"/>
    <row r="96" spans="6:9" ht="12.75" customHeight="1">
      <c r="F96" s="478"/>
      <c r="G96" s="478"/>
      <c r="H96" s="496"/>
      <c r="I96" s="496"/>
    </row>
    <row r="97" spans="3:5" ht="12.75" customHeight="1"/>
    <row r="98" spans="3:5" ht="12.75" customHeight="1"/>
    <row r="99" spans="3:5" ht="12.75" customHeight="1"/>
    <row r="100" spans="3:5" ht="12.75" customHeight="1">
      <c r="C100" s="41"/>
      <c r="D100" s="41"/>
      <c r="E100" s="41"/>
    </row>
    <row r="101" spans="3:5" ht="12.75" customHeight="1"/>
    <row r="102" spans="3:5" ht="12.75" customHeight="1"/>
    <row r="103" spans="3:5" ht="12.75" customHeight="1"/>
    <row r="104" spans="3:5" ht="12.75" customHeight="1"/>
    <row r="105" spans="3:5" ht="12.75" customHeight="1"/>
    <row r="106" spans="3:5" ht="12.75" customHeight="1"/>
    <row r="107" spans="3:5" ht="12.75" customHeight="1"/>
    <row r="108" spans="3:5" ht="12.75" customHeight="1"/>
    <row r="109" spans="3:5" ht="12.75" customHeight="1"/>
    <row r="110" spans="3:5" ht="12.75" customHeight="1"/>
    <row r="111" spans="3:5" ht="12.75" customHeight="1"/>
    <row r="112" spans="3:5"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sheetData>
  <mergeCells count="5">
    <mergeCell ref="C73:I73"/>
    <mergeCell ref="F6:G6"/>
    <mergeCell ref="H6:I6"/>
    <mergeCell ref="C71:I71"/>
    <mergeCell ref="C72:I72"/>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71:C72 F71:G72 H71:I72 H6 I7 F6:G6 D6 E6" unlockedFormula="1"/>
    <ignoredError sqref="E14:G14 E22:G22 D22 D14" formulaRange="1"/>
    <ignoredError sqref="F7:G7 D7" numberStoredAsText="1"/>
    <ignoredError sqref="H7 E7" numberStoredAsText="1" unlockedFormula="1"/>
    <ignoredError sqref="F20:G20 F45:G45" formula="1"/>
  </ignoredError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18"/>
  <dimension ref="B1:AG133"/>
  <sheetViews>
    <sheetView showGridLines="0" zoomScaleNormal="100" zoomScaleSheetLayoutView="100" workbookViewId="0">
      <selection activeCell="B2" sqref="B2"/>
    </sheetView>
  </sheetViews>
  <sheetFormatPr defaultColWidth="9.1796875" defaultRowHeight="14.5"/>
  <cols>
    <col min="1" max="1" width="2.1796875" style="136" customWidth="1"/>
    <col min="2" max="2" width="4.453125" style="136" customWidth="1"/>
    <col min="3" max="3" width="40.54296875" style="136" customWidth="1"/>
    <col min="4" max="5" width="8.1796875" style="136" customWidth="1"/>
    <col min="6" max="6" width="7.54296875" style="136" customWidth="1"/>
    <col min="7" max="7" width="8.1796875" style="136" customWidth="1"/>
    <col min="8" max="8" width="8.54296875" style="136" customWidth="1"/>
    <col min="9" max="9" width="8.54296875" style="366" customWidth="1"/>
    <col min="10" max="10" width="7.81640625" style="366" customWidth="1"/>
    <col min="11" max="11" width="8" style="366" customWidth="1"/>
    <col min="12" max="12" width="7.1796875" style="366" customWidth="1"/>
    <col min="13" max="13" width="8.54296875" style="4" customWidth="1"/>
    <col min="14" max="14" width="8.54296875" style="136" customWidth="1"/>
    <col min="15" max="15" width="9.1796875" style="246" customWidth="1"/>
    <col min="16" max="16" width="11" style="246" bestFit="1" customWidth="1"/>
    <col min="17" max="17" width="5.54296875" style="136" customWidth="1"/>
    <col min="18" max="18" width="10.453125" style="136" bestFit="1" customWidth="1"/>
    <col min="19" max="19" width="3.54296875" style="136" customWidth="1"/>
    <col min="20" max="20" width="3.1796875" style="136" customWidth="1"/>
    <col min="21" max="21" width="3.54296875" style="136" customWidth="1"/>
    <col min="22" max="23" width="12.54296875" style="136" bestFit="1" customWidth="1"/>
    <col min="24" max="24" width="3.54296875" style="136" customWidth="1"/>
    <col min="25" max="16384" width="9.1796875" style="136"/>
  </cols>
  <sheetData>
    <row r="1" spans="2:33" s="50" customFormat="1" ht="15" customHeight="1">
      <c r="B1" s="49"/>
      <c r="C1" s="49"/>
      <c r="D1" s="244"/>
      <c r="E1" s="244"/>
      <c r="F1" s="244"/>
      <c r="G1" s="244"/>
      <c r="H1" s="244"/>
      <c r="I1" s="369"/>
      <c r="J1" s="369"/>
      <c r="K1" s="369"/>
      <c r="L1" s="369"/>
      <c r="M1" s="369"/>
      <c r="O1" s="246"/>
      <c r="P1" s="246"/>
    </row>
    <row r="2" spans="2:33" ht="24" customHeight="1">
      <c r="B2" s="8"/>
      <c r="C2" s="51" t="str">
        <f>IF(Indice_index!$Z$1=1,"14 - Execução Orçamental da Administração Regional","14 - Regional Government Budget Execution")</f>
        <v>14 - Regional Government Budget Execution</v>
      </c>
      <c r="D2" s="51"/>
      <c r="E2" s="51"/>
      <c r="F2" s="51"/>
      <c r="G2" s="51"/>
      <c r="H2" s="51"/>
      <c r="I2" s="331"/>
      <c r="J2" s="331"/>
      <c r="K2" s="331"/>
      <c r="L2" s="331"/>
      <c r="M2" s="331"/>
    </row>
    <row r="3" spans="2:33" ht="15" customHeight="1">
      <c r="D3" s="244"/>
      <c r="E3" s="244"/>
      <c r="F3" s="244"/>
      <c r="G3" s="244"/>
      <c r="H3" s="244"/>
      <c r="I3" s="369"/>
      <c r="J3" s="369"/>
      <c r="K3" s="369"/>
      <c r="L3" s="369"/>
      <c r="M3" s="369"/>
    </row>
    <row r="4" spans="2:33" ht="15" customHeight="1">
      <c r="B4" s="96"/>
      <c r="C4" s="96"/>
      <c r="D4" s="96"/>
      <c r="E4" s="96"/>
      <c r="F4" s="96"/>
      <c r="G4" s="96"/>
      <c r="H4" s="96"/>
      <c r="I4" s="96"/>
      <c r="J4" s="96"/>
      <c r="K4" s="96"/>
      <c r="L4" s="96"/>
      <c r="M4" s="96"/>
    </row>
    <row r="5" spans="2:33" s="298" customFormat="1" ht="15" customHeight="1">
      <c r="C5" s="1103" t="str">
        <f>+'5 - Conta AC + SS'!C5</f>
        <v>Period: January to November</v>
      </c>
      <c r="D5" s="1126"/>
      <c r="E5" s="1126"/>
      <c r="F5" s="1127"/>
      <c r="G5" s="1127"/>
      <c r="H5" s="1127"/>
      <c r="I5" s="1127"/>
      <c r="J5" s="1127"/>
      <c r="K5" s="1108"/>
      <c r="L5" s="1108"/>
      <c r="M5" s="1108" t="str">
        <f>IF(Indice_index!$Z$1=1,"€ Milhões","€ Millions")</f>
        <v>€ Millions</v>
      </c>
      <c r="N5" s="382"/>
      <c r="O5" s="299"/>
      <c r="P5" s="299"/>
      <c r="Q5" s="300"/>
      <c r="R5" s="300"/>
      <c r="S5" s="300"/>
      <c r="T5" s="300"/>
      <c r="U5" s="300"/>
      <c r="V5" s="300"/>
      <c r="W5" s="300"/>
      <c r="X5" s="300"/>
      <c r="Y5" s="300"/>
      <c r="Z5" s="300"/>
      <c r="AA5" s="300"/>
      <c r="AB5" s="300"/>
      <c r="AC5" s="300"/>
      <c r="AD5" s="300"/>
      <c r="AE5" s="300"/>
      <c r="AF5" s="300"/>
      <c r="AG5" s="300"/>
    </row>
    <row r="6" spans="2:33" ht="25.5" customHeight="1">
      <c r="C6" s="1128"/>
      <c r="D6" s="1733" t="str">
        <f>IF(Indice_index!$Z$1=1,"R. Autónoma dos Açores","Azores Autonomous Region")</f>
        <v>Azores Autonomous Region</v>
      </c>
      <c r="E6" s="1734"/>
      <c r="F6" s="1735"/>
      <c r="G6" s="1733" t="str">
        <f>IF(Indice_index!$Z$1=1,"R. Autónoma da Madeira","Madeira Autonomous Region")</f>
        <v>Madeira Autonomous Region</v>
      </c>
      <c r="H6" s="1734"/>
      <c r="I6" s="1735"/>
      <c r="J6" s="1129" t="str">
        <f>IF(Indice_index!$Z$1=1,"Administração Regional","Regional Government")</f>
        <v>Regional Government</v>
      </c>
      <c r="K6" s="1130"/>
      <c r="L6" s="1130"/>
      <c r="M6" s="1130"/>
      <c r="N6" s="383"/>
      <c r="Q6" s="138"/>
      <c r="R6" s="139"/>
      <c r="S6" s="140"/>
      <c r="T6" s="140"/>
      <c r="U6" s="140"/>
      <c r="V6" s="141"/>
      <c r="W6" s="142"/>
      <c r="X6" s="142"/>
      <c r="Y6" s="140"/>
      <c r="Z6" s="140"/>
      <c r="AA6" s="140"/>
      <c r="AB6" s="138"/>
      <c r="AC6" s="138"/>
      <c r="AD6" s="138"/>
      <c r="AE6" s="138"/>
      <c r="AF6" s="138"/>
      <c r="AG6" s="138"/>
    </row>
    <row r="7" spans="2:33" ht="21.75" customHeight="1">
      <c r="C7" s="1131"/>
      <c r="D7" s="1731" t="str">
        <f>IF(Indice_index!$Z$1=1,"Execução Acumulada","Accumulated Execution")</f>
        <v>Accumulated Execution</v>
      </c>
      <c r="E7" s="1732"/>
      <c r="F7" s="1736"/>
      <c r="G7" s="1731" t="str">
        <f>IF(Indice_index!$Z$1=1,"Execução Acumulada","Accumulated Execution")</f>
        <v>Accumulated Execution</v>
      </c>
      <c r="H7" s="1732"/>
      <c r="I7" s="1736"/>
      <c r="J7" s="1731" t="str">
        <f>IF(Indice_index!$Z$1=1,"Execução Acumulada","Accumulated Execution")</f>
        <v>Accumulated Execution</v>
      </c>
      <c r="K7" s="1732"/>
      <c r="L7" s="1732"/>
      <c r="M7" s="1732"/>
      <c r="N7" s="383"/>
      <c r="Q7" s="1730"/>
      <c r="R7" s="1730"/>
      <c r="S7" s="143"/>
      <c r="T7" s="143"/>
      <c r="U7" s="143"/>
      <c r="V7" s="143"/>
      <c r="W7" s="1730"/>
      <c r="X7" s="1730"/>
      <c r="Y7" s="143"/>
      <c r="Z7" s="143"/>
      <c r="AA7" s="143"/>
      <c r="AB7" s="138"/>
      <c r="AC7" s="138"/>
      <c r="AD7" s="138"/>
      <c r="AE7" s="138"/>
      <c r="AF7" s="138"/>
      <c r="AG7" s="138"/>
    </row>
    <row r="8" spans="2:33" ht="30.75" customHeight="1">
      <c r="C8" s="1132"/>
      <c r="D8" s="1133">
        <v>2021</v>
      </c>
      <c r="E8" s="1134">
        <v>2022</v>
      </c>
      <c r="F8" s="1135" t="str">
        <f>IF(Indice_index!$Z$1=1,"TVH (%)","YOY Change Rate (%)")</f>
        <v>YOY Change Rate (%)</v>
      </c>
      <c r="G8" s="1136">
        <v>2021</v>
      </c>
      <c r="H8" s="1134">
        <v>2022</v>
      </c>
      <c r="I8" s="1135" t="str">
        <f>IF(Indice_index!$Z$1=1,"TVH (%)","YOY Change Rate (%)")</f>
        <v>YOY Change Rate (%)</v>
      </c>
      <c r="J8" s="1133">
        <v>2021</v>
      </c>
      <c r="K8" s="1134">
        <v>2022</v>
      </c>
      <c r="L8" s="1135" t="str">
        <f>IF(Indice_index!$Z$1=1,"TVH (%)","YOY Change Rate (%)")</f>
        <v>YOY Change Rate (%)</v>
      </c>
      <c r="M8" s="1137" t="str">
        <f>IF(Indice_index!$Z$1=1,"Contributo VH (p.p.)","YOY Change Contrib. (p.p.)")</f>
        <v>YOY Change Contrib. (p.p.)</v>
      </c>
      <c r="N8" s="383"/>
      <c r="Q8" s="144"/>
      <c r="R8" s="145"/>
      <c r="S8" s="146"/>
      <c r="T8" s="146"/>
      <c r="U8" s="146"/>
      <c r="V8" s="146"/>
      <c r="W8" s="144"/>
      <c r="X8" s="145"/>
      <c r="Y8" s="146"/>
      <c r="Z8" s="146"/>
      <c r="AA8" s="146"/>
      <c r="AB8" s="138"/>
      <c r="AC8" s="138"/>
      <c r="AD8" s="138"/>
      <c r="AE8" s="138"/>
      <c r="AF8" s="138"/>
      <c r="AG8" s="138"/>
    </row>
    <row r="9" spans="2:33" s="298" customFormat="1" ht="15" customHeight="1">
      <c r="C9" s="1138" t="str">
        <f>IF(Indice_index!$Z$1=1,"Receita corrente","Current revenue")</f>
        <v>Current revenue</v>
      </c>
      <c r="D9" s="1139">
        <v>1032.7945345999999</v>
      </c>
      <c r="E9" s="1139">
        <v>943.34501900000009</v>
      </c>
      <c r="F9" s="301">
        <f>IFERROR(IF(ABS((E9-D9)/D9)*100&gt;500,"n.r",((E9-D9)/D9)*100),0)</f>
        <v>-8.6609206965491445</v>
      </c>
      <c r="G9" s="1139">
        <v>1009.86073362</v>
      </c>
      <c r="H9" s="1139">
        <v>1162.5557718099999</v>
      </c>
      <c r="I9" s="301">
        <f>IFERROR(IF(ABS((H9-G9)/G9)*100&gt;500,"n.r",((H9-G9)/G9)*100),0)</f>
        <v>15.120405527863351</v>
      </c>
      <c r="J9" s="1139">
        <v>2042.6552682200002</v>
      </c>
      <c r="K9" s="1139">
        <v>2105.9007908066669</v>
      </c>
      <c r="L9" s="301">
        <f>IFERROR(IF(ABS((K9-J9)/J9)*100&gt;500,"n.r",((K9-J9)/J9)*100),0)</f>
        <v>3.0962406418083384</v>
      </c>
      <c r="M9" s="301">
        <f t="shared" ref="M9:M21" si="0">IFERROR((K9-J9)/$J$35*100,"-")</f>
        <v>2.7223874920812086</v>
      </c>
      <c r="N9" s="384"/>
      <c r="O9" s="299"/>
      <c r="P9" s="302"/>
      <c r="Q9" s="303"/>
      <c r="R9" s="304"/>
      <c r="S9" s="305"/>
      <c r="T9" s="305"/>
      <c r="U9" s="305"/>
      <c r="V9" s="300"/>
      <c r="W9" s="147"/>
      <c r="X9" s="147"/>
      <c r="Y9" s="147"/>
      <c r="Z9" s="147"/>
      <c r="AA9" s="147"/>
      <c r="AB9" s="147"/>
      <c r="AC9" s="147"/>
      <c r="AD9" s="147"/>
      <c r="AE9" s="147"/>
      <c r="AF9" s="147"/>
      <c r="AG9" s="147"/>
    </row>
    <row r="10" spans="2:33" ht="15" customHeight="1">
      <c r="C10" s="1140" t="str">
        <f>IF(Indice_index!$Z$1=1,"Receita Fiscal","Tax revenue")</f>
        <v>Tax revenue</v>
      </c>
      <c r="D10" s="1141">
        <v>634.72942460999991</v>
      </c>
      <c r="E10" s="1141">
        <v>662.23585265000008</v>
      </c>
      <c r="F10" s="1142">
        <f t="shared" ref="F10:F58" si="1">IFERROR(IF(ABS((E10-D10)/D10)*100&gt;500,"n.r",((E10-D10)/D10)*100),0)</f>
        <v>4.3335674971900175</v>
      </c>
      <c r="G10" s="1141">
        <v>733.06163349000008</v>
      </c>
      <c r="H10" s="1141">
        <v>854.89575372000013</v>
      </c>
      <c r="I10" s="1142">
        <f t="shared" ref="I10:I58" si="2">IFERROR(IF(ABS((H10-G10)/G10)*100&gt;500,"n.r",((H10-G10)/G10)*100),0)</f>
        <v>16.619901337622252</v>
      </c>
      <c r="J10" s="1141">
        <v>1367.7910581000001</v>
      </c>
      <c r="K10" s="1141">
        <v>1517.1316063700001</v>
      </c>
      <c r="L10" s="1142">
        <f t="shared" ref="L10:L58" si="3">IFERROR(IF(ABS((K10-J10)/J10)*100&gt;500,"n.r",((K10-J10)/J10)*100),0)</f>
        <v>10.918374366143986</v>
      </c>
      <c r="M10" s="1142">
        <f t="shared" si="0"/>
        <v>6.4283260544440237</v>
      </c>
      <c r="N10" s="385"/>
      <c r="P10" s="245"/>
      <c r="Q10" s="144"/>
      <c r="R10" s="145"/>
      <c r="S10" s="146"/>
      <c r="T10" s="146"/>
      <c r="U10" s="146"/>
      <c r="V10" s="138"/>
      <c r="W10" s="148"/>
      <c r="X10" s="147"/>
      <c r="Y10" s="147"/>
      <c r="Z10" s="147"/>
      <c r="AA10" s="147"/>
      <c r="AB10" s="147"/>
      <c r="AC10" s="147"/>
      <c r="AD10" s="147"/>
      <c r="AE10" s="147"/>
      <c r="AF10" s="147"/>
      <c r="AG10" s="147"/>
    </row>
    <row r="11" spans="2:33" ht="15" customHeight="1">
      <c r="C11" s="1143" t="str">
        <f>IF(Indice_index!$Z$1=1,"Impostos diretos","Direct taxes")</f>
        <v>Direct taxes</v>
      </c>
      <c r="D11" s="1141">
        <v>195.28128004999999</v>
      </c>
      <c r="E11" s="1141">
        <v>198.02647747999998</v>
      </c>
      <c r="F11" s="1142">
        <f t="shared" si="1"/>
        <v>1.4057657904009579</v>
      </c>
      <c r="G11" s="1141">
        <v>210.37620419000001</v>
      </c>
      <c r="H11" s="1141">
        <v>276.41244627999998</v>
      </c>
      <c r="I11" s="1142">
        <f t="shared" si="2"/>
        <v>31.389596719959705</v>
      </c>
      <c r="J11" s="1141">
        <v>405.65748424000003</v>
      </c>
      <c r="K11" s="1141">
        <v>474.43892375999997</v>
      </c>
      <c r="L11" s="1142">
        <f t="shared" si="3"/>
        <v>16.955545550666244</v>
      </c>
      <c r="M11" s="1142">
        <f t="shared" si="0"/>
        <v>2.9606796335660821</v>
      </c>
      <c r="N11" s="385"/>
      <c r="P11" s="245"/>
      <c r="Q11" s="144"/>
      <c r="R11" s="145"/>
      <c r="S11" s="146"/>
      <c r="T11" s="146"/>
      <c r="U11" s="146"/>
      <c r="V11" s="138"/>
      <c r="W11" s="148"/>
      <c r="X11" s="147"/>
      <c r="Y11" s="147"/>
      <c r="Z11" s="147"/>
      <c r="AA11" s="147"/>
      <c r="AB11" s="147"/>
      <c r="AC11" s="147"/>
      <c r="AD11" s="147"/>
      <c r="AE11" s="147"/>
      <c r="AF11" s="147"/>
      <c r="AG11" s="147"/>
    </row>
    <row r="12" spans="2:33" ht="15" customHeight="1">
      <c r="C12" s="1143" t="str">
        <f>IF(Indice_index!$Z$1=1,"Impostos indiretos","Indirect taxes")</f>
        <v>Indirect taxes</v>
      </c>
      <c r="D12" s="1141">
        <v>439.44814455999995</v>
      </c>
      <c r="E12" s="1141">
        <v>464.2093751700001</v>
      </c>
      <c r="F12" s="1142">
        <f t="shared" si="1"/>
        <v>5.6346194463495767</v>
      </c>
      <c r="G12" s="1141">
        <v>522.68542930000001</v>
      </c>
      <c r="H12" s="1141">
        <v>578.48330744000009</v>
      </c>
      <c r="I12" s="1142">
        <f t="shared" si="2"/>
        <v>10.67523122171718</v>
      </c>
      <c r="J12" s="1144">
        <v>962.13357385999996</v>
      </c>
      <c r="K12" s="1144">
        <v>1042.6926826100002</v>
      </c>
      <c r="L12" s="1142">
        <f t="shared" si="3"/>
        <v>8.3729651410878265</v>
      </c>
      <c r="M12" s="1142">
        <f t="shared" si="0"/>
        <v>3.4676464208779514</v>
      </c>
      <c r="N12" s="385"/>
      <c r="P12" s="245"/>
      <c r="Q12" s="144"/>
      <c r="R12" s="145"/>
      <c r="S12" s="146"/>
      <c r="T12" s="146"/>
      <c r="U12" s="146"/>
      <c r="V12" s="138"/>
      <c r="W12" s="148"/>
      <c r="X12" s="147"/>
      <c r="Y12" s="147"/>
      <c r="Z12" s="147"/>
      <c r="AA12" s="147"/>
      <c r="AB12" s="147"/>
      <c r="AC12" s="147"/>
      <c r="AD12" s="147"/>
      <c r="AE12" s="147"/>
      <c r="AF12" s="147"/>
      <c r="AG12" s="147"/>
    </row>
    <row r="13" spans="2:33" ht="15" customHeight="1">
      <c r="C13" s="845" t="str">
        <f>IF(Indice_index!$Z$1=1,"Contribuições para Segurança Social, CGA e ADSE","Social security, CGA and ADSE contributions")</f>
        <v>Social security, CGA and ADSE contributions</v>
      </c>
      <c r="D13" s="1141">
        <v>0</v>
      </c>
      <c r="E13" s="1141">
        <v>0</v>
      </c>
      <c r="F13" s="1142">
        <f t="shared" si="1"/>
        <v>0</v>
      </c>
      <c r="G13" s="1141">
        <v>0</v>
      </c>
      <c r="H13" s="1141">
        <v>0</v>
      </c>
      <c r="I13" s="1142">
        <f t="shared" si="2"/>
        <v>0</v>
      </c>
      <c r="J13" s="1141">
        <v>0</v>
      </c>
      <c r="K13" s="1141">
        <v>0</v>
      </c>
      <c r="L13" s="1142">
        <f t="shared" si="3"/>
        <v>0</v>
      </c>
      <c r="M13" s="1142">
        <f t="shared" si="0"/>
        <v>0</v>
      </c>
      <c r="N13" s="385"/>
      <c r="P13" s="245"/>
      <c r="Q13" s="144"/>
      <c r="R13" s="145"/>
      <c r="S13" s="146"/>
      <c r="T13" s="146"/>
      <c r="U13" s="146"/>
      <c r="V13" s="138"/>
      <c r="W13" s="148"/>
      <c r="X13" s="147"/>
      <c r="Y13" s="147"/>
      <c r="Z13" s="147"/>
      <c r="AA13" s="147"/>
      <c r="AB13" s="147"/>
      <c r="AC13" s="147"/>
      <c r="AD13" s="147"/>
      <c r="AE13" s="147"/>
      <c r="AF13" s="147"/>
      <c r="AG13" s="147"/>
    </row>
    <row r="14" spans="2:33" ht="15" customHeight="1">
      <c r="C14" s="1140" t="str">
        <f>IF(Indice_index!$Z$1=1,"Transferências correntes","Current transfers")</f>
        <v>Current transfers</v>
      </c>
      <c r="D14" s="1141">
        <v>266.54797123000003</v>
      </c>
      <c r="E14" s="1141">
        <v>233.36687327000004</v>
      </c>
      <c r="F14" s="1142">
        <f t="shared" si="1"/>
        <v>-12.448452639456987</v>
      </c>
      <c r="G14" s="1141">
        <v>215.75212583999996</v>
      </c>
      <c r="H14" s="1141">
        <v>215.80109495000011</v>
      </c>
      <c r="I14" s="1142">
        <f t="shared" si="2"/>
        <v>2.269693047495569E-2</v>
      </c>
      <c r="J14" s="1141">
        <v>482.30009706999999</v>
      </c>
      <c r="K14" s="1141">
        <v>449.16796822000015</v>
      </c>
      <c r="L14" s="1142">
        <f t="shared" si="3"/>
        <v>-6.8696085800685864</v>
      </c>
      <c r="M14" s="1142">
        <f t="shared" si="0"/>
        <v>-1.4261640900138266</v>
      </c>
      <c r="N14" s="385"/>
      <c r="P14" s="245"/>
      <c r="Q14" s="144"/>
      <c r="R14" s="145"/>
      <c r="S14" s="146"/>
      <c r="T14" s="146"/>
      <c r="U14" s="146"/>
      <c r="V14" s="138"/>
      <c r="W14" s="148"/>
      <c r="X14" s="147"/>
      <c r="Y14" s="147"/>
      <c r="Z14" s="147"/>
      <c r="AA14" s="147"/>
      <c r="AB14" s="147"/>
      <c r="AC14" s="147"/>
      <c r="AD14" s="147"/>
      <c r="AE14" s="147"/>
      <c r="AF14" s="147"/>
      <c r="AG14" s="147"/>
    </row>
    <row r="15" spans="2:33" ht="15" customHeight="1">
      <c r="C15" s="1143" t="str">
        <f>IF(Indice_index!$Z$1=1,"Administração Central","Central Administration")</f>
        <v>Central Administration</v>
      </c>
      <c r="D15" s="1141">
        <v>204.16981881999999</v>
      </c>
      <c r="E15" s="1141">
        <v>191.78417477000002</v>
      </c>
      <c r="F15" s="1142">
        <f t="shared" si="1"/>
        <v>-6.0663442430339751</v>
      </c>
      <c r="G15" s="1141">
        <v>186.90180701</v>
      </c>
      <c r="H15" s="1141">
        <v>174.84498284</v>
      </c>
      <c r="I15" s="1142">
        <f t="shared" si="2"/>
        <v>-6.4508868923642408</v>
      </c>
      <c r="J15" s="1141">
        <v>391.07162583000002</v>
      </c>
      <c r="K15" s="1141">
        <v>366.62915760999999</v>
      </c>
      <c r="L15" s="1142">
        <f t="shared" si="3"/>
        <v>-6.2501257073110272</v>
      </c>
      <c r="M15" s="1142">
        <f t="shared" si="0"/>
        <v>-1.0521198503267433</v>
      </c>
      <c r="N15" s="385"/>
      <c r="P15" s="245"/>
      <c r="Q15" s="144"/>
      <c r="R15" s="145"/>
      <c r="S15" s="146"/>
      <c r="T15" s="146"/>
      <c r="U15" s="146"/>
      <c r="V15" s="138"/>
      <c r="W15" s="148"/>
      <c r="X15" s="147"/>
      <c r="Y15" s="147"/>
      <c r="Z15" s="147"/>
      <c r="AA15" s="147"/>
      <c r="AB15" s="147"/>
      <c r="AC15" s="147"/>
      <c r="AD15" s="147"/>
      <c r="AE15" s="147"/>
      <c r="AF15" s="147"/>
      <c r="AG15" s="147"/>
    </row>
    <row r="16" spans="2:33" ht="15" customHeight="1">
      <c r="C16" s="1145" t="str">
        <f>IF(Indice_index!$Z$1=1,"dos quais:","of which:")</f>
        <v>of which:</v>
      </c>
      <c r="D16" s="1141"/>
      <c r="E16" s="1141"/>
      <c r="F16" s="1142"/>
      <c r="G16" s="1141"/>
      <c r="H16" s="1141"/>
      <c r="I16" s="1142"/>
      <c r="J16" s="1141"/>
      <c r="K16" s="1141"/>
      <c r="L16" s="1142"/>
      <c r="M16" s="1142"/>
      <c r="N16" s="385"/>
      <c r="P16" s="245"/>
      <c r="Q16" s="144"/>
      <c r="R16" s="145"/>
      <c r="S16" s="146"/>
      <c r="T16" s="146"/>
      <c r="U16" s="146"/>
      <c r="V16" s="138"/>
      <c r="W16" s="148"/>
      <c r="X16" s="147"/>
      <c r="Y16" s="147"/>
      <c r="Z16" s="147"/>
      <c r="AA16" s="147"/>
      <c r="AB16" s="147"/>
      <c r="AC16" s="147"/>
      <c r="AD16" s="147"/>
      <c r="AE16" s="147"/>
      <c r="AF16" s="147"/>
      <c r="AG16" s="147"/>
    </row>
    <row r="17" spans="3:33" ht="15" customHeight="1">
      <c r="C17" s="938" t="str">
        <f>IF(Indice_index!$Z$1=1,"Transferências do OE","State Budget tranfers")</f>
        <v>State Budget tranfers</v>
      </c>
      <c r="D17" s="1141">
        <v>202.33968816000001</v>
      </c>
      <c r="E17" s="1141">
        <v>188.98951378000001</v>
      </c>
      <c r="F17" s="1142">
        <f t="shared" si="1"/>
        <v>-6.5979020237707173</v>
      </c>
      <c r="G17" s="1141">
        <v>186.90180701</v>
      </c>
      <c r="H17" s="1141">
        <v>174.84468283999999</v>
      </c>
      <c r="I17" s="1142">
        <f t="shared" si="2"/>
        <v>-6.4510474044560233</v>
      </c>
      <c r="J17" s="1141">
        <v>389.24149517000001</v>
      </c>
      <c r="K17" s="1141">
        <v>363.83419662</v>
      </c>
      <c r="L17" s="1142">
        <f t="shared" si="3"/>
        <v>-6.5273869475050317</v>
      </c>
      <c r="M17" s="1142">
        <f>(K17-J17)/J15*100</f>
        <v>-6.4968401877983943</v>
      </c>
      <c r="N17" s="385"/>
      <c r="P17" s="245"/>
      <c r="Q17" s="144"/>
      <c r="R17" s="145"/>
      <c r="S17" s="146"/>
      <c r="T17" s="146"/>
      <c r="U17" s="146"/>
      <c r="V17" s="138"/>
      <c r="W17" s="148"/>
      <c r="X17" s="147"/>
      <c r="Y17" s="147"/>
      <c r="Z17" s="147"/>
      <c r="AA17" s="147"/>
      <c r="AB17" s="147"/>
      <c r="AC17" s="147"/>
      <c r="AD17" s="147"/>
      <c r="AE17" s="147"/>
      <c r="AF17" s="147"/>
      <c r="AG17" s="147"/>
    </row>
    <row r="18" spans="3:33" ht="15" customHeight="1">
      <c r="C18" s="1143" t="str">
        <f>IF(Indice_index!$Z$1=1,"Outros subsectores das AP","Other General Government subsectors")</f>
        <v>Other General Government subsectors</v>
      </c>
      <c r="D18" s="1141">
        <v>10.937701259999999</v>
      </c>
      <c r="E18" s="1141">
        <v>11.26612941</v>
      </c>
      <c r="F18" s="1142">
        <f t="shared" si="1"/>
        <v>3.0027164044156809</v>
      </c>
      <c r="G18" s="1141">
        <v>13.17657603</v>
      </c>
      <c r="H18" s="1141">
        <v>13.360144570000001</v>
      </c>
      <c r="I18" s="1142">
        <f t="shared" si="2"/>
        <v>1.3931429498988088</v>
      </c>
      <c r="J18" s="1141">
        <v>24.114277289999997</v>
      </c>
      <c r="K18" s="1141">
        <v>24.626273980000001</v>
      </c>
      <c r="L18" s="1142">
        <f t="shared" si="3"/>
        <v>2.1232097642516732</v>
      </c>
      <c r="M18" s="1142">
        <f t="shared" si="0"/>
        <v>2.2038767770998512E-2</v>
      </c>
      <c r="N18" s="385"/>
      <c r="P18" s="245"/>
      <c r="Q18" s="144"/>
      <c r="R18" s="145"/>
      <c r="S18" s="146"/>
      <c r="T18" s="146"/>
      <c r="U18" s="146"/>
      <c r="V18" s="138"/>
      <c r="W18" s="148"/>
      <c r="X18" s="147"/>
      <c r="Y18" s="147"/>
      <c r="Z18" s="147"/>
      <c r="AA18" s="147"/>
      <c r="AB18" s="147"/>
      <c r="AC18" s="147"/>
      <c r="AD18" s="147"/>
      <c r="AE18" s="147"/>
      <c r="AF18" s="147"/>
      <c r="AG18" s="147"/>
    </row>
    <row r="19" spans="3:33" ht="15" customHeight="1">
      <c r="C19" s="1143" t="str">
        <f>IF(Indice_index!$Z$1=1,"União Europeia","European Union")</f>
        <v>European Union</v>
      </c>
      <c r="D19" s="1141">
        <v>38.142174229999995</v>
      </c>
      <c r="E19" s="1141">
        <v>15.776593940000001</v>
      </c>
      <c r="F19" s="1142">
        <f t="shared" si="1"/>
        <v>-58.637402669113648</v>
      </c>
      <c r="G19" s="1141">
        <v>15.496355210000001</v>
      </c>
      <c r="H19" s="1141">
        <v>27.464832469999994</v>
      </c>
      <c r="I19" s="1142">
        <f t="shared" si="2"/>
        <v>77.234143757085391</v>
      </c>
      <c r="J19" s="1141">
        <v>53.638529439999999</v>
      </c>
      <c r="K19" s="1141">
        <v>43.241426409999995</v>
      </c>
      <c r="L19" s="1142">
        <f t="shared" si="3"/>
        <v>-19.383646678140558</v>
      </c>
      <c r="M19" s="1142">
        <f t="shared" si="0"/>
        <v>-0.44754066509553692</v>
      </c>
      <c r="N19" s="385"/>
      <c r="P19" s="245"/>
      <c r="Q19" s="144"/>
      <c r="R19" s="145"/>
      <c r="S19" s="146"/>
      <c r="T19" s="146"/>
      <c r="U19" s="146"/>
      <c r="V19" s="138"/>
      <c r="W19" s="148"/>
      <c r="X19" s="147"/>
      <c r="Y19" s="147"/>
      <c r="Z19" s="147"/>
      <c r="AA19" s="147"/>
      <c r="AB19" s="147"/>
      <c r="AC19" s="147"/>
      <c r="AD19" s="147"/>
      <c r="AE19" s="147"/>
      <c r="AF19" s="147"/>
      <c r="AG19" s="147"/>
    </row>
    <row r="20" spans="3:33" ht="15" customHeight="1">
      <c r="C20" s="1143" t="str">
        <f>IF(Indice_index!$Z$1=1,"Outras transferências","Other transfers")</f>
        <v>Other transfers</v>
      </c>
      <c r="D20" s="1141">
        <v>13.298276920000049</v>
      </c>
      <c r="E20" s="1141">
        <v>14.539975150000021</v>
      </c>
      <c r="F20" s="1142">
        <f t="shared" si="1"/>
        <v>9.3372866084064654</v>
      </c>
      <c r="G20" s="1141">
        <v>0.17738758999996307</v>
      </c>
      <c r="H20" s="1141">
        <v>0.13113507000010927</v>
      </c>
      <c r="I20" s="1142">
        <f t="shared" si="2"/>
        <v>-26.074270471718698</v>
      </c>
      <c r="J20" s="1141">
        <v>13.475664510000012</v>
      </c>
      <c r="K20" s="1141">
        <v>14.671110220000131</v>
      </c>
      <c r="L20" s="1142">
        <f t="shared" si="3"/>
        <v>8.8711447892829565</v>
      </c>
      <c r="M20" s="1142">
        <f t="shared" si="0"/>
        <v>5.1457657637452414E-2</v>
      </c>
      <c r="N20" s="385"/>
      <c r="P20" s="245"/>
      <c r="Q20" s="144"/>
      <c r="R20" s="145"/>
      <c r="S20" s="146"/>
      <c r="T20" s="146"/>
      <c r="U20" s="146"/>
      <c r="V20" s="138"/>
      <c r="W20" s="148"/>
      <c r="X20" s="147"/>
      <c r="Y20" s="147"/>
      <c r="Z20" s="147"/>
      <c r="AA20" s="147"/>
      <c r="AB20" s="147"/>
      <c r="AC20" s="147"/>
      <c r="AD20" s="147"/>
      <c r="AE20" s="147"/>
      <c r="AF20" s="147"/>
      <c r="AG20" s="147"/>
    </row>
    <row r="21" spans="3:33" ht="15" customHeight="1">
      <c r="C21" s="1140" t="str">
        <f>IF(Indice_index!$Z$1=1,"Outras receitas correntes","Other current revenue")</f>
        <v>Other current revenue</v>
      </c>
      <c r="D21" s="1141">
        <v>131.51713876000002</v>
      </c>
      <c r="E21" s="1141">
        <v>47.742293079999996</v>
      </c>
      <c r="F21" s="1142">
        <f t="shared" si="1"/>
        <v>-63.698804938934337</v>
      </c>
      <c r="G21" s="1141">
        <v>61.046974290000001</v>
      </c>
      <c r="H21" s="1141">
        <v>88.388936509999994</v>
      </c>
      <c r="I21" s="1141">
        <f t="shared" si="2"/>
        <v>44.788398668398592</v>
      </c>
      <c r="J21" s="1141">
        <v>192.56411305000003</v>
      </c>
      <c r="K21" s="1141">
        <v>136.13122958999998</v>
      </c>
      <c r="L21" s="1142">
        <f t="shared" si="3"/>
        <v>-29.306023103768581</v>
      </c>
      <c r="M21" s="1142">
        <f t="shared" si="0"/>
        <v>-2.4291391673308578</v>
      </c>
      <c r="N21" s="385"/>
      <c r="P21" s="245"/>
      <c r="Q21" s="144"/>
      <c r="R21" s="145"/>
      <c r="S21" s="146"/>
      <c r="T21" s="146"/>
      <c r="U21" s="146"/>
      <c r="V21" s="138"/>
      <c r="W21" s="148"/>
      <c r="X21" s="147"/>
      <c r="Y21" s="147"/>
      <c r="Z21" s="147"/>
      <c r="AA21" s="147"/>
      <c r="AB21" s="147"/>
      <c r="AC21" s="147"/>
      <c r="AD21" s="147"/>
      <c r="AE21" s="147"/>
      <c r="AF21" s="147"/>
      <c r="AG21" s="147"/>
    </row>
    <row r="22" spans="3:33" s="151" customFormat="1" ht="15" customHeight="1">
      <c r="C22" s="1140" t="str">
        <f>IF(Indice_index!$Z$1=1,"Diferenças de consolidação","Consolidation differences")</f>
        <v>Consolidation differences</v>
      </c>
      <c r="D22" s="1141">
        <v>0</v>
      </c>
      <c r="E22" s="1141">
        <v>0</v>
      </c>
      <c r="F22" s="1142"/>
      <c r="G22" s="1141">
        <v>0</v>
      </c>
      <c r="H22" s="1141">
        <v>3.4699866299998803</v>
      </c>
      <c r="I22" s="1146"/>
      <c r="J22" s="1141">
        <v>0</v>
      </c>
      <c r="K22" s="1141">
        <v>3.4699866266666959</v>
      </c>
      <c r="L22" s="1142"/>
      <c r="M22" s="1142"/>
      <c r="N22" s="385"/>
      <c r="O22" s="246"/>
      <c r="P22" s="245"/>
      <c r="Q22" s="144"/>
      <c r="R22" s="145"/>
      <c r="S22" s="146"/>
      <c r="T22" s="146"/>
      <c r="U22" s="146"/>
      <c r="V22" s="149"/>
      <c r="W22" s="150"/>
      <c r="X22" s="147"/>
      <c r="Y22" s="147"/>
      <c r="Z22" s="147"/>
      <c r="AA22" s="147"/>
      <c r="AB22" s="147"/>
      <c r="AC22" s="147"/>
      <c r="AD22" s="147"/>
      <c r="AE22" s="147"/>
      <c r="AF22" s="147"/>
      <c r="AG22" s="147"/>
    </row>
    <row r="23" spans="3:33" s="298" customFormat="1" ht="15" customHeight="1">
      <c r="C23" s="1147" t="str">
        <f>IF(Indice_index!$Z$1=1,"Receita de capital","Capital revenue")</f>
        <v>Capital revenue</v>
      </c>
      <c r="D23" s="1148">
        <v>171.08580227000002</v>
      </c>
      <c r="E23" s="1148">
        <v>167.89166972000004</v>
      </c>
      <c r="F23" s="301">
        <f t="shared" si="1"/>
        <v>-1.8669769832561207</v>
      </c>
      <c r="G23" s="1148">
        <v>109.42279837999999</v>
      </c>
      <c r="H23" s="1148">
        <v>131.84407523000002</v>
      </c>
      <c r="I23" s="301">
        <f t="shared" si="2"/>
        <v>20.490498490210545</v>
      </c>
      <c r="J23" s="1148">
        <v>280.50860065000001</v>
      </c>
      <c r="K23" s="1148">
        <v>299.73574494999997</v>
      </c>
      <c r="L23" s="301">
        <f t="shared" si="3"/>
        <v>6.8543867301916768</v>
      </c>
      <c r="M23" s="301">
        <f>IFERROR((K23-J23)/$J$35*100,"-")</f>
        <v>0.82762755385620534</v>
      </c>
      <c r="N23" s="384"/>
      <c r="O23" s="299"/>
      <c r="P23" s="302"/>
      <c r="Q23" s="303"/>
      <c r="R23" s="304"/>
      <c r="S23" s="305"/>
      <c r="T23" s="305"/>
      <c r="U23" s="305"/>
      <c r="V23" s="300"/>
      <c r="W23" s="306"/>
      <c r="X23" s="147"/>
      <c r="Y23" s="147"/>
      <c r="Z23" s="147"/>
      <c r="AA23" s="147"/>
      <c r="AB23" s="147"/>
      <c r="AC23" s="147"/>
      <c r="AD23" s="147"/>
      <c r="AE23" s="147"/>
      <c r="AF23" s="147"/>
      <c r="AG23" s="147"/>
    </row>
    <row r="24" spans="3:33" ht="15" customHeight="1">
      <c r="C24" s="1140" t="str">
        <f>IF(Indice_index!$Z$1=1,"Venda de Bens de Investimento","Sale of investment goods")</f>
        <v>Sale of investment goods</v>
      </c>
      <c r="D24" s="1141">
        <v>0.59141066000000009</v>
      </c>
      <c r="E24" s="1141">
        <v>0.28386065000000005</v>
      </c>
      <c r="F24" s="1142">
        <f t="shared" si="1"/>
        <v>-52.002784325869264</v>
      </c>
      <c r="G24" s="1141">
        <v>2.2130395200000001</v>
      </c>
      <c r="H24" s="1141">
        <v>4.7022308499999994</v>
      </c>
      <c r="I24" s="1142">
        <f t="shared" si="2"/>
        <v>112.47839487294829</v>
      </c>
      <c r="J24" s="1141">
        <v>2.8044501800000003</v>
      </c>
      <c r="K24" s="1141">
        <v>4.9860914999999997</v>
      </c>
      <c r="L24" s="1142">
        <f t="shared" si="3"/>
        <v>77.792122518646394</v>
      </c>
      <c r="M24" s="1142">
        <f t="shared" ref="M24:M26" si="4">IFERROR((K24-J24)/$J$35*100,"-")</f>
        <v>9.3908197748493821E-2</v>
      </c>
      <c r="N24" s="385"/>
      <c r="P24" s="245"/>
      <c r="Q24" s="144"/>
      <c r="R24" s="145"/>
      <c r="S24" s="146"/>
      <c r="T24" s="146"/>
      <c r="U24" s="146"/>
      <c r="V24" s="138"/>
      <c r="W24" s="148"/>
      <c r="X24" s="147"/>
      <c r="Y24" s="147"/>
      <c r="Z24" s="147"/>
      <c r="AA24" s="147"/>
      <c r="AB24" s="147"/>
      <c r="AC24" s="147"/>
      <c r="AD24" s="147"/>
      <c r="AE24" s="147"/>
      <c r="AF24" s="147"/>
      <c r="AG24" s="147"/>
    </row>
    <row r="25" spans="3:33" ht="15" customHeight="1">
      <c r="C25" s="1140" t="str">
        <f>IF(Indice_index!$Z$1=1,"Transferências de capital","Capital transfers")</f>
        <v>Capital transfers</v>
      </c>
      <c r="D25" s="1141">
        <v>170.23475883</v>
      </c>
      <c r="E25" s="1141">
        <v>167.17037767000002</v>
      </c>
      <c r="F25" s="1142">
        <f t="shared" si="1"/>
        <v>-1.8000913450702143</v>
      </c>
      <c r="G25" s="1141">
        <v>107.18975103999999</v>
      </c>
      <c r="H25" s="1141">
        <v>127.09306081</v>
      </c>
      <c r="I25" s="1142">
        <f t="shared" si="2"/>
        <v>18.568295547745688</v>
      </c>
      <c r="J25" s="1141">
        <v>277.42450987000001</v>
      </c>
      <c r="K25" s="1141">
        <v>294.26343847999999</v>
      </c>
      <c r="L25" s="1142">
        <f t="shared" si="3"/>
        <v>6.0697335710859273</v>
      </c>
      <c r="M25" s="1142">
        <f t="shared" si="4"/>
        <v>0.72482741470107881</v>
      </c>
      <c r="N25" s="385"/>
      <c r="P25" s="245"/>
      <c r="Q25" s="144"/>
      <c r="R25" s="145"/>
      <c r="S25" s="146"/>
      <c r="T25" s="146"/>
      <c r="U25" s="146"/>
      <c r="V25" s="138"/>
      <c r="W25" s="148"/>
      <c r="X25" s="147"/>
      <c r="Y25" s="147"/>
      <c r="Z25" s="147"/>
      <c r="AA25" s="147"/>
      <c r="AB25" s="147"/>
      <c r="AC25" s="147"/>
      <c r="AD25" s="147"/>
      <c r="AE25" s="147"/>
      <c r="AF25" s="147"/>
      <c r="AG25" s="147"/>
    </row>
    <row r="26" spans="3:33" ht="15" customHeight="1">
      <c r="C26" s="1143" t="str">
        <f>IF(Indice_index!$Z$1=1,"Administração Central","Central Administration")</f>
        <v>Central Administration</v>
      </c>
      <c r="D26" s="1141">
        <v>107.24300251000001</v>
      </c>
      <c r="E26" s="1141">
        <v>99.813817999999998</v>
      </c>
      <c r="F26" s="1142">
        <f t="shared" si="1"/>
        <v>-6.9274305419668476</v>
      </c>
      <c r="G26" s="1141">
        <v>49.067861600000001</v>
      </c>
      <c r="H26" s="1141">
        <v>48.352340429999998</v>
      </c>
      <c r="I26" s="1142">
        <f t="shared" si="2"/>
        <v>-1.4582277414754965</v>
      </c>
      <c r="J26" s="1141">
        <v>156.31086411000001</v>
      </c>
      <c r="K26" s="1141">
        <v>148.16615843</v>
      </c>
      <c r="L26" s="1142">
        <f t="shared" si="3"/>
        <v>-5.2105819556268171</v>
      </c>
      <c r="M26" s="1142">
        <f t="shared" si="4"/>
        <v>-0.35058679196666598</v>
      </c>
      <c r="N26" s="385"/>
      <c r="P26" s="245"/>
      <c r="Q26" s="144"/>
      <c r="R26" s="145"/>
      <c r="S26" s="146"/>
      <c r="T26" s="146"/>
      <c r="U26" s="146"/>
      <c r="V26" s="138"/>
      <c r="W26" s="148"/>
      <c r="X26" s="147"/>
      <c r="Y26" s="147"/>
      <c r="Z26" s="147"/>
      <c r="AA26" s="147"/>
      <c r="AB26" s="147"/>
      <c r="AC26" s="147"/>
      <c r="AD26" s="147"/>
      <c r="AE26" s="147"/>
      <c r="AF26" s="147"/>
      <c r="AG26" s="147"/>
    </row>
    <row r="27" spans="3:33" ht="15" customHeight="1">
      <c r="C27" s="1145" t="str">
        <f>IF(Indice_index!$Z$1=1,"dos quais:","of which:")</f>
        <v>of which:</v>
      </c>
      <c r="D27" s="1141"/>
      <c r="E27" s="1141"/>
      <c r="F27" s="1142"/>
      <c r="G27" s="1141"/>
      <c r="H27" s="1141"/>
      <c r="I27" s="1142"/>
      <c r="J27" s="1141"/>
      <c r="K27" s="1141"/>
      <c r="L27" s="1142"/>
      <c r="M27" s="1142"/>
      <c r="N27" s="385"/>
      <c r="P27" s="245"/>
      <c r="Q27" s="144"/>
      <c r="R27" s="145"/>
      <c r="S27" s="146"/>
      <c r="T27" s="146"/>
      <c r="U27" s="146"/>
      <c r="V27" s="138"/>
      <c r="W27" s="148"/>
      <c r="X27" s="147"/>
      <c r="Y27" s="147"/>
      <c r="Z27" s="147"/>
      <c r="AA27" s="147"/>
      <c r="AB27" s="147"/>
      <c r="AC27" s="147"/>
      <c r="AD27" s="147"/>
      <c r="AE27" s="147"/>
      <c r="AF27" s="147"/>
      <c r="AG27" s="147"/>
    </row>
    <row r="28" spans="3:33" ht="15" customHeight="1">
      <c r="C28" s="938" t="str">
        <f>IF(Indice_index!$Z$1=1,"Transferências do OE","State Budget tranfers")</f>
        <v>State Budget tranfers</v>
      </c>
      <c r="D28" s="1141">
        <v>107.09609</v>
      </c>
      <c r="E28" s="1141">
        <v>99.769615000000002</v>
      </c>
      <c r="F28" s="1142">
        <f t="shared" si="1"/>
        <v>-6.8410293970582892</v>
      </c>
      <c r="G28" s="1141">
        <v>49.033566200000003</v>
      </c>
      <c r="H28" s="1141">
        <v>48.352340429999998</v>
      </c>
      <c r="I28" s="1142">
        <f t="shared" si="2"/>
        <v>-1.3893049655442042</v>
      </c>
      <c r="J28" s="1141">
        <v>156.1296562</v>
      </c>
      <c r="K28" s="1141">
        <v>148.12195543000001</v>
      </c>
      <c r="L28" s="1142">
        <f t="shared" si="3"/>
        <v>-5.1288787568597654</v>
      </c>
      <c r="M28" s="1142">
        <f>(K28-J28)/J26*100</f>
        <v>-5.1229329551685918</v>
      </c>
      <c r="N28" s="385"/>
      <c r="P28" s="245"/>
      <c r="Q28" s="144"/>
      <c r="R28" s="145"/>
      <c r="S28" s="146"/>
      <c r="T28" s="146"/>
      <c r="U28" s="146"/>
      <c r="V28" s="138"/>
      <c r="W28" s="148"/>
      <c r="X28" s="147"/>
      <c r="Y28" s="147"/>
      <c r="Z28" s="147"/>
      <c r="AA28" s="147"/>
      <c r="AB28" s="147"/>
      <c r="AC28" s="147"/>
      <c r="AD28" s="147"/>
      <c r="AE28" s="147"/>
      <c r="AF28" s="147"/>
      <c r="AG28" s="147"/>
    </row>
    <row r="29" spans="3:33" ht="15" customHeight="1">
      <c r="C29" s="1143" t="str">
        <f>IF(Indice_index!$Z$1=1,"Outros subsectores das AP","Other General Government subsectors")</f>
        <v>Other General Government subsectors</v>
      </c>
      <c r="D29" s="1141">
        <v>-1.4668821712859881E-14</v>
      </c>
      <c r="E29" s="1141">
        <v>2.7630675525358583E-14</v>
      </c>
      <c r="F29" s="1142">
        <f t="shared" si="1"/>
        <v>-288.36329233680232</v>
      </c>
      <c r="G29" s="1141">
        <v>-4.6074255521943996E-15</v>
      </c>
      <c r="H29" s="1141">
        <v>1.2442107619799886E-14</v>
      </c>
      <c r="I29" s="1142">
        <f t="shared" si="2"/>
        <v>-370.04468067582832</v>
      </c>
      <c r="J29" s="1141">
        <v>-1.927624726505428E-14</v>
      </c>
      <c r="K29" s="1141">
        <v>4.0072783145158469E-14</v>
      </c>
      <c r="L29" s="1142">
        <f t="shared" si="3"/>
        <v>-307.88684952078836</v>
      </c>
      <c r="M29" s="1142">
        <f t="shared" ref="M29:M32" si="5">IFERROR((K29-J29)/$J$35*100,"-")</f>
        <v>2.5546639737936546E-15</v>
      </c>
      <c r="N29" s="385"/>
      <c r="P29" s="245"/>
      <c r="Q29" s="144"/>
      <c r="R29" s="145"/>
      <c r="S29" s="146"/>
      <c r="T29" s="146"/>
      <c r="U29" s="146"/>
      <c r="V29" s="138"/>
      <c r="W29" s="148"/>
      <c r="X29" s="147"/>
      <c r="Y29" s="147"/>
      <c r="Z29" s="147"/>
      <c r="AA29" s="147"/>
      <c r="AB29" s="147"/>
      <c r="AC29" s="147"/>
      <c r="AD29" s="147"/>
      <c r="AE29" s="147"/>
      <c r="AF29" s="147"/>
      <c r="AG29" s="147"/>
    </row>
    <row r="30" spans="3:33" s="154" customFormat="1" ht="15" customHeight="1">
      <c r="C30" s="1143" t="str">
        <f>IF(Indice_index!$Z$1=1,"União Europeia","European Union")</f>
        <v>European Union</v>
      </c>
      <c r="D30" s="1141">
        <v>62.878756320000008</v>
      </c>
      <c r="E30" s="1141">
        <v>67.283809669999997</v>
      </c>
      <c r="F30" s="1142">
        <f t="shared" si="1"/>
        <v>7.0056305305753348</v>
      </c>
      <c r="G30" s="1141">
        <v>58.033689329999994</v>
      </c>
      <c r="H30" s="1141">
        <v>78.740665869999987</v>
      </c>
      <c r="I30" s="1142">
        <f t="shared" si="2"/>
        <v>35.680958386520686</v>
      </c>
      <c r="J30" s="1141">
        <v>120.91244565</v>
      </c>
      <c r="K30" s="1141">
        <v>146.02447553999997</v>
      </c>
      <c r="L30" s="1142">
        <f t="shared" si="3"/>
        <v>20.768771779449963</v>
      </c>
      <c r="M30" s="1142">
        <f t="shared" si="5"/>
        <v>1.0809409627317683</v>
      </c>
      <c r="N30" s="385"/>
      <c r="O30" s="246"/>
      <c r="P30" s="245"/>
      <c r="Q30" s="144"/>
      <c r="R30" s="145"/>
      <c r="S30" s="146"/>
      <c r="T30" s="146"/>
      <c r="U30" s="146"/>
      <c r="V30" s="152"/>
      <c r="W30" s="153"/>
      <c r="X30" s="147"/>
      <c r="Y30" s="147"/>
      <c r="Z30" s="147"/>
      <c r="AA30" s="147"/>
      <c r="AB30" s="147"/>
      <c r="AC30" s="147"/>
      <c r="AD30" s="147"/>
      <c r="AE30" s="147"/>
      <c r="AF30" s="147"/>
      <c r="AG30" s="147"/>
    </row>
    <row r="31" spans="3:33" ht="15" customHeight="1">
      <c r="C31" s="1143" t="str">
        <f>IF(Indice_index!$Z$1=1,"Outras transferências","Other transfers")</f>
        <v>Other transfers</v>
      </c>
      <c r="D31" s="1141">
        <v>0.113</v>
      </c>
      <c r="E31" s="1141">
        <v>7.2749999999999995E-2</v>
      </c>
      <c r="F31" s="1142">
        <f t="shared" si="1"/>
        <v>-35.619469026548678</v>
      </c>
      <c r="G31" s="1141">
        <v>8.8200109999999998E-2</v>
      </c>
      <c r="H31" s="1141">
        <v>5.4509999999999998E-5</v>
      </c>
      <c r="I31" s="1142">
        <f t="shared" si="2"/>
        <v>-99.938197355989701</v>
      </c>
      <c r="J31" s="1141">
        <v>0.20120010999999999</v>
      </c>
      <c r="K31" s="1141">
        <v>7.2804509999999989E-2</v>
      </c>
      <c r="L31" s="1142">
        <f t="shared" si="3"/>
        <v>-63.814875647930812</v>
      </c>
      <c r="M31" s="1142">
        <f t="shared" si="5"/>
        <v>-5.5267560640245468E-3</v>
      </c>
      <c r="N31" s="385"/>
      <c r="P31" s="245"/>
      <c r="Q31" s="144"/>
      <c r="R31" s="145"/>
      <c r="S31" s="146"/>
      <c r="T31" s="146"/>
      <c r="U31" s="146"/>
      <c r="V31" s="138"/>
      <c r="W31" s="148"/>
      <c r="X31" s="147"/>
      <c r="Y31" s="147"/>
      <c r="Z31" s="147"/>
      <c r="AA31" s="147"/>
      <c r="AB31" s="147"/>
      <c r="AC31" s="147"/>
      <c r="AD31" s="147"/>
      <c r="AE31" s="147"/>
      <c r="AF31" s="147"/>
      <c r="AG31" s="147"/>
    </row>
    <row r="32" spans="3:33" ht="15" customHeight="1">
      <c r="C32" s="1140" t="str">
        <f>IF(Indice_index!$Z$1=1,"Outras receitas de capital","Other capital revenue")</f>
        <v>Other capital revenue</v>
      </c>
      <c r="D32" s="1141">
        <v>0.25963278000000001</v>
      </c>
      <c r="E32" s="1141">
        <v>0.43743139999999997</v>
      </c>
      <c r="F32" s="1142">
        <f t="shared" si="1"/>
        <v>68.480805852019131</v>
      </c>
      <c r="G32" s="1141">
        <v>2.0007819999999999E-2</v>
      </c>
      <c r="H32" s="1141">
        <v>4.8783569999999998E-2</v>
      </c>
      <c r="I32" s="1142">
        <f t="shared" si="2"/>
        <v>143.82251539647999</v>
      </c>
      <c r="J32" s="1141">
        <v>0.27964060000000002</v>
      </c>
      <c r="K32" s="1141">
        <v>0.48621496999999997</v>
      </c>
      <c r="L32" s="1142">
        <f t="shared" si="3"/>
        <v>73.871379906923366</v>
      </c>
      <c r="M32" s="1142">
        <f t="shared" si="5"/>
        <v>8.8919414066334843E-3</v>
      </c>
      <c r="N32" s="385"/>
      <c r="P32" s="245"/>
      <c r="Q32" s="144"/>
      <c r="R32" s="145"/>
      <c r="S32" s="146"/>
      <c r="T32" s="146"/>
      <c r="U32" s="146"/>
      <c r="V32" s="138"/>
      <c r="W32" s="148"/>
      <c r="X32" s="147"/>
      <c r="Y32" s="147"/>
      <c r="Z32" s="147"/>
      <c r="AA32" s="147"/>
      <c r="AB32" s="147"/>
      <c r="AC32" s="147"/>
      <c r="AD32" s="147"/>
      <c r="AE32" s="147"/>
      <c r="AF32" s="147"/>
      <c r="AG32" s="147"/>
    </row>
    <row r="33" spans="3:33" ht="15" customHeight="1">
      <c r="C33" s="1140" t="str">
        <f>IF(Indice_index!$Z$1=1,"Diferenças de consolidação","Consolidation differences")</f>
        <v>Consolidation differences</v>
      </c>
      <c r="D33" s="1141">
        <v>0</v>
      </c>
      <c r="E33" s="1141">
        <v>0</v>
      </c>
      <c r="F33" s="1142"/>
      <c r="G33" s="1141">
        <v>0</v>
      </c>
      <c r="H33" s="1141">
        <v>0</v>
      </c>
      <c r="I33" s="1142"/>
      <c r="J33" s="1141">
        <v>0</v>
      </c>
      <c r="K33" s="1141">
        <v>0</v>
      </c>
      <c r="L33" s="1142"/>
      <c r="M33" s="1142"/>
      <c r="N33" s="385"/>
      <c r="P33" s="245"/>
      <c r="Q33" s="144"/>
      <c r="R33" s="145"/>
      <c r="S33" s="146"/>
      <c r="T33" s="146"/>
      <c r="U33" s="146"/>
      <c r="V33" s="138"/>
      <c r="W33" s="148"/>
      <c r="X33" s="147"/>
      <c r="Y33" s="147"/>
      <c r="Z33" s="147"/>
      <c r="AA33" s="147"/>
      <c r="AB33" s="147"/>
      <c r="AC33" s="147"/>
      <c r="AD33" s="147"/>
      <c r="AE33" s="147"/>
      <c r="AF33" s="147"/>
      <c r="AG33" s="147"/>
    </row>
    <row r="34" spans="3:33" ht="4.5" customHeight="1">
      <c r="C34" s="1149"/>
      <c r="D34" s="1150"/>
      <c r="E34" s="1150"/>
      <c r="F34" s="156"/>
      <c r="G34" s="1150"/>
      <c r="H34" s="1150"/>
      <c r="I34" s="156"/>
      <c r="J34" s="1150"/>
      <c r="K34" s="1150"/>
      <c r="L34" s="156"/>
      <c r="M34" s="156"/>
      <c r="N34" s="385"/>
      <c r="P34" s="245"/>
      <c r="Q34" s="144"/>
      <c r="R34" s="145"/>
      <c r="S34" s="146"/>
      <c r="T34" s="146"/>
      <c r="U34" s="146"/>
      <c r="V34" s="138"/>
      <c r="W34" s="148"/>
      <c r="X34" s="147"/>
      <c r="Y34" s="147"/>
      <c r="Z34" s="147"/>
      <c r="AA34" s="147"/>
      <c r="AB34" s="147"/>
      <c r="AC34" s="147"/>
      <c r="AD34" s="147"/>
      <c r="AE34" s="147"/>
      <c r="AF34" s="147"/>
      <c r="AG34" s="147"/>
    </row>
    <row r="35" spans="3:33" s="298" customFormat="1" ht="15" customHeight="1">
      <c r="C35" s="1147" t="str">
        <f>IF(Indice_index!$Z$1=1,"Receita Efetiva","Effective revenue")</f>
        <v>Effective revenue</v>
      </c>
      <c r="D35" s="1151">
        <v>1203.8803368699998</v>
      </c>
      <c r="E35" s="1151">
        <v>1111.2366887200001</v>
      </c>
      <c r="F35" s="301">
        <f t="shared" si="1"/>
        <v>-7.6954199942218864</v>
      </c>
      <c r="G35" s="1151">
        <v>1119.2835319999999</v>
      </c>
      <c r="H35" s="1151">
        <v>1294.3998470399999</v>
      </c>
      <c r="I35" s="301">
        <f t="shared" si="2"/>
        <v>15.645393685645686</v>
      </c>
      <c r="J35" s="1151">
        <v>2323.16386887</v>
      </c>
      <c r="K35" s="1151">
        <v>2405.6365357566669</v>
      </c>
      <c r="L35" s="301">
        <f t="shared" si="3"/>
        <v>3.5500150459374233</v>
      </c>
      <c r="M35" s="301"/>
      <c r="N35" s="384"/>
      <c r="O35" s="299"/>
      <c r="P35" s="302"/>
      <c r="Q35" s="307"/>
      <c r="R35" s="304"/>
      <c r="S35" s="305"/>
      <c r="T35" s="305"/>
      <c r="U35" s="305"/>
      <c r="V35" s="300"/>
      <c r="W35" s="306"/>
      <c r="X35" s="147"/>
      <c r="Y35" s="147"/>
      <c r="Z35" s="147"/>
      <c r="AA35" s="147"/>
      <c r="AB35" s="147"/>
      <c r="AC35" s="147"/>
      <c r="AD35" s="147"/>
      <c r="AE35" s="147"/>
      <c r="AF35" s="147"/>
      <c r="AG35" s="147"/>
    </row>
    <row r="36" spans="3:33" ht="4.5" customHeight="1">
      <c r="C36" s="1149"/>
      <c r="D36" s="1150"/>
      <c r="E36" s="1150"/>
      <c r="F36" s="156"/>
      <c r="G36" s="1150"/>
      <c r="H36" s="1150"/>
      <c r="I36" s="156"/>
      <c r="J36" s="1150"/>
      <c r="K36" s="1150"/>
      <c r="L36" s="156"/>
      <c r="M36" s="156"/>
      <c r="N36" s="385"/>
      <c r="P36" s="245"/>
      <c r="Q36" s="144"/>
      <c r="R36" s="145"/>
      <c r="S36" s="146"/>
      <c r="T36" s="146"/>
      <c r="U36" s="146"/>
      <c r="V36" s="138"/>
      <c r="W36" s="148"/>
      <c r="X36" s="147"/>
      <c r="Y36" s="147"/>
      <c r="Z36" s="147"/>
      <c r="AA36" s="147"/>
      <c r="AB36" s="147"/>
      <c r="AC36" s="147"/>
      <c r="AD36" s="147"/>
      <c r="AE36" s="147"/>
      <c r="AF36" s="147"/>
      <c r="AG36" s="147"/>
    </row>
    <row r="37" spans="3:33" s="298" customFormat="1" ht="15" customHeight="1">
      <c r="C37" s="1147" t="str">
        <f>IF(Indice_index!$Z$1=1,"Despesa Corrente","Current expenditure")</f>
        <v>Current expenditure</v>
      </c>
      <c r="D37" s="1148">
        <v>1071.8162670599954</v>
      </c>
      <c r="E37" s="1148">
        <v>1046.8386807533348</v>
      </c>
      <c r="F37" s="301">
        <f t="shared" si="1"/>
        <v>-2.3303981357900532</v>
      </c>
      <c r="G37" s="1148">
        <v>1150.7117623700001</v>
      </c>
      <c r="H37" s="1148">
        <v>1170.5334851500002</v>
      </c>
      <c r="I37" s="301">
        <f t="shared" si="2"/>
        <v>1.7225619332486317</v>
      </c>
      <c r="J37" s="1148">
        <v>2222.5280294299955</v>
      </c>
      <c r="K37" s="1148">
        <v>2217.3721659000007</v>
      </c>
      <c r="L37" s="301">
        <f t="shared" si="3"/>
        <v>-0.23198193506324916</v>
      </c>
      <c r="M37" s="301">
        <f t="shared" ref="M37:M55" si="6">IFERROR((K37-J37)/$J$58*100,"-")</f>
        <v>-0.19500550579420287</v>
      </c>
      <c r="N37" s="384"/>
      <c r="O37" s="299"/>
      <c r="P37" s="302"/>
      <c r="Q37" s="303"/>
      <c r="R37" s="304"/>
      <c r="S37" s="305"/>
      <c r="T37" s="305"/>
      <c r="U37" s="305"/>
      <c r="V37" s="300"/>
      <c r="W37" s="306"/>
      <c r="X37" s="147"/>
      <c r="Y37" s="147"/>
      <c r="Z37" s="147"/>
      <c r="AA37" s="147"/>
      <c r="AB37" s="147"/>
      <c r="AC37" s="147"/>
      <c r="AD37" s="147"/>
      <c r="AE37" s="147"/>
      <c r="AF37" s="147"/>
      <c r="AG37" s="147"/>
    </row>
    <row r="38" spans="3:33" ht="15" customHeight="1">
      <c r="C38" s="1140" t="str">
        <f>IF(Indice_index!$Z$1=1,"Despesas com o pessoal","Employees")</f>
        <v>Employees</v>
      </c>
      <c r="D38" s="1141">
        <v>529.78620289999992</v>
      </c>
      <c r="E38" s="1141">
        <v>560.89683918999981</v>
      </c>
      <c r="F38" s="1142">
        <f t="shared" si="1"/>
        <v>5.8723002070841384</v>
      </c>
      <c r="G38" s="1141">
        <v>606.97902270000009</v>
      </c>
      <c r="H38" s="1141">
        <v>625.00957454000002</v>
      </c>
      <c r="I38" s="1142">
        <f t="shared" si="2"/>
        <v>2.9705395352536832</v>
      </c>
      <c r="J38" s="1150">
        <v>1136.7652256000001</v>
      </c>
      <c r="K38" s="1150">
        <v>1185.9064137299997</v>
      </c>
      <c r="L38" s="1142">
        <f t="shared" si="3"/>
        <v>4.3228968500564573</v>
      </c>
      <c r="M38" s="1142">
        <f t="shared" si="6"/>
        <v>1.8586221669502385</v>
      </c>
      <c r="N38" s="385"/>
      <c r="P38" s="245"/>
      <c r="Q38" s="144"/>
      <c r="R38" s="145"/>
      <c r="S38" s="146"/>
      <c r="T38" s="146"/>
      <c r="U38" s="146"/>
      <c r="V38" s="138"/>
      <c r="W38" s="148"/>
      <c r="X38" s="147"/>
      <c r="Y38" s="147"/>
      <c r="Z38" s="147"/>
      <c r="AA38" s="147"/>
      <c r="AB38" s="147"/>
      <c r="AC38" s="147"/>
      <c r="AD38" s="147"/>
      <c r="AE38" s="147"/>
      <c r="AF38" s="147"/>
      <c r="AG38" s="147"/>
    </row>
    <row r="39" spans="3:33" ht="15" customHeight="1">
      <c r="C39" s="848" t="str">
        <f>IF(Indice_index!$Z$1=1,"Remunerações Certas e Permanentes","Certain and permanent wages")</f>
        <v>Certain and permanent wages</v>
      </c>
      <c r="D39" s="1141">
        <v>390.83177939000001</v>
      </c>
      <c r="E39" s="1141">
        <v>414.55983460999988</v>
      </c>
      <c r="F39" s="1142">
        <f t="shared" si="1"/>
        <v>6.0711683315604477</v>
      </c>
      <c r="G39" s="1141">
        <v>440.93441847000014</v>
      </c>
      <c r="H39" s="1141">
        <v>462.88952440999998</v>
      </c>
      <c r="I39" s="1142">
        <f t="shared" si="2"/>
        <v>4.9792225374879866</v>
      </c>
      <c r="J39" s="1150">
        <v>831.76619786000015</v>
      </c>
      <c r="K39" s="1150">
        <v>877.44935901999986</v>
      </c>
      <c r="L39" s="1142">
        <f t="shared" si="3"/>
        <v>5.4923079679764699</v>
      </c>
      <c r="M39" s="1142">
        <f t="shared" si="6"/>
        <v>1.7278323788940171</v>
      </c>
      <c r="N39" s="385"/>
      <c r="P39" s="245"/>
      <c r="Q39" s="144"/>
      <c r="R39" s="145"/>
      <c r="S39" s="146"/>
      <c r="T39" s="146"/>
      <c r="U39" s="146"/>
      <c r="V39" s="138"/>
      <c r="W39" s="148"/>
      <c r="X39" s="147"/>
      <c r="Y39" s="147"/>
      <c r="Z39" s="147"/>
      <c r="AA39" s="147"/>
      <c r="AB39" s="147"/>
      <c r="AC39" s="147"/>
      <c r="AD39" s="147"/>
      <c r="AE39" s="147"/>
      <c r="AF39" s="147"/>
      <c r="AG39" s="147"/>
    </row>
    <row r="40" spans="3:33" ht="15" customHeight="1">
      <c r="C40" s="848" t="str">
        <f>IF(Indice_index!$Z$1=1,"Abonos Variáveis ou Eventuais","Variable or contingent bonuses")</f>
        <v>Variable or contingent bonuses</v>
      </c>
      <c r="D40" s="1141">
        <v>41.711175499999996</v>
      </c>
      <c r="E40" s="1141">
        <v>44.018646740000001</v>
      </c>
      <c r="F40" s="1142">
        <f t="shared" si="1"/>
        <v>5.5320216041382135</v>
      </c>
      <c r="G40" s="1141">
        <v>53.144462379999993</v>
      </c>
      <c r="H40" s="1141">
        <v>50.961890749999988</v>
      </c>
      <c r="I40" s="1142">
        <f t="shared" si="2"/>
        <v>-4.1068655740534474</v>
      </c>
      <c r="J40" s="1150">
        <v>94.855637879999989</v>
      </c>
      <c r="K40" s="1150">
        <v>94.980537489999989</v>
      </c>
      <c r="L40" s="1142">
        <f t="shared" si="3"/>
        <v>0.13167336469552604</v>
      </c>
      <c r="M40" s="1142">
        <f t="shared" si="6"/>
        <v>4.7239635959823809E-3</v>
      </c>
      <c r="N40" s="385"/>
      <c r="P40" s="245"/>
      <c r="Q40" s="144"/>
      <c r="R40" s="145"/>
      <c r="S40" s="146"/>
      <c r="T40" s="146"/>
      <c r="U40" s="146"/>
      <c r="V40" s="138"/>
      <c r="W40" s="148"/>
      <c r="X40" s="147"/>
      <c r="Y40" s="147"/>
      <c r="Z40" s="147"/>
      <c r="AA40" s="147"/>
      <c r="AB40" s="147"/>
      <c r="AC40" s="147"/>
      <c r="AD40" s="147"/>
      <c r="AE40" s="147"/>
      <c r="AF40" s="147"/>
      <c r="AG40" s="147"/>
    </row>
    <row r="41" spans="3:33" ht="15" customHeight="1">
      <c r="C41" s="848" t="str">
        <f>IF(Indice_index!$Z$1=1,"Segurança social","Social security")</f>
        <v>Social security</v>
      </c>
      <c r="D41" s="1141">
        <v>97.243248010000016</v>
      </c>
      <c r="E41" s="1141">
        <v>102.31835783999999</v>
      </c>
      <c r="F41" s="1142">
        <f t="shared" si="1"/>
        <v>5.2189842830816122</v>
      </c>
      <c r="G41" s="1141">
        <v>112.90014184999998</v>
      </c>
      <c r="H41" s="1141">
        <v>111.15815937999999</v>
      </c>
      <c r="I41" s="1142">
        <f t="shared" si="2"/>
        <v>-1.5429409046397904</v>
      </c>
      <c r="J41" s="1150">
        <v>210.14338986000001</v>
      </c>
      <c r="K41" s="1150">
        <v>213.47651721999998</v>
      </c>
      <c r="L41" s="1142">
        <f t="shared" si="3"/>
        <v>1.5861204876444279</v>
      </c>
      <c r="M41" s="1142">
        <f t="shared" si="6"/>
        <v>0.12606582446024209</v>
      </c>
      <c r="N41" s="385"/>
      <c r="P41" s="245"/>
      <c r="Q41" s="144"/>
      <c r="R41" s="145"/>
      <c r="S41" s="146"/>
      <c r="T41" s="146"/>
      <c r="U41" s="146"/>
      <c r="V41" s="138"/>
      <c r="W41" s="148"/>
      <c r="X41" s="147"/>
      <c r="Y41" s="147"/>
      <c r="Z41" s="147"/>
      <c r="AA41" s="147"/>
      <c r="AB41" s="147"/>
      <c r="AC41" s="147"/>
      <c r="AD41" s="147"/>
      <c r="AE41" s="147"/>
      <c r="AF41" s="147"/>
      <c r="AG41" s="147"/>
    </row>
    <row r="42" spans="3:33" ht="15" customHeight="1">
      <c r="C42" s="1140" t="str">
        <f>IF(Indice_index!$Z$1=1,"Aquisição de bens e serviços","Purchase of goods and services")</f>
        <v>Purchase of goods and services</v>
      </c>
      <c r="D42" s="1141">
        <v>310.40390108999992</v>
      </c>
      <c r="E42" s="1141">
        <v>290.99483981000003</v>
      </c>
      <c r="F42" s="1142">
        <f t="shared" si="1"/>
        <v>-6.2528406414493922</v>
      </c>
      <c r="G42" s="1141">
        <v>318.54680501999997</v>
      </c>
      <c r="H42" s="1141">
        <v>295.08426711000004</v>
      </c>
      <c r="I42" s="1142">
        <f t="shared" si="2"/>
        <v>-7.3654915196926325</v>
      </c>
      <c r="J42" s="1150">
        <v>628.95070610999983</v>
      </c>
      <c r="K42" s="1150">
        <v>586.07910692000007</v>
      </c>
      <c r="L42" s="1142">
        <f t="shared" si="3"/>
        <v>-6.8163687191253057</v>
      </c>
      <c r="M42" s="1142">
        <f t="shared" si="6"/>
        <v>-1.6214932446555013</v>
      </c>
      <c r="N42" s="385"/>
      <c r="P42" s="245"/>
      <c r="Q42" s="144"/>
      <c r="R42" s="145"/>
      <c r="S42" s="146"/>
      <c r="T42" s="146"/>
      <c r="U42" s="146"/>
      <c r="V42" s="138"/>
      <c r="W42" s="148"/>
      <c r="X42" s="147"/>
      <c r="Y42" s="147"/>
      <c r="Z42" s="147"/>
      <c r="AA42" s="147"/>
      <c r="AB42" s="147"/>
      <c r="AC42" s="147"/>
      <c r="AD42" s="147"/>
      <c r="AE42" s="147"/>
      <c r="AF42" s="147"/>
      <c r="AG42" s="147"/>
    </row>
    <row r="43" spans="3:33" ht="15" customHeight="1">
      <c r="C43" s="1140" t="str">
        <f>IF(Indice_index!$Z$1=1,"Juros e outros encargos","Interests and other charges")</f>
        <v>Interests and other charges</v>
      </c>
      <c r="D43" s="1141">
        <v>36.144484249999998</v>
      </c>
      <c r="E43" s="1141">
        <v>40.673348299999994</v>
      </c>
      <c r="F43" s="1142">
        <f t="shared" si="1"/>
        <v>12.529889812994069</v>
      </c>
      <c r="G43" s="1141">
        <v>69.207413750000001</v>
      </c>
      <c r="H43" s="1141">
        <v>91.879054409999995</v>
      </c>
      <c r="I43" s="1142">
        <f t="shared" si="2"/>
        <v>32.758976866116448</v>
      </c>
      <c r="J43" s="1150">
        <v>105.35189800000001</v>
      </c>
      <c r="K43" s="1150">
        <v>132.55240271</v>
      </c>
      <c r="L43" s="1142">
        <f t="shared" si="3"/>
        <v>25.818713498640516</v>
      </c>
      <c r="M43" s="1142">
        <f t="shared" si="6"/>
        <v>1.0287797859607994</v>
      </c>
      <c r="N43" s="385"/>
      <c r="P43" s="245"/>
      <c r="Q43" s="144"/>
      <c r="R43" s="145"/>
      <c r="S43" s="146"/>
      <c r="T43" s="146"/>
      <c r="U43" s="146"/>
      <c r="V43" s="138"/>
      <c r="W43" s="148"/>
      <c r="X43" s="147"/>
      <c r="Y43" s="147"/>
      <c r="Z43" s="147"/>
      <c r="AA43" s="147"/>
      <c r="AB43" s="147"/>
      <c r="AC43" s="147"/>
      <c r="AD43" s="147"/>
      <c r="AE43" s="147"/>
      <c r="AF43" s="147"/>
      <c r="AG43" s="147"/>
    </row>
    <row r="44" spans="3:33" ht="15" customHeight="1">
      <c r="C44" s="1140" t="str">
        <f>IF(Indice_index!$Z$1=1,"Transferências correntes","Current transfers")</f>
        <v>Current transfers</v>
      </c>
      <c r="D44" s="1141">
        <v>130.68554671999505</v>
      </c>
      <c r="E44" s="1141">
        <v>110.80981627000142</v>
      </c>
      <c r="F44" s="1142">
        <f t="shared" si="1"/>
        <v>-15.208820675923004</v>
      </c>
      <c r="G44" s="1141">
        <v>120.12934126999994</v>
      </c>
      <c r="H44" s="1141">
        <v>124.69869163999999</v>
      </c>
      <c r="I44" s="1142">
        <f t="shared" si="2"/>
        <v>3.8036921885137831</v>
      </c>
      <c r="J44" s="1150">
        <v>250.81488798999499</v>
      </c>
      <c r="K44" s="1150">
        <v>235.50850791000141</v>
      </c>
      <c r="L44" s="1142">
        <f t="shared" si="3"/>
        <v>-6.102660094325878</v>
      </c>
      <c r="M44" s="1142">
        <f t="shared" si="6"/>
        <v>-0.57891919986106888</v>
      </c>
      <c r="N44" s="385"/>
      <c r="P44" s="245"/>
      <c r="Q44" s="144"/>
      <c r="R44" s="145"/>
      <c r="S44" s="146"/>
      <c r="T44" s="146"/>
      <c r="U44" s="146"/>
      <c r="V44" s="138"/>
      <c r="W44" s="148"/>
      <c r="X44" s="147"/>
      <c r="Y44" s="147"/>
      <c r="Z44" s="147"/>
      <c r="AA44" s="147"/>
      <c r="AB44" s="147"/>
      <c r="AC44" s="147"/>
      <c r="AD44" s="147"/>
      <c r="AE44" s="147"/>
      <c r="AF44" s="147"/>
      <c r="AG44" s="147"/>
    </row>
    <row r="45" spans="3:33" ht="15" customHeight="1">
      <c r="C45" s="1143" t="str">
        <f>IF(Indice_index!$Z$1=1,"Administrações Públicas","General Government")</f>
        <v>General Government</v>
      </c>
      <c r="D45" s="1141">
        <v>2.519880880000045</v>
      </c>
      <c r="E45" s="1141">
        <v>4.0459608300001406</v>
      </c>
      <c r="F45" s="1142">
        <f t="shared" si="1"/>
        <v>60.561590911395328</v>
      </c>
      <c r="G45" s="1141">
        <v>2.0376875199999773</v>
      </c>
      <c r="H45" s="1141">
        <v>1.985554410000006</v>
      </c>
      <c r="I45" s="1142">
        <f t="shared" si="2"/>
        <v>-2.5584447805800918</v>
      </c>
      <c r="J45" s="1150">
        <v>4.5575684000000223</v>
      </c>
      <c r="K45" s="1150">
        <v>6.0315152400001466</v>
      </c>
      <c r="L45" s="1142">
        <f t="shared" si="3"/>
        <v>32.340641119069488</v>
      </c>
      <c r="M45" s="1142">
        <f t="shared" si="6"/>
        <v>5.5747741843019824E-2</v>
      </c>
      <c r="N45" s="385"/>
      <c r="P45" s="245"/>
      <c r="Q45" s="144"/>
      <c r="R45" s="145"/>
      <c r="S45" s="146"/>
      <c r="T45" s="146"/>
      <c r="U45" s="146"/>
      <c r="V45" s="138"/>
      <c r="W45" s="148"/>
      <c r="X45" s="147"/>
      <c r="Y45" s="147"/>
      <c r="Z45" s="147"/>
      <c r="AA45" s="147"/>
      <c r="AB45" s="147"/>
      <c r="AC45" s="147"/>
      <c r="AD45" s="147"/>
      <c r="AE45" s="147"/>
      <c r="AF45" s="147"/>
      <c r="AG45" s="147"/>
    </row>
    <row r="46" spans="3:33" ht="15" customHeight="1">
      <c r="C46" s="1143" t="str">
        <f>IF(Indice_index!$Z$1=1,"Outras transferências","Other transfers")</f>
        <v>Other transfers</v>
      </c>
      <c r="D46" s="1141">
        <v>128.165665839995</v>
      </c>
      <c r="E46" s="1141">
        <v>106.76385544000128</v>
      </c>
      <c r="F46" s="1142">
        <f t="shared" si="1"/>
        <v>-16.698552033984075</v>
      </c>
      <c r="G46" s="1141">
        <v>118.09165374999996</v>
      </c>
      <c r="H46" s="1141">
        <v>122.71313722999999</v>
      </c>
      <c r="I46" s="1142">
        <f t="shared" si="2"/>
        <v>3.9134717257696328</v>
      </c>
      <c r="J46" s="1150">
        <v>246.25731958999495</v>
      </c>
      <c r="K46" s="1150">
        <v>229.47699267000127</v>
      </c>
      <c r="L46" s="1142">
        <f t="shared" si="3"/>
        <v>-6.8141434122372546</v>
      </c>
      <c r="M46" s="1142">
        <f t="shared" si="6"/>
        <v>-0.63466694170408822</v>
      </c>
      <c r="N46" s="385"/>
      <c r="P46" s="245"/>
      <c r="Q46" s="144"/>
      <c r="R46" s="145"/>
      <c r="S46" s="146"/>
      <c r="T46" s="146"/>
      <c r="U46" s="146"/>
      <c r="V46" s="138"/>
      <c r="W46" s="148"/>
      <c r="X46" s="147"/>
      <c r="Y46" s="147"/>
      <c r="Z46" s="147"/>
      <c r="AA46" s="147"/>
      <c r="AB46" s="147"/>
      <c r="AC46" s="147"/>
      <c r="AD46" s="147"/>
      <c r="AE46" s="147"/>
      <c r="AF46" s="147"/>
      <c r="AG46" s="147"/>
    </row>
    <row r="47" spans="3:33" ht="15" customHeight="1">
      <c r="C47" s="1140" t="str">
        <f>IF(Indice_index!$Z$1=1,"Subsídios","Subsidies")</f>
        <v>Subsidies</v>
      </c>
      <c r="D47" s="1141">
        <v>50.675107990000555</v>
      </c>
      <c r="E47" s="1141">
        <v>28.167903320000089</v>
      </c>
      <c r="F47" s="1142">
        <f t="shared" si="1"/>
        <v>-44.414714763788346</v>
      </c>
      <c r="G47" s="1141">
        <v>32.962909840000002</v>
      </c>
      <c r="H47" s="1141">
        <v>30.49849347</v>
      </c>
      <c r="I47" s="1142">
        <f t="shared" si="2"/>
        <v>-7.4763313735411483</v>
      </c>
      <c r="J47" s="1150">
        <v>83.638017830000564</v>
      </c>
      <c r="K47" s="1150">
        <v>58.666396790000093</v>
      </c>
      <c r="L47" s="1142">
        <f t="shared" si="3"/>
        <v>-29.856782463157884</v>
      </c>
      <c r="M47" s="1142">
        <f t="shared" si="6"/>
        <v>-0.9444787595864389</v>
      </c>
      <c r="N47" s="385"/>
      <c r="P47" s="245"/>
      <c r="Q47" s="144"/>
      <c r="R47" s="145"/>
      <c r="S47" s="146"/>
      <c r="T47" s="146"/>
      <c r="U47" s="146"/>
      <c r="V47" s="138"/>
      <c r="W47" s="148"/>
      <c r="X47" s="147"/>
      <c r="Y47" s="147"/>
      <c r="Z47" s="147"/>
      <c r="AA47" s="147"/>
      <c r="AB47" s="147"/>
      <c r="AC47" s="147"/>
      <c r="AD47" s="147"/>
      <c r="AE47" s="147"/>
      <c r="AF47" s="147"/>
      <c r="AG47" s="147"/>
    </row>
    <row r="48" spans="3:33" ht="15" customHeight="1">
      <c r="C48" s="1140" t="str">
        <f>IF(Indice_index!$Z$1=1,"Outras despesas correntes","Other current expenditure")</f>
        <v>Other current expenditure</v>
      </c>
      <c r="D48" s="1141">
        <v>14.121024109999999</v>
      </c>
      <c r="E48" s="1141">
        <v>15.29593386</v>
      </c>
      <c r="F48" s="1142">
        <f t="shared" si="1"/>
        <v>8.3202871183257354</v>
      </c>
      <c r="G48" s="1141">
        <v>2.4503354399999999</v>
      </c>
      <c r="H48" s="1141">
        <v>3.3634039800000002</v>
      </c>
      <c r="I48" s="1142">
        <f t="shared" si="2"/>
        <v>37.263001836189432</v>
      </c>
      <c r="J48" s="1150">
        <v>16.571359549999997</v>
      </c>
      <c r="K48" s="1150">
        <v>18.659337839999999</v>
      </c>
      <c r="L48" s="1142">
        <f t="shared" si="3"/>
        <v>12.599921471138453</v>
      </c>
      <c r="M48" s="1142">
        <f t="shared" si="6"/>
        <v>7.8971691193924137E-2</v>
      </c>
      <c r="N48" s="385"/>
      <c r="P48" s="245"/>
      <c r="Q48" s="144"/>
      <c r="R48" s="145"/>
      <c r="S48" s="146"/>
      <c r="T48" s="146"/>
      <c r="U48" s="146"/>
      <c r="V48" s="138"/>
      <c r="W48" s="148"/>
      <c r="X48" s="147"/>
      <c r="Y48" s="147"/>
      <c r="Z48" s="147"/>
      <c r="AA48" s="147"/>
      <c r="AB48" s="147"/>
      <c r="AC48" s="147"/>
      <c r="AD48" s="147"/>
      <c r="AE48" s="147"/>
      <c r="AF48" s="147"/>
      <c r="AG48" s="147"/>
    </row>
    <row r="49" spans="3:33" ht="15" customHeight="1">
      <c r="C49" s="1140" t="str">
        <f>IF(Indice_index!$Z$1=1,"Diferenças de consolidação","Consolidation differences")</f>
        <v>Consolidation differences</v>
      </c>
      <c r="D49" s="1141">
        <v>0</v>
      </c>
      <c r="E49" s="1141">
        <v>3.333298081997782E-9</v>
      </c>
      <c r="F49" s="1142"/>
      <c r="G49" s="1141">
        <v>0.43593435000013869</v>
      </c>
      <c r="H49" s="1141">
        <v>0</v>
      </c>
      <c r="I49" s="1142"/>
      <c r="J49" s="1141">
        <v>0.43593435000013869</v>
      </c>
      <c r="K49" s="1141">
        <v>0</v>
      </c>
      <c r="L49" s="1141"/>
      <c r="M49" s="1049">
        <f t="shared" si="6"/>
        <v>-1.6487945796138982E-2</v>
      </c>
      <c r="N49" s="385"/>
      <c r="P49" s="245"/>
      <c r="Q49" s="144"/>
      <c r="R49" s="145"/>
      <c r="S49" s="146"/>
      <c r="T49" s="146"/>
      <c r="U49" s="146"/>
      <c r="V49" s="138"/>
      <c r="W49" s="148"/>
      <c r="X49" s="147"/>
      <c r="Y49" s="147"/>
      <c r="Z49" s="147"/>
      <c r="AA49" s="147"/>
      <c r="AB49" s="147"/>
      <c r="AC49" s="147"/>
      <c r="AD49" s="147"/>
      <c r="AE49" s="147"/>
      <c r="AF49" s="147"/>
      <c r="AG49" s="147"/>
    </row>
    <row r="50" spans="3:33" s="298" customFormat="1" ht="15" customHeight="1">
      <c r="C50" s="1147" t="str">
        <f>IF(Indice_index!$Z$1=1,"Despesa de Capital","Capital expenditure")</f>
        <v>Capital expenditure</v>
      </c>
      <c r="D50" s="1148">
        <v>258.99702893</v>
      </c>
      <c r="E50" s="1148">
        <v>206.90105326999998</v>
      </c>
      <c r="F50" s="301">
        <f t="shared" si="1"/>
        <v>-20.114507056403408</v>
      </c>
      <c r="G50" s="1148">
        <v>162.43286939000004</v>
      </c>
      <c r="H50" s="1148">
        <v>191.29108026000003</v>
      </c>
      <c r="I50" s="301">
        <f t="shared" si="2"/>
        <v>17.766238433374994</v>
      </c>
      <c r="J50" s="1148">
        <v>421.42989832000001</v>
      </c>
      <c r="K50" s="1148">
        <v>398.19213352999998</v>
      </c>
      <c r="L50" s="301">
        <f t="shared" si="3"/>
        <v>-5.5140285211456774</v>
      </c>
      <c r="M50" s="301">
        <f t="shared" si="6"/>
        <v>-0.87890070209155446</v>
      </c>
      <c r="N50" s="384"/>
      <c r="O50" s="299"/>
      <c r="P50" s="302"/>
      <c r="Q50" s="303"/>
      <c r="R50" s="304"/>
      <c r="S50" s="305"/>
      <c r="T50" s="305"/>
      <c r="U50" s="305"/>
      <c r="V50" s="300"/>
      <c r="W50" s="306"/>
      <c r="X50" s="147"/>
      <c r="Y50" s="147"/>
      <c r="Z50" s="147"/>
      <c r="AA50" s="147"/>
      <c r="AB50" s="147"/>
      <c r="AC50" s="147"/>
      <c r="AD50" s="147"/>
      <c r="AE50" s="147"/>
      <c r="AF50" s="147"/>
      <c r="AG50" s="147"/>
    </row>
    <row r="51" spans="3:33" ht="15" customHeight="1">
      <c r="C51" s="1140" t="str">
        <f>IF(Indice_index!$Z$1=1,"Aquisição de bens de capital","Purchase of capital goods")</f>
        <v>Purchase of capital goods</v>
      </c>
      <c r="D51" s="1141">
        <v>43.458227580000006</v>
      </c>
      <c r="E51" s="1141">
        <v>53.196817660000001</v>
      </c>
      <c r="F51" s="1142">
        <f t="shared" si="1"/>
        <v>22.409082519697169</v>
      </c>
      <c r="G51" s="1141">
        <v>97.851849480000027</v>
      </c>
      <c r="H51" s="1141">
        <v>103.90590433000003</v>
      </c>
      <c r="I51" s="1142">
        <f t="shared" si="2"/>
        <v>6.1869600648042837</v>
      </c>
      <c r="J51" s="1150">
        <v>141.31007706000003</v>
      </c>
      <c r="K51" s="1150">
        <v>157.10272199000002</v>
      </c>
      <c r="L51" s="1142">
        <f t="shared" si="3"/>
        <v>11.175880205128234</v>
      </c>
      <c r="M51" s="1142">
        <f t="shared" si="6"/>
        <v>0.59731075007836876</v>
      </c>
      <c r="N51" s="385"/>
      <c r="P51" s="245"/>
      <c r="Q51" s="144"/>
      <c r="R51" s="145"/>
      <c r="S51" s="146"/>
      <c r="T51" s="146"/>
      <c r="U51" s="146"/>
      <c r="V51" s="138"/>
      <c r="W51" s="148"/>
      <c r="X51" s="147"/>
      <c r="Y51" s="147"/>
      <c r="Z51" s="147"/>
      <c r="AA51" s="147"/>
      <c r="AB51" s="147"/>
      <c r="AC51" s="147"/>
      <c r="AD51" s="147"/>
      <c r="AE51" s="147"/>
      <c r="AF51" s="147"/>
      <c r="AG51" s="147"/>
    </row>
    <row r="52" spans="3:33" ht="15" customHeight="1">
      <c r="C52" s="1140" t="str">
        <f>IF(Indice_index!$Z$1=1,"Transferências de capital","Capital transfers")</f>
        <v>Capital transfers</v>
      </c>
      <c r="D52" s="1141">
        <v>215.44356335000001</v>
      </c>
      <c r="E52" s="1141">
        <v>153.60432261</v>
      </c>
      <c r="F52" s="1142">
        <f t="shared" si="1"/>
        <v>-28.703220360099007</v>
      </c>
      <c r="G52" s="1141">
        <v>64.581019910000009</v>
      </c>
      <c r="H52" s="1141">
        <v>87.186539530000033</v>
      </c>
      <c r="I52" s="1142">
        <f t="shared" si="2"/>
        <v>35.003348741631882</v>
      </c>
      <c r="J52" s="1150">
        <v>280.02458325999999</v>
      </c>
      <c r="K52" s="1150">
        <v>240.79086214000003</v>
      </c>
      <c r="L52" s="1142">
        <f t="shared" si="3"/>
        <v>-14.010813144777309</v>
      </c>
      <c r="M52" s="1142">
        <f t="shared" si="6"/>
        <v>-1.4839011131083994</v>
      </c>
      <c r="N52" s="385"/>
      <c r="P52" s="245"/>
      <c r="Q52" s="144"/>
      <c r="R52" s="145"/>
      <c r="S52" s="146"/>
      <c r="T52" s="146"/>
      <c r="U52" s="146"/>
      <c r="V52" s="138"/>
      <c r="W52" s="148"/>
      <c r="X52" s="147"/>
      <c r="Y52" s="147"/>
      <c r="Z52" s="147"/>
      <c r="AA52" s="147"/>
      <c r="AB52" s="147"/>
      <c r="AC52" s="147"/>
      <c r="AD52" s="147"/>
      <c r="AE52" s="147"/>
      <c r="AF52" s="147"/>
      <c r="AG52" s="147"/>
    </row>
    <row r="53" spans="3:33" ht="15" customHeight="1">
      <c r="C53" s="1143" t="str">
        <f>IF(Indice_index!$Z$1=1,"Administrações Públicas","General Government")</f>
        <v>General Government</v>
      </c>
      <c r="D53" s="1141">
        <v>9.676901149999992</v>
      </c>
      <c r="E53" s="1141">
        <v>8.8211022099999923</v>
      </c>
      <c r="F53" s="1142">
        <f t="shared" si="1"/>
        <v>-8.8437292758746473</v>
      </c>
      <c r="G53" s="1141">
        <v>8.7711525700000053</v>
      </c>
      <c r="H53" s="1141">
        <v>7.9857708700000245</v>
      </c>
      <c r="I53" s="1142">
        <f t="shared" si="2"/>
        <v>-8.9541447800853859</v>
      </c>
      <c r="J53" s="1150">
        <v>18.448053719999997</v>
      </c>
      <c r="K53" s="1150">
        <v>16.806873080000017</v>
      </c>
      <c r="L53" s="1142">
        <f t="shared" si="3"/>
        <v>-8.8962264795485471</v>
      </c>
      <c r="M53" s="1142">
        <f t="shared" si="6"/>
        <v>-6.2072872747889099E-2</v>
      </c>
      <c r="N53" s="385"/>
      <c r="P53" s="245"/>
      <c r="Q53" s="144"/>
      <c r="R53" s="145"/>
      <c r="S53" s="146"/>
      <c r="T53" s="146"/>
      <c r="U53" s="146"/>
      <c r="V53" s="138"/>
      <c r="W53" s="148"/>
      <c r="X53" s="147"/>
      <c r="Y53" s="147"/>
      <c r="Z53" s="147"/>
      <c r="AA53" s="147"/>
      <c r="AB53" s="147"/>
      <c r="AC53" s="147"/>
      <c r="AD53" s="147"/>
      <c r="AE53" s="147"/>
      <c r="AF53" s="147"/>
      <c r="AG53" s="147"/>
    </row>
    <row r="54" spans="3:33" ht="15" customHeight="1">
      <c r="C54" s="1143" t="str">
        <f>IF(Indice_index!$Z$1=1,"Outras transferências","Other transfers")</f>
        <v>Other transfers</v>
      </c>
      <c r="D54" s="1141">
        <v>205.76666220000001</v>
      </c>
      <c r="E54" s="1141">
        <v>144.7832204</v>
      </c>
      <c r="F54" s="1142">
        <f t="shared" si="1"/>
        <v>-29.637182791411387</v>
      </c>
      <c r="G54" s="1141">
        <v>55.809867340000004</v>
      </c>
      <c r="H54" s="1141">
        <v>79.200768660000008</v>
      </c>
      <c r="I54" s="1142">
        <f t="shared" si="2"/>
        <v>41.911766565399624</v>
      </c>
      <c r="J54" s="1150">
        <v>261.57652954000002</v>
      </c>
      <c r="K54" s="1150">
        <v>223.98398906</v>
      </c>
      <c r="L54" s="1142">
        <f t="shared" si="3"/>
        <v>-14.371526583867844</v>
      </c>
      <c r="M54" s="1142">
        <f t="shared" si="6"/>
        <v>-1.4218282403605123</v>
      </c>
      <c r="N54" s="385"/>
      <c r="P54" s="245"/>
      <c r="Q54" s="144"/>
      <c r="R54" s="145"/>
      <c r="S54" s="146"/>
      <c r="T54" s="146"/>
      <c r="U54" s="146"/>
      <c r="V54" s="138"/>
      <c r="W54" s="148"/>
      <c r="X54" s="147"/>
      <c r="Y54" s="147"/>
      <c r="Z54" s="147"/>
      <c r="AA54" s="147"/>
      <c r="AB54" s="147"/>
      <c r="AC54" s="147"/>
      <c r="AD54" s="147"/>
      <c r="AE54" s="147"/>
      <c r="AF54" s="147"/>
      <c r="AG54" s="147"/>
    </row>
    <row r="55" spans="3:33" ht="15" customHeight="1">
      <c r="C55" s="1140" t="str">
        <f>IF(Indice_index!$Z$1=1,"Outras despesas de capital","Other capital expenditure")</f>
        <v>Other capital expenditure</v>
      </c>
      <c r="D55" s="1141">
        <v>9.5238000000000003E-2</v>
      </c>
      <c r="E55" s="1141">
        <v>9.9913000000000002E-2</v>
      </c>
      <c r="F55" s="1142">
        <f t="shared" si="1"/>
        <v>4.9087549087549069</v>
      </c>
      <c r="G55" s="1141">
        <v>0</v>
      </c>
      <c r="H55" s="1141">
        <v>0</v>
      </c>
      <c r="I55" s="1142">
        <f t="shared" si="2"/>
        <v>0</v>
      </c>
      <c r="J55" s="1150">
        <v>9.5238000000000003E-2</v>
      </c>
      <c r="K55" s="1150">
        <v>9.9913000000000002E-2</v>
      </c>
      <c r="L55" s="1142">
        <f t="shared" si="3"/>
        <v>4.9087549087549069</v>
      </c>
      <c r="M55" s="1142">
        <f t="shared" si="6"/>
        <v>1.7681824475847152E-4</v>
      </c>
      <c r="N55" s="385"/>
      <c r="P55" s="245"/>
      <c r="Q55" s="144"/>
      <c r="R55" s="145"/>
      <c r="S55" s="146"/>
      <c r="T55" s="146"/>
      <c r="U55" s="146"/>
      <c r="V55" s="138"/>
      <c r="W55" s="148"/>
      <c r="X55" s="147"/>
      <c r="Y55" s="147"/>
      <c r="Z55" s="147"/>
      <c r="AA55" s="147"/>
      <c r="AB55" s="147"/>
      <c r="AC55" s="147"/>
      <c r="AD55" s="147"/>
      <c r="AE55" s="147"/>
      <c r="AF55" s="147"/>
      <c r="AG55" s="147"/>
    </row>
    <row r="56" spans="3:33" s="151" customFormat="1" ht="15" customHeight="1">
      <c r="C56" s="1140" t="str">
        <f>IF(Indice_index!$Z$1=1,"Diferenças de consolidação","Consolidation differences")</f>
        <v>Consolidation differences</v>
      </c>
      <c r="D56" s="1141">
        <v>0</v>
      </c>
      <c r="E56" s="1141">
        <v>0</v>
      </c>
      <c r="F56" s="1142"/>
      <c r="G56" s="1141">
        <v>0</v>
      </c>
      <c r="H56" s="1141">
        <v>0.19863639999996963</v>
      </c>
      <c r="I56" s="1142"/>
      <c r="J56" s="1141">
        <v>0</v>
      </c>
      <c r="K56" s="1141">
        <v>0.19863639999996963</v>
      </c>
      <c r="L56" s="1142"/>
      <c r="M56" s="1049"/>
      <c r="N56" s="385"/>
      <c r="O56" s="246"/>
      <c r="P56" s="245"/>
      <c r="Q56" s="144"/>
      <c r="R56" s="145"/>
      <c r="S56" s="146"/>
      <c r="T56" s="146"/>
      <c r="U56" s="146"/>
      <c r="V56" s="149"/>
      <c r="W56" s="150"/>
      <c r="X56" s="147"/>
      <c r="Y56" s="147"/>
      <c r="Z56" s="147"/>
      <c r="AA56" s="147"/>
      <c r="AB56" s="147"/>
      <c r="AC56" s="147"/>
      <c r="AD56" s="147"/>
      <c r="AE56" s="147"/>
      <c r="AF56" s="147"/>
      <c r="AG56" s="147"/>
    </row>
    <row r="57" spans="3:33" ht="4.5" customHeight="1">
      <c r="C57" s="1149"/>
      <c r="D57" s="1150"/>
      <c r="E57" s="1150"/>
      <c r="F57" s="156"/>
      <c r="G57" s="1150"/>
      <c r="H57" s="1150"/>
      <c r="I57" s="156"/>
      <c r="J57" s="1150"/>
      <c r="K57" s="1150"/>
      <c r="L57" s="156"/>
      <c r="M57" s="156"/>
      <c r="N57" s="385"/>
      <c r="P57" s="245"/>
      <c r="Q57" s="144"/>
      <c r="R57" s="145"/>
      <c r="S57" s="146"/>
      <c r="T57" s="146"/>
      <c r="U57" s="146"/>
      <c r="V57" s="138"/>
      <c r="W57" s="148"/>
      <c r="X57" s="147"/>
      <c r="Y57" s="147"/>
      <c r="Z57" s="147"/>
      <c r="AA57" s="147"/>
      <c r="AB57" s="147"/>
      <c r="AC57" s="147"/>
      <c r="AD57" s="147"/>
      <c r="AE57" s="147"/>
      <c r="AF57" s="147"/>
      <c r="AG57" s="147"/>
    </row>
    <row r="58" spans="3:33" s="298" customFormat="1" ht="15" customHeight="1">
      <c r="C58" s="1147" t="str">
        <f>IF(Indice_index!$Z$1=1,"Despesa efetiva","Effective expenditure")</f>
        <v>Effective expenditure</v>
      </c>
      <c r="D58" s="1151">
        <v>1330.8132959899954</v>
      </c>
      <c r="E58" s="1151">
        <v>1253.7397340233347</v>
      </c>
      <c r="F58" s="301">
        <f t="shared" si="1"/>
        <v>-5.7914631751049255</v>
      </c>
      <c r="G58" s="1151">
        <v>1313.14463176</v>
      </c>
      <c r="H58" s="1151">
        <v>1361.8245654100001</v>
      </c>
      <c r="I58" s="301">
        <f t="shared" si="2"/>
        <v>3.7071265778815725</v>
      </c>
      <c r="J58" s="1151">
        <v>2643.9579277499956</v>
      </c>
      <c r="K58" s="1151">
        <v>2615.5642994300006</v>
      </c>
      <c r="L58" s="301">
        <f t="shared" si="3"/>
        <v>-1.073906207885766</v>
      </c>
      <c r="M58" s="301"/>
      <c r="N58" s="384"/>
      <c r="O58" s="299"/>
      <c r="P58" s="302"/>
      <c r="Q58" s="308"/>
      <c r="R58" s="304"/>
      <c r="S58" s="305"/>
      <c r="T58" s="305"/>
      <c r="U58" s="305"/>
      <c r="V58" s="300"/>
      <c r="W58" s="306"/>
      <c r="X58" s="147"/>
      <c r="Y58" s="147"/>
      <c r="Z58" s="147"/>
      <c r="AA58" s="147"/>
      <c r="AB58" s="147"/>
      <c r="AC58" s="147"/>
      <c r="AD58" s="147"/>
      <c r="AE58" s="147"/>
      <c r="AF58" s="147"/>
      <c r="AG58" s="147"/>
    </row>
    <row r="59" spans="3:33" ht="4.5" customHeight="1">
      <c r="C59" s="1152"/>
      <c r="D59" s="1141"/>
      <c r="E59" s="1141"/>
      <c r="F59" s="1153"/>
      <c r="G59" s="1141"/>
      <c r="H59" s="1141"/>
      <c r="I59" s="1153"/>
      <c r="J59" s="1141"/>
      <c r="K59" s="1141"/>
      <c r="L59" s="1153"/>
      <c r="M59" s="1154"/>
      <c r="N59" s="385"/>
      <c r="P59" s="245"/>
      <c r="Q59" s="144"/>
      <c r="R59" s="145"/>
      <c r="S59" s="146"/>
      <c r="T59" s="146"/>
      <c r="U59" s="146"/>
      <c r="V59" s="138"/>
      <c r="W59" s="138"/>
      <c r="X59" s="147"/>
      <c r="Y59" s="147"/>
      <c r="Z59" s="147"/>
      <c r="AA59" s="147"/>
      <c r="AB59" s="147"/>
      <c r="AC59" s="147"/>
      <c r="AD59" s="147"/>
      <c r="AE59" s="147"/>
      <c r="AF59" s="147"/>
      <c r="AG59" s="147"/>
    </row>
    <row r="60" spans="3:33" s="298" customFormat="1" ht="15" customHeight="1">
      <c r="C60" s="1155" t="str">
        <f>IF(Indice_index!$Z$1=1,"Saldo global","Overall balance")</f>
        <v>Overall balance</v>
      </c>
      <c r="D60" s="1156">
        <v>-126.93295911999553</v>
      </c>
      <c r="E60" s="1156">
        <v>-142.5030453033346</v>
      </c>
      <c r="F60" s="1157"/>
      <c r="G60" s="1156">
        <v>-193.86109976000012</v>
      </c>
      <c r="H60" s="1156">
        <v>-67.424718370000164</v>
      </c>
      <c r="I60" s="1157"/>
      <c r="J60" s="1156">
        <v>-320.79405887999565</v>
      </c>
      <c r="K60" s="1156">
        <v>-209.92776367333363</v>
      </c>
      <c r="L60" s="1157"/>
      <c r="M60" s="1157"/>
      <c r="N60" s="386"/>
      <c r="O60" s="299"/>
      <c r="P60" s="302"/>
      <c r="Q60" s="303"/>
      <c r="R60" s="304"/>
      <c r="S60" s="305"/>
      <c r="T60" s="305"/>
      <c r="U60" s="305"/>
      <c r="V60" s="300"/>
      <c r="W60" s="300"/>
      <c r="X60" s="147"/>
      <c r="Y60" s="147"/>
      <c r="Z60" s="147"/>
      <c r="AA60" s="147"/>
      <c r="AB60" s="147"/>
      <c r="AC60" s="147"/>
      <c r="AD60" s="147"/>
      <c r="AE60" s="147"/>
      <c r="AF60" s="147"/>
      <c r="AG60" s="147"/>
    </row>
    <row r="61" spans="3:33" ht="4.5" customHeight="1">
      <c r="C61" s="1158"/>
      <c r="D61" s="1150"/>
      <c r="E61" s="1150"/>
      <c r="F61" s="1159"/>
      <c r="G61" s="1150"/>
      <c r="H61" s="1150"/>
      <c r="I61" s="1159"/>
      <c r="J61" s="1150"/>
      <c r="K61" s="1150"/>
      <c r="L61" s="1159"/>
      <c r="M61" s="1160"/>
      <c r="N61" s="385"/>
      <c r="P61" s="245"/>
      <c r="Q61" s="144"/>
      <c r="R61" s="145"/>
      <c r="S61" s="146"/>
      <c r="T61" s="146"/>
      <c r="U61" s="146"/>
      <c r="V61" s="138"/>
      <c r="W61" s="138"/>
      <c r="X61" s="147"/>
      <c r="Y61" s="147"/>
      <c r="Z61" s="147"/>
      <c r="AA61" s="147"/>
      <c r="AB61" s="147"/>
      <c r="AC61" s="147"/>
      <c r="AD61" s="147"/>
      <c r="AE61" s="147"/>
      <c r="AF61" s="147"/>
      <c r="AG61" s="147"/>
    </row>
    <row r="62" spans="3:33" ht="15" customHeight="1">
      <c r="C62" s="1140" t="str">
        <f>IF(Indice_index!$Z$1=1,"Despesa  primária","Primary Expenditure")</f>
        <v>Primary Expenditure</v>
      </c>
      <c r="D62" s="1150">
        <v>1294.6688117399954</v>
      </c>
      <c r="E62" s="1150">
        <v>1213.0663857233346</v>
      </c>
      <c r="F62" s="1142">
        <f t="shared" ref="F62" si="7">IFERROR(IF(ABS((E62-D62)/D62)*100&gt;500,"n.r",((E62-D62)/D62)*100),0)</f>
        <v>-6.30295758086499</v>
      </c>
      <c r="G62" s="1150">
        <v>1243.9372180099999</v>
      </c>
      <c r="H62" s="1150">
        <v>1269.9455110000001</v>
      </c>
      <c r="I62" s="1142">
        <f t="shared" ref="I62" si="8">IFERROR(IF(ABS((H62-G62)/G62)*100&gt;500,"n.r",((H62-G62)/G62)*100),0)</f>
        <v>2.0908043117808797</v>
      </c>
      <c r="J62" s="1141">
        <v>2538.6060297499953</v>
      </c>
      <c r="K62" s="1141">
        <v>2483.0118967233348</v>
      </c>
      <c r="L62" s="1142">
        <f t="shared" ref="L62" si="9">IFERROR(IF(ABS((K62-J62)/J62)*100&gt;500,"n.r",((K62-J62)/J62)*100),0)</f>
        <v>-2.1899472535380173</v>
      </c>
      <c r="M62" s="1142"/>
      <c r="N62" s="385"/>
      <c r="P62" s="245"/>
      <c r="Q62" s="144"/>
      <c r="R62" s="145"/>
      <c r="S62" s="146"/>
      <c r="T62" s="146"/>
      <c r="U62" s="146"/>
      <c r="V62" s="138"/>
      <c r="W62" s="138"/>
      <c r="X62" s="147"/>
      <c r="Y62" s="147"/>
      <c r="Z62" s="147"/>
      <c r="AA62" s="147"/>
      <c r="AB62" s="147"/>
      <c r="AC62" s="147"/>
      <c r="AD62" s="147"/>
      <c r="AE62" s="147"/>
      <c r="AF62" s="147"/>
      <c r="AG62" s="147"/>
    </row>
    <row r="63" spans="3:33" ht="15" customHeight="1">
      <c r="C63" s="1161" t="str">
        <f>IF(Indice_index!$Z$1=1,"Saldo primário","Primary balance")</f>
        <v>Primary balance</v>
      </c>
      <c r="D63" s="1150">
        <v>-90.788474869995525</v>
      </c>
      <c r="E63" s="1150">
        <v>-101.82969700333462</v>
      </c>
      <c r="F63" s="1142"/>
      <c r="G63" s="1150">
        <v>-124.65368601000011</v>
      </c>
      <c r="H63" s="1150">
        <v>24.454336039999831</v>
      </c>
      <c r="I63" s="1142"/>
      <c r="J63" s="1141">
        <v>-215.44216087999564</v>
      </c>
      <c r="K63" s="1141">
        <v>-77.375360963334785</v>
      </c>
      <c r="L63" s="1142"/>
      <c r="M63" s="1162"/>
      <c r="N63" s="385"/>
      <c r="P63" s="245"/>
      <c r="Q63" s="144"/>
      <c r="R63" s="145"/>
      <c r="S63" s="146"/>
      <c r="T63" s="146"/>
      <c r="U63" s="146"/>
      <c r="V63" s="138"/>
      <c r="W63" s="138"/>
      <c r="X63" s="147"/>
      <c r="Y63" s="147"/>
      <c r="Z63" s="147"/>
      <c r="AA63" s="147"/>
      <c r="AB63" s="147"/>
      <c r="AC63" s="147"/>
      <c r="AD63" s="147"/>
      <c r="AE63" s="147"/>
      <c r="AF63" s="147"/>
      <c r="AG63" s="147"/>
    </row>
    <row r="64" spans="3:33" ht="15" customHeight="1">
      <c r="C64" s="1161" t="str">
        <f>IF(Indice_index!$Z$1=1,"Saldo corrente","Current balance")</f>
        <v>Current balance</v>
      </c>
      <c r="D64" s="1150">
        <v>-39.021732459995519</v>
      </c>
      <c r="E64" s="1150">
        <v>-103.49366175333466</v>
      </c>
      <c r="F64" s="1142"/>
      <c r="G64" s="1150">
        <v>-140.85102875000007</v>
      </c>
      <c r="H64" s="1150">
        <v>-7.977713340000264</v>
      </c>
      <c r="I64" s="1142"/>
      <c r="J64" s="1141">
        <v>-179.87276120999559</v>
      </c>
      <c r="K64" s="1141">
        <v>-111.47137509333493</v>
      </c>
      <c r="L64" s="1142"/>
      <c r="M64" s="1162"/>
      <c r="N64" s="385"/>
      <c r="P64" s="245"/>
      <c r="Q64" s="144"/>
      <c r="R64" s="145"/>
      <c r="S64" s="146"/>
      <c r="T64" s="146"/>
      <c r="U64" s="146"/>
      <c r="V64" s="138"/>
      <c r="W64" s="138"/>
      <c r="X64" s="147"/>
      <c r="Y64" s="147"/>
      <c r="Z64" s="147"/>
      <c r="AA64" s="147"/>
      <c r="AB64" s="147"/>
      <c r="AC64" s="147"/>
      <c r="AD64" s="147"/>
      <c r="AE64" s="147"/>
      <c r="AF64" s="147"/>
      <c r="AG64" s="147"/>
    </row>
    <row r="65" spans="2:33" ht="15" customHeight="1">
      <c r="C65" s="1161" t="str">
        <f>IF(Indice_index!$Z$1=1,"Saldo de capital","Capital balance")</f>
        <v>Capital balance</v>
      </c>
      <c r="D65" s="1150">
        <v>-87.911226659999983</v>
      </c>
      <c r="E65" s="1150">
        <v>-39.009383549999939</v>
      </c>
      <c r="F65" s="1142"/>
      <c r="G65" s="1150">
        <v>-53.010071010000047</v>
      </c>
      <c r="H65" s="1150">
        <v>-59.447005030000014</v>
      </c>
      <c r="I65" s="1142"/>
      <c r="J65" s="1141">
        <v>-140.92129767000003</v>
      </c>
      <c r="K65" s="1141">
        <v>-98.456388579999953</v>
      </c>
      <c r="L65" s="1142"/>
      <c r="M65" s="1162"/>
      <c r="N65" s="385"/>
      <c r="P65" s="245"/>
      <c r="Q65" s="144"/>
      <c r="R65" s="145"/>
      <c r="S65" s="146"/>
      <c r="T65" s="146"/>
      <c r="U65" s="146"/>
      <c r="V65" s="138"/>
      <c r="W65" s="138"/>
      <c r="X65" s="147"/>
      <c r="Y65" s="147"/>
      <c r="Z65" s="147"/>
      <c r="AA65" s="147"/>
      <c r="AB65" s="147"/>
      <c r="AC65" s="147"/>
      <c r="AD65" s="147"/>
      <c r="AE65" s="147"/>
      <c r="AF65" s="147"/>
      <c r="AG65" s="147"/>
    </row>
    <row r="66" spans="2:33" ht="15" customHeight="1">
      <c r="C66" s="1152" t="str">
        <f>IF(Indice_index!$Z$1=1,"Activos financeiros líquidos de reembolsos","Financial assets net of reimbursements")</f>
        <v>Financial assets net of reimbursements</v>
      </c>
      <c r="D66" s="1150">
        <v>26.076112180000003</v>
      </c>
      <c r="E66" s="1150">
        <v>60.892534310000009</v>
      </c>
      <c r="F66" s="1142"/>
      <c r="G66" s="1150">
        <v>38.503823900000008</v>
      </c>
      <c r="H66" s="1150">
        <v>35.067332990000004</v>
      </c>
      <c r="I66" s="1142"/>
      <c r="J66" s="1150">
        <v>64.57993608000001</v>
      </c>
      <c r="K66" s="1150">
        <v>95.959867300000013</v>
      </c>
      <c r="L66" s="1142"/>
      <c r="M66" s="1162"/>
      <c r="N66" s="385"/>
      <c r="P66" s="245"/>
      <c r="Q66" s="144"/>
      <c r="R66" s="145"/>
      <c r="S66" s="146"/>
      <c r="T66" s="146"/>
      <c r="U66" s="146"/>
      <c r="V66" s="138"/>
      <c r="W66" s="138"/>
      <c r="X66" s="147"/>
      <c r="Y66" s="147"/>
      <c r="Z66" s="147"/>
      <c r="AA66" s="147"/>
      <c r="AB66" s="147"/>
      <c r="AC66" s="147"/>
      <c r="AD66" s="147"/>
      <c r="AE66" s="147"/>
      <c r="AF66" s="147"/>
      <c r="AG66" s="147"/>
    </row>
    <row r="67" spans="2:33" ht="15" customHeight="1">
      <c r="C67" s="1163" t="str">
        <f>IF(Indice_index!$Z$1=1,"dos quais Receitas de:","of which Revenues of")</f>
        <v>of which Revenues of</v>
      </c>
      <c r="D67" s="1164"/>
      <c r="E67" s="1164"/>
      <c r="F67" s="1142"/>
      <c r="G67" s="1164"/>
      <c r="H67" s="1164"/>
      <c r="I67" s="1142"/>
      <c r="J67" s="1164"/>
      <c r="K67" s="1164"/>
      <c r="L67" s="1142"/>
      <c r="M67" s="1162"/>
      <c r="N67" s="385"/>
      <c r="P67" s="245"/>
      <c r="Q67" s="144"/>
      <c r="R67" s="145"/>
      <c r="S67" s="146"/>
      <c r="T67" s="146"/>
      <c r="U67" s="146"/>
      <c r="V67" s="138"/>
      <c r="W67" s="138"/>
      <c r="X67" s="147"/>
      <c r="Y67" s="147"/>
      <c r="Z67" s="147"/>
      <c r="AA67" s="147"/>
      <c r="AB67" s="147"/>
      <c r="AC67" s="147"/>
      <c r="AD67" s="147"/>
      <c r="AE67" s="147"/>
      <c r="AF67" s="147"/>
      <c r="AG67" s="147"/>
    </row>
    <row r="68" spans="2:33" ht="15" customHeight="1">
      <c r="C68" s="1165" t="str">
        <f>IF(Indice_index!$Z$1=1,"Alienação de partes de Capital","Divestment of company shares")</f>
        <v>Divestment of company shares</v>
      </c>
      <c r="D68" s="1150">
        <v>0</v>
      </c>
      <c r="E68" s="1150">
        <v>0</v>
      </c>
      <c r="F68" s="1142"/>
      <c r="G68" s="1150">
        <v>0</v>
      </c>
      <c r="H68" s="1150">
        <v>0</v>
      </c>
      <c r="I68" s="1142"/>
      <c r="J68" s="1150">
        <v>0</v>
      </c>
      <c r="K68" s="1150">
        <v>0</v>
      </c>
      <c r="L68" s="1142"/>
      <c r="M68" s="1162"/>
      <c r="N68" s="385"/>
      <c r="Q68" s="144"/>
      <c r="R68" s="145"/>
      <c r="S68" s="146"/>
      <c r="T68" s="146"/>
      <c r="U68" s="146"/>
      <c r="V68" s="138"/>
      <c r="W68" s="138"/>
      <c r="X68" s="147"/>
      <c r="Y68" s="147"/>
      <c r="Z68" s="147"/>
      <c r="AA68" s="147"/>
      <c r="AB68" s="147"/>
      <c r="AC68" s="147"/>
      <c r="AD68" s="147"/>
      <c r="AE68" s="147"/>
      <c r="AF68" s="147"/>
      <c r="AG68" s="147"/>
    </row>
    <row r="69" spans="2:33" ht="15" customHeight="1">
      <c r="C69" s="1166" t="str">
        <f>IF(Indice_index!$Z$1=1,"Outros Ativos","Other Financial assets")</f>
        <v>Other Financial assets</v>
      </c>
      <c r="D69" s="1150">
        <v>0.69930099999999995</v>
      </c>
      <c r="E69" s="1150">
        <v>1.1183118699999999</v>
      </c>
      <c r="F69" s="1142"/>
      <c r="G69" s="1150">
        <v>6.4238782999999984</v>
      </c>
      <c r="H69" s="1150">
        <v>5.5985685799999985</v>
      </c>
      <c r="I69" s="1142"/>
      <c r="J69" s="1150">
        <v>7.1231792999999985</v>
      </c>
      <c r="K69" s="1150">
        <v>6.7168804499999979</v>
      </c>
      <c r="L69" s="1142"/>
      <c r="M69" s="1162"/>
      <c r="N69" s="385"/>
      <c r="Q69" s="144"/>
      <c r="R69" s="145"/>
      <c r="S69" s="146"/>
      <c r="T69" s="146"/>
      <c r="U69" s="146"/>
      <c r="V69" s="138"/>
      <c r="W69" s="138"/>
      <c r="X69" s="147"/>
      <c r="Y69" s="147"/>
      <c r="Z69" s="147"/>
      <c r="AA69" s="147"/>
      <c r="AB69" s="147"/>
      <c r="AC69" s="147"/>
      <c r="AD69" s="147"/>
      <c r="AE69" s="147"/>
      <c r="AF69" s="147"/>
      <c r="AG69" s="147"/>
    </row>
    <row r="70" spans="2:33" ht="15" customHeight="1">
      <c r="C70" s="1149" t="str">
        <f>IF(Indice_index!$Z$1=1,"Passivos financeiros líquidos de amortizações","Financial liabilities net of amortizations")</f>
        <v>Financial liabilities net of amortizations</v>
      </c>
      <c r="D70" s="1141">
        <v>202.99553408000003</v>
      </c>
      <c r="E70" s="1141">
        <v>213.38162111</v>
      </c>
      <c r="F70" s="1142"/>
      <c r="G70" s="1141">
        <v>61.036682819999982</v>
      </c>
      <c r="H70" s="1141">
        <v>31.925898039999993</v>
      </c>
      <c r="I70" s="1142"/>
      <c r="J70" s="1141">
        <v>264.03221689999998</v>
      </c>
      <c r="K70" s="1141">
        <v>245.30751914999999</v>
      </c>
      <c r="L70" s="1142"/>
      <c r="M70" s="1162"/>
      <c r="N70" s="385"/>
      <c r="Q70" s="144"/>
      <c r="R70" s="145"/>
      <c r="S70" s="146"/>
      <c r="T70" s="146"/>
      <c r="U70" s="146"/>
      <c r="V70" s="138"/>
      <c r="W70" s="138"/>
      <c r="X70" s="147"/>
      <c r="Y70" s="147"/>
      <c r="Z70" s="147"/>
      <c r="AA70" s="147"/>
      <c r="AB70" s="147"/>
      <c r="AC70" s="147"/>
      <c r="AD70" s="147"/>
      <c r="AE70" s="147"/>
      <c r="AF70" s="147"/>
      <c r="AG70" s="147"/>
    </row>
    <row r="71" spans="2:33" ht="15" customHeight="1">
      <c r="C71" s="1167" t="str">
        <f>IF(Indice_index!$Z$1=1,"Poupança (+) / Utilização (-) de saldo da gerência anterior","Saving (+) / Usage (-) of balance from previous management")</f>
        <v>Saving (+) / Usage (-) of balance from previous management</v>
      </c>
      <c r="D71" s="1168">
        <v>49.986462780004501</v>
      </c>
      <c r="E71" s="1168">
        <v>9.9860414966653934</v>
      </c>
      <c r="F71" s="1168"/>
      <c r="G71" s="1168">
        <v>-171.32824084000015</v>
      </c>
      <c r="H71" s="1168">
        <v>-70.566153320000183</v>
      </c>
      <c r="I71" s="1168"/>
      <c r="J71" s="1168">
        <v>-121.34177805999565</v>
      </c>
      <c r="K71" s="1168">
        <v>-60.580111823334789</v>
      </c>
      <c r="L71" s="1168"/>
      <c r="M71" s="1169"/>
      <c r="N71" s="385"/>
      <c r="Q71" s="144"/>
      <c r="R71" s="145"/>
      <c r="S71" s="146"/>
      <c r="T71" s="146"/>
      <c r="U71" s="146"/>
      <c r="V71" s="138"/>
      <c r="W71" s="138"/>
      <c r="X71" s="147"/>
      <c r="Y71" s="147"/>
      <c r="Z71" s="147"/>
      <c r="AA71" s="147"/>
      <c r="AB71" s="147"/>
      <c r="AC71" s="147"/>
      <c r="AD71" s="147"/>
      <c r="AE71" s="147"/>
      <c r="AF71" s="147"/>
      <c r="AG71" s="147"/>
    </row>
    <row r="72" spans="2:33" ht="4.5" customHeight="1">
      <c r="C72" s="1170"/>
      <c r="E72" s="166"/>
      <c r="F72" s="166"/>
      <c r="G72" s="166"/>
      <c r="H72" s="166"/>
      <c r="I72" s="166"/>
      <c r="J72" s="166"/>
      <c r="K72" s="416"/>
      <c r="L72" s="416"/>
      <c r="M72" s="96"/>
      <c r="N72" s="383"/>
      <c r="Q72" s="144"/>
      <c r="R72" s="145"/>
      <c r="S72" s="146"/>
      <c r="T72" s="146"/>
      <c r="U72" s="146"/>
      <c r="V72" s="138"/>
      <c r="W72" s="138"/>
      <c r="X72" s="147"/>
      <c r="Y72" s="147"/>
      <c r="Z72" s="147"/>
      <c r="AA72" s="147"/>
      <c r="AB72" s="147"/>
      <c r="AC72" s="147"/>
      <c r="AD72" s="147"/>
      <c r="AE72" s="147"/>
      <c r="AF72" s="147"/>
      <c r="AG72" s="147"/>
    </row>
    <row r="73" spans="2:33">
      <c r="C73" s="1171" t="s">
        <v>62</v>
      </c>
      <c r="D73" s="166"/>
      <c r="E73" s="166"/>
      <c r="F73" s="166"/>
      <c r="G73" s="166"/>
      <c r="I73" s="166"/>
      <c r="J73" s="166"/>
      <c r="K73" s="416"/>
      <c r="L73" s="416"/>
      <c r="M73" s="96"/>
      <c r="N73" s="383"/>
      <c r="Q73" s="144"/>
      <c r="R73" s="145"/>
      <c r="S73" s="146"/>
      <c r="T73" s="146"/>
      <c r="U73" s="146"/>
      <c r="V73" s="138"/>
      <c r="W73" s="138"/>
      <c r="X73" s="147"/>
      <c r="Y73" s="147"/>
      <c r="Z73" s="147"/>
      <c r="AA73" s="147"/>
      <c r="AB73" s="147"/>
      <c r="AC73" s="147"/>
      <c r="AD73" s="147"/>
      <c r="AE73" s="147"/>
      <c r="AF73" s="147"/>
      <c r="AG73" s="147"/>
    </row>
    <row r="74" spans="2:33" ht="15.75" customHeight="1">
      <c r="B74" s="96"/>
      <c r="C74" s="1152" t="str">
        <f>IF(Indice_index!$Z$1=1,"Fonte: DROT/RAM; DROT/RAA.","Source: DROT/RAM; DROT/RAA.")</f>
        <v>Source: DROT/RAM; DROT/RAA.</v>
      </c>
      <c r="D74" s="96"/>
      <c r="E74" s="1172"/>
      <c r="F74" s="96"/>
      <c r="G74" s="96"/>
      <c r="H74" s="96"/>
      <c r="I74" s="96"/>
      <c r="J74" s="96"/>
      <c r="K74" s="96"/>
      <c r="L74" s="96"/>
      <c r="M74" s="96"/>
      <c r="N74" s="383"/>
      <c r="Q74" s="144"/>
      <c r="R74" s="145"/>
      <c r="S74" s="146"/>
      <c r="T74" s="146"/>
      <c r="U74" s="146"/>
      <c r="X74" s="147"/>
      <c r="Y74" s="147"/>
      <c r="Z74" s="147"/>
      <c r="AA74" s="147"/>
      <c r="AB74" s="147"/>
      <c r="AC74" s="147"/>
      <c r="AD74" s="147"/>
      <c r="AE74" s="147"/>
      <c r="AF74" s="147"/>
      <c r="AG74" s="147"/>
    </row>
    <row r="75" spans="2:33">
      <c r="B75" s="96"/>
      <c r="D75" s="96"/>
      <c r="E75" s="96"/>
      <c r="F75" s="96"/>
      <c r="G75" s="96"/>
      <c r="H75" s="96"/>
      <c r="I75" s="96"/>
      <c r="J75" s="96"/>
      <c r="K75" s="96"/>
      <c r="L75" s="96"/>
      <c r="M75" s="96"/>
      <c r="N75" s="383"/>
      <c r="Q75" s="144"/>
      <c r="R75" s="145"/>
      <c r="S75" s="146"/>
      <c r="T75" s="146"/>
      <c r="U75" s="146"/>
      <c r="X75" s="147"/>
      <c r="Y75" s="147"/>
      <c r="Z75" s="147"/>
      <c r="AA75" s="147"/>
      <c r="AB75" s="147"/>
      <c r="AC75" s="147"/>
      <c r="AD75" s="147"/>
      <c r="AE75" s="147"/>
      <c r="AF75" s="147"/>
      <c r="AG75" s="147"/>
    </row>
    <row r="76" spans="2:33">
      <c r="B76" s="96"/>
      <c r="C76" s="96"/>
      <c r="D76" s="96"/>
      <c r="E76" s="96"/>
      <c r="F76" s="96"/>
      <c r="G76" s="96"/>
      <c r="H76" s="96"/>
      <c r="I76" s="96"/>
      <c r="J76" s="96"/>
      <c r="K76" s="96"/>
      <c r="L76" s="96"/>
      <c r="M76" s="96"/>
      <c r="X76" s="147"/>
      <c r="Y76" s="147"/>
      <c r="Z76" s="147"/>
      <c r="AA76" s="147"/>
      <c r="AB76" s="147"/>
      <c r="AC76" s="147"/>
      <c r="AD76" s="147"/>
      <c r="AE76" s="147"/>
      <c r="AF76" s="147"/>
      <c r="AG76" s="147"/>
    </row>
    <row r="77" spans="2:33">
      <c r="B77" s="96"/>
      <c r="C77" s="96"/>
      <c r="D77" s="96"/>
      <c r="E77" s="96"/>
      <c r="F77" s="96"/>
      <c r="G77" s="96"/>
      <c r="H77" s="96"/>
      <c r="I77" s="96"/>
      <c r="J77" s="96"/>
      <c r="K77" s="96"/>
      <c r="L77" s="96"/>
      <c r="M77" s="96"/>
      <c r="X77" s="147"/>
      <c r="Y77" s="147"/>
      <c r="Z77" s="147"/>
      <c r="AA77" s="147"/>
      <c r="AB77" s="147"/>
      <c r="AC77" s="147"/>
      <c r="AD77" s="147"/>
      <c r="AE77" s="147"/>
      <c r="AF77" s="147"/>
      <c r="AG77" s="147"/>
    </row>
    <row r="78" spans="2:33">
      <c r="B78" s="96"/>
      <c r="C78" s="96"/>
      <c r="D78" s="96"/>
      <c r="E78" s="96"/>
      <c r="F78" s="96"/>
      <c r="G78" s="96"/>
      <c r="H78" s="96"/>
      <c r="I78" s="96"/>
      <c r="J78" s="96"/>
      <c r="K78" s="96"/>
      <c r="L78" s="96"/>
      <c r="M78" s="96"/>
      <c r="X78" s="147"/>
      <c r="Y78" s="147"/>
      <c r="Z78" s="147"/>
      <c r="AA78" s="147"/>
      <c r="AB78" s="147"/>
      <c r="AC78" s="147"/>
      <c r="AD78" s="147"/>
      <c r="AE78" s="147"/>
      <c r="AF78" s="147"/>
      <c r="AG78" s="147"/>
    </row>
    <row r="79" spans="2:33">
      <c r="C79" s="96"/>
      <c r="D79" s="166"/>
      <c r="E79" s="166"/>
      <c r="F79" s="166"/>
      <c r="G79" s="166"/>
      <c r="H79" s="166"/>
      <c r="I79" s="166"/>
      <c r="J79" s="166"/>
      <c r="K79" s="166"/>
      <c r="L79" s="166"/>
      <c r="M79" s="416"/>
      <c r="X79" s="147"/>
      <c r="Y79" s="147"/>
      <c r="Z79" s="147"/>
      <c r="AA79" s="147"/>
      <c r="AB79" s="147"/>
      <c r="AC79" s="147"/>
      <c r="AD79" s="147"/>
      <c r="AE79" s="147"/>
      <c r="AF79" s="147"/>
      <c r="AG79" s="147"/>
    </row>
    <row r="80" spans="2:33">
      <c r="C80" s="166"/>
      <c r="D80" s="166"/>
      <c r="E80" s="166"/>
      <c r="F80" s="166"/>
      <c r="G80" s="166"/>
      <c r="H80" s="166"/>
      <c r="I80" s="166"/>
      <c r="J80" s="166"/>
      <c r="K80" s="166"/>
      <c r="L80" s="166"/>
      <c r="M80" s="416"/>
      <c r="X80" s="147"/>
      <c r="Y80" s="147"/>
      <c r="Z80" s="147"/>
      <c r="AA80" s="147"/>
      <c r="AB80" s="147"/>
      <c r="AC80" s="147"/>
      <c r="AD80" s="147"/>
      <c r="AE80" s="147"/>
      <c r="AF80" s="147"/>
      <c r="AG80" s="147"/>
    </row>
    <row r="81" spans="3:33">
      <c r="C81" s="166"/>
      <c r="D81" s="166"/>
      <c r="E81" s="166"/>
      <c r="F81" s="166"/>
      <c r="G81" s="166"/>
      <c r="H81" s="166"/>
      <c r="I81" s="166"/>
      <c r="J81" s="166"/>
      <c r="K81" s="166"/>
      <c r="L81" s="166"/>
      <c r="M81" s="416"/>
      <c r="X81" s="147"/>
      <c r="Y81" s="147"/>
      <c r="Z81" s="147"/>
      <c r="AA81" s="147"/>
      <c r="AB81" s="147"/>
      <c r="AC81" s="147"/>
      <c r="AD81" s="147"/>
      <c r="AE81" s="147"/>
      <c r="AF81" s="147"/>
      <c r="AG81" s="147"/>
    </row>
    <row r="82" spans="3:33">
      <c r="C82" s="166"/>
      <c r="D82" s="166"/>
      <c r="E82" s="166"/>
      <c r="F82" s="166"/>
      <c r="G82" s="166"/>
      <c r="H82" s="166"/>
      <c r="I82" s="166"/>
      <c r="J82" s="166"/>
      <c r="K82" s="166"/>
      <c r="L82" s="166"/>
      <c r="M82" s="416"/>
      <c r="X82" s="147"/>
      <c r="Y82" s="147"/>
      <c r="Z82" s="147"/>
      <c r="AA82" s="147"/>
      <c r="AB82" s="147"/>
      <c r="AC82" s="147"/>
      <c r="AD82" s="147"/>
      <c r="AE82" s="147"/>
      <c r="AF82" s="147"/>
      <c r="AG82" s="147"/>
    </row>
    <row r="83" spans="3:33">
      <c r="C83" s="166"/>
      <c r="D83" s="166"/>
      <c r="E83" s="166"/>
      <c r="F83" s="166"/>
      <c r="G83" s="166"/>
      <c r="H83" s="166"/>
      <c r="I83" s="166"/>
      <c r="J83" s="166"/>
      <c r="K83" s="166"/>
      <c r="L83" s="166"/>
      <c r="M83" s="416"/>
      <c r="X83" s="147"/>
      <c r="Y83" s="147"/>
      <c r="Z83" s="147"/>
      <c r="AA83" s="147"/>
      <c r="AB83" s="147"/>
      <c r="AC83" s="147"/>
      <c r="AD83" s="147"/>
      <c r="AE83" s="147"/>
      <c r="AF83" s="147"/>
      <c r="AG83" s="147"/>
    </row>
    <row r="84" spans="3:33">
      <c r="C84" s="166"/>
      <c r="D84" s="166"/>
      <c r="E84" s="166"/>
      <c r="F84" s="166"/>
      <c r="G84" s="166"/>
      <c r="H84" s="166"/>
      <c r="I84" s="166"/>
      <c r="J84" s="166"/>
      <c r="K84" s="166"/>
      <c r="L84" s="166"/>
      <c r="M84" s="416"/>
      <c r="X84" s="147"/>
      <c r="Y84" s="147"/>
      <c r="Z84" s="147"/>
      <c r="AA84" s="147"/>
      <c r="AB84" s="147"/>
      <c r="AC84" s="147"/>
      <c r="AD84" s="147"/>
      <c r="AE84" s="147"/>
      <c r="AF84" s="147"/>
      <c r="AG84" s="147"/>
    </row>
    <row r="85" spans="3:33">
      <c r="C85" s="166"/>
      <c r="D85" s="166"/>
      <c r="E85" s="166"/>
      <c r="F85" s="166"/>
      <c r="G85" s="166"/>
      <c r="H85" s="166"/>
      <c r="I85" s="166"/>
      <c r="J85" s="166"/>
      <c r="K85" s="166"/>
      <c r="L85" s="166"/>
      <c r="M85" s="416"/>
      <c r="X85" s="147"/>
      <c r="Y85" s="147"/>
      <c r="Z85" s="147"/>
      <c r="AA85" s="147"/>
      <c r="AB85" s="147"/>
      <c r="AC85" s="147"/>
      <c r="AD85" s="147"/>
      <c r="AE85" s="147"/>
      <c r="AF85" s="147"/>
      <c r="AG85" s="147"/>
    </row>
    <row r="86" spans="3:33">
      <c r="C86" s="166"/>
      <c r="D86" s="166"/>
      <c r="E86" s="166"/>
      <c r="F86" s="166"/>
      <c r="G86" s="166"/>
      <c r="H86" s="166"/>
      <c r="I86" s="166"/>
      <c r="J86" s="166"/>
      <c r="K86" s="166"/>
      <c r="L86" s="166"/>
      <c r="M86" s="416"/>
      <c r="X86" s="147"/>
      <c r="Y86" s="147"/>
      <c r="Z86" s="147"/>
      <c r="AA86" s="147"/>
      <c r="AB86" s="147"/>
      <c r="AC86" s="147"/>
      <c r="AD86" s="147"/>
      <c r="AE86" s="147"/>
      <c r="AF86" s="147"/>
      <c r="AG86" s="147"/>
    </row>
    <row r="87" spans="3:33">
      <c r="C87" s="166"/>
      <c r="D87" s="166"/>
      <c r="E87" s="166"/>
      <c r="F87" s="166"/>
      <c r="G87" s="166"/>
      <c r="H87" s="166"/>
      <c r="I87" s="166"/>
      <c r="J87" s="166"/>
      <c r="K87" s="166"/>
      <c r="L87" s="166"/>
      <c r="M87" s="416"/>
      <c r="X87" s="147"/>
      <c r="Y87" s="147"/>
      <c r="Z87" s="147"/>
      <c r="AA87" s="147"/>
      <c r="AB87" s="147"/>
      <c r="AC87" s="147"/>
      <c r="AD87" s="147"/>
      <c r="AE87" s="147"/>
      <c r="AF87" s="147"/>
      <c r="AG87" s="147"/>
    </row>
    <row r="88" spans="3:33">
      <c r="C88" s="166"/>
      <c r="D88" s="166"/>
      <c r="E88" s="166"/>
      <c r="F88" s="166"/>
      <c r="G88" s="166"/>
      <c r="H88" s="166"/>
      <c r="I88" s="166"/>
      <c r="J88" s="166"/>
      <c r="K88" s="166"/>
      <c r="L88" s="166"/>
      <c r="M88" s="416"/>
      <c r="X88" s="147"/>
      <c r="Y88" s="147"/>
      <c r="Z88" s="147"/>
      <c r="AA88" s="147"/>
      <c r="AB88" s="147"/>
      <c r="AC88" s="147"/>
      <c r="AD88" s="147"/>
      <c r="AE88" s="147"/>
      <c r="AF88" s="147"/>
      <c r="AG88" s="147"/>
    </row>
    <row r="89" spans="3:33">
      <c r="C89" s="166"/>
      <c r="D89" s="166"/>
      <c r="E89" s="166"/>
      <c r="F89" s="166"/>
      <c r="G89" s="166"/>
      <c r="H89" s="166"/>
      <c r="I89" s="166"/>
      <c r="J89" s="166"/>
      <c r="K89" s="166"/>
      <c r="L89" s="166"/>
      <c r="M89" s="416"/>
      <c r="X89" s="147"/>
      <c r="Y89" s="147"/>
      <c r="Z89" s="147"/>
      <c r="AA89" s="147"/>
      <c r="AB89" s="147"/>
      <c r="AC89" s="147"/>
      <c r="AD89" s="147"/>
      <c r="AE89" s="147"/>
      <c r="AF89" s="147"/>
      <c r="AG89" s="147"/>
    </row>
    <row r="90" spans="3:33">
      <c r="C90" s="166"/>
      <c r="D90" s="166"/>
      <c r="E90" s="166"/>
      <c r="F90" s="166"/>
      <c r="G90" s="166"/>
      <c r="H90" s="166"/>
      <c r="I90" s="166"/>
      <c r="J90" s="166"/>
      <c r="K90" s="166"/>
      <c r="L90" s="166"/>
      <c r="M90" s="416"/>
      <c r="X90" s="147"/>
      <c r="Y90" s="147"/>
      <c r="Z90" s="147"/>
      <c r="AA90" s="147"/>
      <c r="AB90" s="147"/>
      <c r="AC90" s="147"/>
      <c r="AD90" s="147"/>
      <c r="AE90" s="147"/>
      <c r="AF90" s="147"/>
      <c r="AG90" s="147"/>
    </row>
    <row r="91" spans="3:33">
      <c r="C91" s="166"/>
      <c r="D91" s="166"/>
      <c r="E91" s="166"/>
      <c r="F91" s="166"/>
      <c r="G91" s="166"/>
      <c r="H91" s="166"/>
      <c r="I91" s="166"/>
      <c r="J91" s="166"/>
      <c r="K91" s="166"/>
      <c r="L91" s="166"/>
      <c r="M91" s="416"/>
      <c r="X91" s="147"/>
      <c r="Y91" s="147"/>
      <c r="Z91" s="147"/>
      <c r="AA91" s="147"/>
      <c r="AB91" s="147"/>
      <c r="AC91" s="147"/>
      <c r="AD91" s="147"/>
      <c r="AE91" s="147"/>
      <c r="AF91" s="147"/>
      <c r="AG91" s="147"/>
    </row>
    <row r="92" spans="3:33">
      <c r="C92" s="166"/>
      <c r="D92" s="166"/>
      <c r="E92" s="166"/>
      <c r="F92" s="166"/>
      <c r="G92" s="166"/>
      <c r="H92" s="166"/>
      <c r="I92" s="166"/>
      <c r="J92" s="166"/>
      <c r="K92" s="166"/>
      <c r="L92" s="166"/>
      <c r="M92" s="416"/>
      <c r="X92" s="147"/>
      <c r="Y92" s="147"/>
      <c r="Z92" s="147"/>
      <c r="AA92" s="147"/>
      <c r="AB92" s="147"/>
      <c r="AC92" s="147"/>
      <c r="AD92" s="147"/>
      <c r="AE92" s="147"/>
      <c r="AF92" s="147"/>
      <c r="AG92" s="147"/>
    </row>
    <row r="93" spans="3:33">
      <c r="C93" s="166"/>
      <c r="D93" s="166"/>
      <c r="E93" s="166"/>
      <c r="F93" s="166"/>
      <c r="G93" s="166"/>
      <c r="H93" s="166"/>
      <c r="I93" s="166"/>
      <c r="J93" s="166"/>
      <c r="K93" s="166"/>
      <c r="L93" s="166"/>
      <c r="M93" s="416"/>
      <c r="X93" s="147"/>
      <c r="Y93" s="147"/>
      <c r="Z93" s="147"/>
      <c r="AA93" s="147"/>
      <c r="AB93" s="147"/>
      <c r="AC93" s="147"/>
      <c r="AD93" s="147"/>
      <c r="AE93" s="147"/>
      <c r="AF93" s="147"/>
      <c r="AG93" s="147"/>
    </row>
    <row r="94" spans="3:33">
      <c r="C94" s="166"/>
      <c r="D94" s="166"/>
      <c r="E94" s="166"/>
      <c r="F94" s="166"/>
      <c r="G94" s="166"/>
      <c r="H94" s="166"/>
      <c r="I94" s="166"/>
      <c r="J94" s="166"/>
      <c r="K94" s="166"/>
      <c r="L94" s="166"/>
      <c r="M94" s="416"/>
      <c r="X94" s="147"/>
      <c r="Y94" s="147"/>
      <c r="Z94" s="147"/>
      <c r="AA94" s="147"/>
      <c r="AB94" s="147"/>
      <c r="AC94" s="147"/>
      <c r="AD94" s="147"/>
      <c r="AE94" s="147"/>
      <c r="AF94" s="147"/>
      <c r="AG94" s="147"/>
    </row>
    <row r="95" spans="3:33">
      <c r="C95" s="166"/>
      <c r="D95" s="166"/>
      <c r="E95" s="166"/>
      <c r="F95" s="166"/>
      <c r="G95" s="166"/>
      <c r="H95" s="166"/>
      <c r="I95" s="166"/>
      <c r="J95" s="166"/>
      <c r="K95" s="166"/>
      <c r="L95" s="166"/>
      <c r="M95" s="416"/>
      <c r="X95" s="147"/>
      <c r="Y95" s="147"/>
      <c r="Z95" s="147"/>
      <c r="AA95" s="147"/>
      <c r="AB95" s="147"/>
      <c r="AC95" s="147"/>
      <c r="AD95" s="147"/>
      <c r="AE95" s="147"/>
      <c r="AF95" s="147"/>
      <c r="AG95" s="147"/>
    </row>
    <row r="96" spans="3:33">
      <c r="C96" s="166"/>
      <c r="D96" s="166"/>
      <c r="E96" s="166"/>
      <c r="F96" s="166"/>
      <c r="G96" s="166"/>
      <c r="H96" s="166"/>
      <c r="I96" s="166"/>
      <c r="J96" s="166"/>
      <c r="K96" s="166"/>
      <c r="L96" s="166"/>
      <c r="M96" s="416"/>
      <c r="X96" s="147"/>
      <c r="Y96" s="147"/>
      <c r="Z96" s="147"/>
      <c r="AA96" s="147"/>
      <c r="AB96" s="147"/>
      <c r="AC96" s="147"/>
      <c r="AD96" s="147"/>
      <c r="AE96" s="147"/>
      <c r="AF96" s="147"/>
      <c r="AG96" s="147"/>
    </row>
    <row r="97" spans="3:33">
      <c r="C97" s="166"/>
      <c r="D97" s="166"/>
      <c r="E97" s="166"/>
      <c r="F97" s="166"/>
      <c r="G97" s="166"/>
      <c r="H97" s="166"/>
      <c r="I97" s="166"/>
      <c r="J97" s="166"/>
      <c r="K97" s="166"/>
      <c r="L97" s="166"/>
      <c r="M97" s="416"/>
      <c r="X97" s="147"/>
      <c r="Y97" s="147"/>
      <c r="Z97" s="147"/>
      <c r="AA97" s="147"/>
      <c r="AB97" s="147"/>
      <c r="AC97" s="147"/>
      <c r="AD97" s="147"/>
      <c r="AE97" s="147"/>
      <c r="AF97" s="147"/>
      <c r="AG97" s="147"/>
    </row>
    <row r="98" spans="3:33">
      <c r="C98" s="166"/>
      <c r="D98" s="166"/>
      <c r="E98" s="166"/>
      <c r="F98" s="166"/>
      <c r="G98" s="166"/>
      <c r="H98" s="166"/>
      <c r="I98" s="166"/>
      <c r="J98" s="166"/>
      <c r="K98" s="166"/>
      <c r="L98" s="166"/>
      <c r="M98" s="416"/>
    </row>
    <row r="99" spans="3:33">
      <c r="C99" s="166"/>
      <c r="D99" s="166"/>
      <c r="E99" s="166"/>
      <c r="F99" s="166"/>
      <c r="G99" s="166"/>
      <c r="H99" s="166"/>
      <c r="I99" s="166"/>
      <c r="J99" s="166"/>
      <c r="K99" s="166"/>
      <c r="L99" s="166"/>
      <c r="M99" s="416"/>
    </row>
    <row r="100" spans="3:33">
      <c r="C100" s="166"/>
      <c r="D100" s="166"/>
      <c r="E100" s="166"/>
      <c r="F100" s="166"/>
      <c r="G100" s="166"/>
      <c r="H100" s="166"/>
      <c r="I100" s="367"/>
      <c r="J100" s="367"/>
      <c r="K100" s="367"/>
      <c r="L100" s="367"/>
      <c r="M100" s="368"/>
    </row>
    <row r="101" spans="3:33">
      <c r="C101" s="166"/>
      <c r="D101" s="166"/>
      <c r="E101" s="166"/>
      <c r="F101" s="166"/>
      <c r="G101" s="166"/>
      <c r="H101" s="166"/>
      <c r="I101" s="367"/>
      <c r="J101" s="367"/>
      <c r="K101" s="367"/>
      <c r="L101" s="367"/>
      <c r="M101" s="368"/>
    </row>
    <row r="102" spans="3:33">
      <c r="C102" s="166"/>
      <c r="D102" s="166"/>
      <c r="E102" s="166"/>
      <c r="F102" s="166"/>
      <c r="G102" s="166"/>
      <c r="H102" s="166"/>
      <c r="I102" s="367"/>
      <c r="J102" s="367"/>
      <c r="K102" s="367"/>
      <c r="L102" s="367"/>
      <c r="M102" s="368"/>
    </row>
    <row r="103" spans="3:33">
      <c r="C103" s="166"/>
      <c r="D103" s="166"/>
      <c r="E103" s="166"/>
      <c r="F103" s="166"/>
      <c r="G103" s="166"/>
      <c r="H103" s="166"/>
      <c r="I103" s="367"/>
      <c r="J103" s="367"/>
      <c r="K103" s="367"/>
      <c r="L103" s="367"/>
      <c r="M103" s="368"/>
    </row>
    <row r="104" spans="3:33">
      <c r="C104" s="166"/>
      <c r="D104" s="166"/>
      <c r="E104" s="166"/>
      <c r="F104" s="166"/>
      <c r="G104" s="166"/>
      <c r="H104" s="166"/>
      <c r="I104" s="367"/>
      <c r="J104" s="367"/>
      <c r="K104" s="367"/>
      <c r="L104" s="367"/>
      <c r="M104" s="368"/>
    </row>
    <row r="105" spans="3:33">
      <c r="C105" s="166"/>
      <c r="D105" s="166"/>
      <c r="E105" s="166"/>
      <c r="F105" s="166"/>
      <c r="G105" s="166"/>
      <c r="H105" s="166"/>
      <c r="I105" s="367"/>
      <c r="J105" s="367"/>
      <c r="K105" s="367"/>
      <c r="L105" s="367"/>
      <c r="M105" s="368"/>
    </row>
    <row r="106" spans="3:33">
      <c r="C106" s="166"/>
      <c r="D106" s="166"/>
      <c r="E106" s="166"/>
      <c r="F106" s="166"/>
      <c r="G106" s="166"/>
      <c r="H106" s="166"/>
      <c r="I106" s="367"/>
      <c r="J106" s="367"/>
      <c r="K106" s="367"/>
      <c r="L106" s="367"/>
      <c r="M106" s="368"/>
    </row>
    <row r="107" spans="3:33">
      <c r="C107" s="166"/>
      <c r="D107" s="166"/>
      <c r="E107" s="166"/>
      <c r="F107" s="166"/>
      <c r="G107" s="166"/>
      <c r="H107" s="166"/>
      <c r="I107" s="367"/>
      <c r="J107" s="367"/>
      <c r="K107" s="367"/>
      <c r="L107" s="367"/>
      <c r="M107" s="368"/>
    </row>
    <row r="108" spans="3:33">
      <c r="C108" s="166"/>
      <c r="D108" s="166"/>
      <c r="E108" s="166"/>
      <c r="F108" s="166"/>
      <c r="G108" s="166"/>
      <c r="H108" s="166"/>
      <c r="I108" s="367"/>
      <c r="J108" s="367"/>
      <c r="K108" s="367"/>
      <c r="L108" s="367"/>
      <c r="M108" s="368"/>
    </row>
    <row r="109" spans="3:33">
      <c r="C109" s="166"/>
      <c r="D109" s="166"/>
      <c r="E109" s="166"/>
      <c r="F109" s="166"/>
      <c r="G109" s="166"/>
      <c r="H109" s="166"/>
      <c r="I109" s="367"/>
      <c r="J109" s="367"/>
      <c r="K109" s="367"/>
      <c r="L109" s="367"/>
      <c r="M109" s="368"/>
    </row>
    <row r="110" spans="3:33">
      <c r="C110" s="166"/>
      <c r="D110" s="166"/>
      <c r="E110" s="166"/>
      <c r="F110" s="166"/>
      <c r="G110" s="166"/>
      <c r="H110" s="166"/>
      <c r="I110" s="367"/>
      <c r="J110" s="367"/>
      <c r="K110" s="367"/>
      <c r="L110" s="367"/>
      <c r="M110" s="368"/>
    </row>
    <row r="111" spans="3:33">
      <c r="C111" s="166"/>
      <c r="D111" s="166"/>
      <c r="E111" s="166"/>
      <c r="F111" s="166"/>
      <c r="G111" s="166"/>
      <c r="H111" s="166"/>
      <c r="I111" s="367"/>
      <c r="J111" s="367"/>
      <c r="K111" s="367"/>
      <c r="L111" s="367"/>
      <c r="M111" s="368"/>
    </row>
    <row r="112" spans="3:33">
      <c r="C112" s="166"/>
      <c r="D112" s="166"/>
      <c r="E112" s="166"/>
      <c r="F112" s="166"/>
      <c r="G112" s="166"/>
      <c r="H112" s="166"/>
      <c r="I112" s="367"/>
      <c r="J112" s="367"/>
      <c r="K112" s="367"/>
      <c r="L112" s="367"/>
      <c r="M112" s="368"/>
    </row>
    <row r="113" spans="3:13">
      <c r="C113" s="166"/>
      <c r="D113" s="166"/>
      <c r="E113" s="166"/>
      <c r="F113" s="166"/>
      <c r="G113" s="166"/>
      <c r="H113" s="166"/>
      <c r="I113" s="367"/>
      <c r="J113" s="367"/>
      <c r="K113" s="367"/>
      <c r="L113" s="367"/>
      <c r="M113" s="368"/>
    </row>
    <row r="114" spans="3:13">
      <c r="C114" s="166"/>
      <c r="D114" s="166"/>
      <c r="E114" s="166"/>
      <c r="F114" s="166"/>
      <c r="G114" s="166"/>
      <c r="H114" s="166"/>
      <c r="I114" s="367"/>
      <c r="J114" s="367"/>
      <c r="K114" s="367"/>
      <c r="L114" s="367"/>
      <c r="M114" s="368"/>
    </row>
    <row r="115" spans="3:13">
      <c r="C115" s="166"/>
      <c r="D115" s="166"/>
      <c r="E115" s="166"/>
      <c r="F115" s="166"/>
      <c r="G115" s="166"/>
      <c r="H115" s="166"/>
      <c r="I115" s="367"/>
      <c r="J115" s="367"/>
      <c r="K115" s="367"/>
      <c r="L115" s="367"/>
      <c r="M115" s="368"/>
    </row>
    <row r="116" spans="3:13">
      <c r="C116" s="166"/>
      <c r="F116" s="166"/>
      <c r="G116" s="166"/>
      <c r="I116" s="367"/>
      <c r="J116" s="367"/>
      <c r="K116" s="367"/>
      <c r="L116" s="367"/>
      <c r="M116" s="368"/>
    </row>
    <row r="117" spans="3:13">
      <c r="C117" s="166"/>
      <c r="D117" s="166"/>
      <c r="E117" s="166"/>
      <c r="F117" s="166"/>
      <c r="G117" s="166"/>
      <c r="H117" s="166"/>
      <c r="I117" s="367"/>
      <c r="J117" s="367"/>
      <c r="K117" s="367"/>
      <c r="L117" s="367"/>
      <c r="M117" s="368"/>
    </row>
    <row r="118" spans="3:13">
      <c r="C118" s="166"/>
      <c r="D118" s="166"/>
      <c r="E118" s="166"/>
      <c r="F118" s="166"/>
      <c r="G118" s="166"/>
      <c r="H118" s="166"/>
      <c r="I118" s="367"/>
      <c r="J118" s="367"/>
      <c r="K118" s="367"/>
      <c r="L118" s="367"/>
      <c r="M118" s="368"/>
    </row>
    <row r="119" spans="3:13">
      <c r="C119" s="166"/>
      <c r="D119" s="166"/>
      <c r="E119" s="166"/>
      <c r="F119" s="166"/>
      <c r="G119" s="166"/>
      <c r="H119" s="166"/>
      <c r="I119" s="367"/>
      <c r="J119" s="367"/>
      <c r="K119" s="367"/>
      <c r="L119" s="367"/>
      <c r="M119" s="368"/>
    </row>
    <row r="120" spans="3:13">
      <c r="C120" s="166"/>
      <c r="D120" s="166"/>
      <c r="E120" s="166"/>
      <c r="F120" s="166"/>
      <c r="G120" s="166"/>
      <c r="H120" s="166"/>
      <c r="I120" s="367"/>
      <c r="J120" s="367"/>
      <c r="K120" s="367"/>
      <c r="L120" s="367"/>
      <c r="M120" s="368"/>
    </row>
    <row r="121" spans="3:13">
      <c r="C121" s="166"/>
      <c r="D121" s="166"/>
      <c r="E121" s="166"/>
      <c r="F121" s="166"/>
      <c r="G121" s="166"/>
      <c r="H121" s="166"/>
      <c r="I121" s="367"/>
      <c r="J121" s="367"/>
      <c r="K121" s="367"/>
      <c r="L121" s="367"/>
      <c r="M121" s="368"/>
    </row>
    <row r="122" spans="3:13">
      <c r="C122" s="166"/>
      <c r="D122" s="166"/>
      <c r="E122" s="166"/>
      <c r="F122" s="166"/>
      <c r="G122" s="166"/>
      <c r="H122" s="166"/>
      <c r="I122" s="367"/>
      <c r="J122" s="367"/>
      <c r="K122" s="367"/>
      <c r="L122" s="367"/>
      <c r="M122" s="368"/>
    </row>
    <row r="123" spans="3:13">
      <c r="C123" s="166"/>
      <c r="D123" s="166"/>
      <c r="E123" s="166"/>
      <c r="F123" s="166"/>
      <c r="G123" s="166"/>
      <c r="H123" s="166"/>
      <c r="I123" s="367"/>
      <c r="J123" s="367"/>
      <c r="K123" s="367"/>
      <c r="L123" s="367"/>
      <c r="M123" s="368"/>
    </row>
    <row r="124" spans="3:13">
      <c r="C124" s="166"/>
      <c r="D124" s="166"/>
      <c r="E124" s="166"/>
      <c r="F124" s="166"/>
      <c r="G124" s="166"/>
      <c r="H124" s="166"/>
      <c r="I124" s="367"/>
      <c r="J124" s="367"/>
      <c r="K124" s="367"/>
      <c r="L124" s="367"/>
      <c r="M124" s="368"/>
    </row>
    <row r="125" spans="3:13">
      <c r="C125" s="166"/>
      <c r="D125" s="166"/>
      <c r="E125" s="166"/>
      <c r="F125" s="166"/>
      <c r="G125" s="166"/>
      <c r="H125" s="166"/>
      <c r="I125" s="367"/>
      <c r="J125" s="367"/>
      <c r="K125" s="367"/>
      <c r="L125" s="367"/>
      <c r="M125" s="368"/>
    </row>
    <row r="126" spans="3:13">
      <c r="C126" s="166"/>
      <c r="D126" s="166"/>
      <c r="E126" s="166"/>
      <c r="F126" s="166"/>
      <c r="G126" s="166"/>
      <c r="H126" s="166"/>
      <c r="I126" s="367"/>
      <c r="J126" s="367"/>
      <c r="K126" s="367"/>
      <c r="L126" s="367"/>
      <c r="M126" s="368"/>
    </row>
    <row r="127" spans="3:13">
      <c r="C127" s="166"/>
      <c r="D127" s="166"/>
      <c r="E127" s="166"/>
      <c r="F127" s="166"/>
      <c r="G127" s="166"/>
      <c r="H127" s="166"/>
      <c r="I127" s="367"/>
      <c r="J127" s="367"/>
      <c r="K127" s="367"/>
      <c r="L127" s="367"/>
      <c r="M127" s="368"/>
    </row>
    <row r="128" spans="3:13">
      <c r="C128" s="166"/>
      <c r="D128" s="166"/>
      <c r="E128" s="166"/>
      <c r="F128" s="166"/>
      <c r="G128" s="166"/>
      <c r="H128" s="166"/>
      <c r="I128" s="367"/>
      <c r="J128" s="367"/>
      <c r="K128" s="367"/>
      <c r="L128" s="367"/>
      <c r="M128" s="368"/>
    </row>
    <row r="129" spans="3:13">
      <c r="C129" s="166"/>
      <c r="D129" s="166"/>
      <c r="E129" s="166"/>
      <c r="F129" s="166"/>
      <c r="G129" s="166"/>
      <c r="H129" s="166"/>
      <c r="I129" s="367"/>
      <c r="J129" s="367"/>
      <c r="K129" s="367"/>
      <c r="L129" s="367"/>
      <c r="M129" s="368"/>
    </row>
    <row r="130" spans="3:13">
      <c r="C130" s="166"/>
      <c r="D130" s="166"/>
      <c r="E130" s="166"/>
      <c r="F130" s="166"/>
      <c r="G130" s="166"/>
      <c r="H130" s="166"/>
      <c r="I130" s="367"/>
      <c r="J130" s="367"/>
      <c r="K130" s="367"/>
      <c r="L130" s="367"/>
      <c r="M130" s="368"/>
    </row>
    <row r="131" spans="3:13">
      <c r="C131" s="166"/>
      <c r="D131" s="166"/>
      <c r="E131" s="166"/>
      <c r="F131" s="166"/>
      <c r="G131" s="166"/>
      <c r="H131" s="166"/>
      <c r="I131" s="367"/>
      <c r="J131" s="367"/>
      <c r="K131" s="367"/>
      <c r="L131" s="367"/>
      <c r="M131" s="368"/>
    </row>
    <row r="132" spans="3:13">
      <c r="C132" s="166"/>
      <c r="D132" s="166"/>
      <c r="E132" s="166"/>
      <c r="F132" s="166"/>
      <c r="G132" s="166"/>
      <c r="H132" s="166"/>
      <c r="I132" s="367"/>
      <c r="J132" s="367"/>
      <c r="K132" s="367"/>
      <c r="L132" s="367"/>
      <c r="M132" s="368"/>
    </row>
    <row r="133" spans="3:13">
      <c r="C133" s="166"/>
    </row>
  </sheetData>
  <mergeCells count="7">
    <mergeCell ref="Q7:R7"/>
    <mergeCell ref="W7:X7"/>
    <mergeCell ref="J7:M7"/>
    <mergeCell ref="D6:F6"/>
    <mergeCell ref="G6:I6"/>
    <mergeCell ref="D7:F7"/>
    <mergeCell ref="G7:I7"/>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19">
    <pageSetUpPr fitToPage="1"/>
  </sheetPr>
  <dimension ref="B1:V180"/>
  <sheetViews>
    <sheetView showGridLines="0" zoomScaleNormal="100" zoomScaleSheetLayoutView="100" workbookViewId="0">
      <selection activeCell="B2" sqref="B2"/>
    </sheetView>
  </sheetViews>
  <sheetFormatPr defaultColWidth="9.1796875" defaultRowHeight="12.5"/>
  <cols>
    <col min="1" max="1" width="2.54296875" style="96" customWidth="1"/>
    <col min="2" max="2" width="4.453125" style="96" customWidth="1"/>
    <col min="3" max="3" width="40.453125" style="96" customWidth="1"/>
    <col min="4" max="7" width="9.453125" style="96" customWidth="1"/>
    <col min="8" max="8" width="10.1796875" style="96" customWidth="1"/>
    <col min="9" max="9" width="9.54296875" style="96" bestFit="1" customWidth="1"/>
    <col min="10" max="10" width="11.54296875" style="96" bestFit="1" customWidth="1"/>
    <col min="11" max="12" width="8.54296875" style="96" customWidth="1"/>
    <col min="13" max="13" width="15.453125" style="96" customWidth="1"/>
    <col min="14" max="15" width="8.54296875" style="96" customWidth="1"/>
    <col min="16" max="18" width="9.1796875" style="96"/>
    <col min="19" max="21" width="9.1796875" style="50" customWidth="1"/>
    <col min="22" max="16384" width="9.1796875" style="96"/>
  </cols>
  <sheetData>
    <row r="1" spans="2:22" s="50" customFormat="1" ht="15" customHeight="1">
      <c r="B1" s="49"/>
      <c r="C1" s="49"/>
      <c r="F1" s="155"/>
      <c r="G1" s="155"/>
    </row>
    <row r="2" spans="2:22" ht="24" customHeight="1">
      <c r="B2" s="8"/>
      <c r="C2" s="51" t="str">
        <f>IF(Indice_index!$Z$1=1,"15 - Execução Orçamental da Administração Local","15 - Local Government Budget Execution")</f>
        <v>15 - Local Government Budget Execution</v>
      </c>
      <c r="D2" s="51"/>
      <c r="E2" s="51"/>
      <c r="F2" s="51"/>
      <c r="G2" s="51"/>
      <c r="S2" s="80"/>
      <c r="U2" s="80"/>
    </row>
    <row r="3" spans="2:22" ht="15" customHeight="1">
      <c r="S3" s="80"/>
    </row>
    <row r="4" spans="2:22" ht="15" customHeight="1">
      <c r="S4" s="80"/>
    </row>
    <row r="5" spans="2:22" s="250" customFormat="1" ht="15" customHeight="1">
      <c r="C5" s="1103" t="str">
        <f>+'5 - Conta AC + SS'!C5</f>
        <v>Period: January to November</v>
      </c>
      <c r="D5" s="1535"/>
      <c r="E5" s="1535"/>
      <c r="F5" s="1536"/>
      <c r="G5" s="1108" t="str">
        <f>IF(Indice_index!$Z$1=1,"€ Milhões","€ Millions")</f>
        <v>€ Millions</v>
      </c>
      <c r="S5" s="248"/>
      <c r="T5" s="248"/>
      <c r="U5" s="248"/>
    </row>
    <row r="6" spans="2:22" ht="27" customHeight="1">
      <c r="C6" s="1738"/>
      <c r="D6" s="1740" t="str">
        <f>IF(Indice_index!$Z$1=1,"Execução Acumulada","Accumulated Execution")</f>
        <v>Accumulated Execution</v>
      </c>
      <c r="E6" s="1740"/>
      <c r="F6" s="1741" t="str">
        <f>IF(Indice_index!$Z$1=1,"Variação Homóloga Acumulada","YOY Change Rate (%)")</f>
        <v>YOY Change Rate (%)</v>
      </c>
      <c r="G6" s="1742"/>
    </row>
    <row r="7" spans="2:22" ht="36" customHeight="1">
      <c r="C7" s="1739"/>
      <c r="D7" s="1537">
        <v>2021</v>
      </c>
      <c r="E7" s="1537">
        <v>2022</v>
      </c>
      <c r="F7" s="1446" t="str">
        <f>IF(Indice_index!$Z$1=1,"TVH (%)","YOY Change Rate (%)")</f>
        <v>YOY Change Rate (%)</v>
      </c>
      <c r="G7" s="1445" t="str">
        <f>IF(Indice_index!$Z$1=1,"Contributo    VH (p.p.)","YOY Change Contrib. (p.p.)")</f>
        <v>YOY Change Contrib. (p.p.)</v>
      </c>
      <c r="H7" s="246"/>
      <c r="I7" s="246"/>
      <c r="J7"/>
    </row>
    <row r="8" spans="2:22" s="250" customFormat="1" ht="15" customHeight="1">
      <c r="C8" s="1538" t="str">
        <f>IF(Indice_index!$Z$1=1,"Receita corrente","Current revenue")</f>
        <v>Current revenue</v>
      </c>
      <c r="D8" s="1539">
        <v>7182.8214804114832</v>
      </c>
      <c r="E8" s="1539">
        <v>8275.6142535144008</v>
      </c>
      <c r="F8" s="301">
        <f t="shared" ref="F8:F19" si="0">IFERROR(IF(ABS((E8-D8)/D8)*100&gt;500,"n.r.",((E8-D8)/D8)*100),0)</f>
        <v>15.213976514425564</v>
      </c>
      <c r="G8" s="159">
        <f>IFERROR((E8-D8)/D43*100,"-")</f>
        <v>13.343759112565836</v>
      </c>
      <c r="H8" s="441"/>
      <c r="I8" s="441"/>
      <c r="J8" s="442"/>
      <c r="K8" s="441"/>
      <c r="L8" s="301"/>
      <c r="M8" s="310"/>
      <c r="N8" s="310"/>
      <c r="O8" s="159"/>
      <c r="P8" s="159"/>
      <c r="Q8" s="311"/>
      <c r="R8" s="311"/>
      <c r="S8" s="312"/>
      <c r="T8" s="312"/>
      <c r="U8" s="312"/>
      <c r="V8" s="313"/>
    </row>
    <row r="9" spans="2:22" ht="15" customHeight="1">
      <c r="C9" s="1540" t="str">
        <f>IF(Indice_index!$Z$1=1,"Receita Fiscal","Tax income")</f>
        <v>Tax income</v>
      </c>
      <c r="D9" s="1541">
        <v>2795.414281501578</v>
      </c>
      <c r="E9" s="1541">
        <v>3290.5042011572032</v>
      </c>
      <c r="F9" s="1142">
        <f t="shared" si="0"/>
        <v>17.710788806218872</v>
      </c>
      <c r="G9" s="1542">
        <f>IFERROR((E9-D9)/D43*100,"-")</f>
        <v>6.0453919439692889</v>
      </c>
      <c r="H9" s="441"/>
      <c r="I9" s="441"/>
      <c r="J9" s="442"/>
      <c r="K9" s="215"/>
      <c r="L9" s="156"/>
      <c r="M9" s="157"/>
      <c r="N9" s="157"/>
      <c r="O9" s="158"/>
      <c r="P9" s="159"/>
      <c r="Q9" s="160"/>
      <c r="R9" s="160"/>
      <c r="S9" s="161"/>
      <c r="T9" s="161"/>
      <c r="U9" s="161"/>
      <c r="V9" s="111"/>
    </row>
    <row r="10" spans="2:22" ht="15" customHeight="1">
      <c r="C10" s="1543" t="str">
        <f>IF(Indice_index!$Z$1=1,"Impostos diretos","Direct taxes")</f>
        <v>Direct taxes</v>
      </c>
      <c r="D10" s="1541">
        <v>2763.5895201580306</v>
      </c>
      <c r="E10" s="1541">
        <v>3274.4615859817673</v>
      </c>
      <c r="F10" s="1142">
        <f t="shared" si="0"/>
        <v>18.48581571529926</v>
      </c>
      <c r="G10" s="1542">
        <f>IFERROR((E10-D10)/D43*100,"-")</f>
        <v>6.2381029152805443</v>
      </c>
      <c r="H10" s="441"/>
      <c r="I10" s="441"/>
      <c r="J10" s="442"/>
      <c r="K10" s="215"/>
      <c r="L10" s="156"/>
      <c r="M10" s="157"/>
      <c r="N10" s="157"/>
      <c r="O10" s="158"/>
      <c r="P10" s="159"/>
      <c r="Q10" s="160"/>
      <c r="R10" s="160"/>
      <c r="S10" s="161"/>
      <c r="T10" s="161"/>
      <c r="U10" s="161"/>
      <c r="V10" s="111"/>
    </row>
    <row r="11" spans="2:22" ht="15" customHeight="1">
      <c r="C11" s="1544" t="str">
        <f>IF(Indice_index!$Z$1=1,"Imposto Municipal sobre Transmissões","Municipal Property Transfer Tax")</f>
        <v>Municipal Property Transfer Tax</v>
      </c>
      <c r="D11" s="1541">
        <v>1197.4481938580798</v>
      </c>
      <c r="E11" s="1541">
        <v>1566.0387283819323</v>
      </c>
      <c r="F11" s="1142">
        <f t="shared" si="0"/>
        <v>30.781334542439293</v>
      </c>
      <c r="G11" s="1542">
        <f>IFERROR((E11-D11)/D43*100,"-")</f>
        <v>4.5007465504120461</v>
      </c>
      <c r="H11" s="441"/>
      <c r="I11" s="441"/>
      <c r="J11" s="442"/>
      <c r="K11" s="215"/>
      <c r="L11" s="156"/>
      <c r="M11" s="157"/>
      <c r="N11" s="157"/>
      <c r="O11" s="158"/>
      <c r="P11" s="159"/>
      <c r="Q11" s="160"/>
      <c r="R11" s="160"/>
      <c r="S11" s="161"/>
      <c r="T11" s="161"/>
      <c r="U11" s="161"/>
      <c r="V11" s="111"/>
    </row>
    <row r="12" spans="2:22" ht="15" customHeight="1">
      <c r="C12" s="1544" t="str">
        <f>IF(Indice_index!$Z$1=1,"Imposto Municipal sobre Imóveis","Municipal Real Estate Tax")</f>
        <v>Municipal Real Estate Tax</v>
      </c>
      <c r="D12" s="1541">
        <v>1037.4869605684767</v>
      </c>
      <c r="E12" s="1541">
        <v>1053.705779128614</v>
      </c>
      <c r="F12" s="1142">
        <f t="shared" si="0"/>
        <v>1.5632792677462184</v>
      </c>
      <c r="G12" s="1542">
        <f>IFERROR((E12-D12)/D43*100,"-")</f>
        <v>0.19804304465006101</v>
      </c>
      <c r="H12" s="441"/>
      <c r="I12" s="441"/>
      <c r="J12" s="442"/>
      <c r="K12" s="215"/>
      <c r="L12" s="156"/>
      <c r="M12" s="157"/>
      <c r="N12" s="157"/>
      <c r="O12" s="158"/>
      <c r="P12" s="159"/>
      <c r="Q12" s="160"/>
      <c r="R12" s="160"/>
      <c r="S12" s="161"/>
      <c r="T12" s="161"/>
      <c r="U12" s="161"/>
      <c r="V12" s="111"/>
    </row>
    <row r="13" spans="2:22" ht="15" customHeight="1">
      <c r="C13" s="1544" t="str">
        <f>IF(Indice_index!$Z$1=1,"Imposto Único de Circulação","Municipal Vehicle Tax")</f>
        <v>Municipal Vehicle Tax</v>
      </c>
      <c r="D13" s="1541">
        <v>264.92702319850679</v>
      </c>
      <c r="E13" s="1541">
        <v>285.26913350258684</v>
      </c>
      <c r="F13" s="1142">
        <f t="shared" si="0"/>
        <v>7.6783825441763041</v>
      </c>
      <c r="G13" s="1542">
        <f>IFERROR((E13-D13)/D43*100,"-")</f>
        <v>0.24839130201067294</v>
      </c>
      <c r="H13" s="441"/>
      <c r="I13" s="441"/>
      <c r="J13" s="442"/>
      <c r="K13" s="215"/>
      <c r="L13" s="156"/>
      <c r="M13" s="157"/>
      <c r="N13" s="157"/>
      <c r="O13" s="158"/>
      <c r="P13" s="159"/>
      <c r="Q13" s="160"/>
      <c r="R13" s="160"/>
      <c r="S13" s="161"/>
      <c r="T13" s="161"/>
      <c r="U13" s="161"/>
      <c r="V13" s="111"/>
    </row>
    <row r="14" spans="2:22" ht="15" customHeight="1">
      <c r="C14" s="1544" t="str">
        <f>IF(Indice_index!$Z$1=1,"Derrama","Overtax")</f>
        <v>Overtax</v>
      </c>
      <c r="D14" s="1541">
        <v>263.10779592296723</v>
      </c>
      <c r="E14" s="1541">
        <v>368.601873128634</v>
      </c>
      <c r="F14" s="1142">
        <f t="shared" si="0"/>
        <v>40.095382516355905</v>
      </c>
      <c r="G14" s="1542">
        <f>IFERROR((E14-D14)/D43*100,"-")</f>
        <v>1.2881559877430357</v>
      </c>
      <c r="H14" s="441"/>
      <c r="I14" s="441"/>
      <c r="J14" s="442"/>
      <c r="K14" s="215"/>
      <c r="L14" s="156"/>
      <c r="M14" s="157"/>
      <c r="N14" s="157"/>
      <c r="O14" s="158"/>
      <c r="P14" s="159"/>
      <c r="Q14" s="160"/>
      <c r="R14" s="160"/>
      <c r="S14" s="161"/>
      <c r="T14" s="161"/>
      <c r="U14" s="161"/>
      <c r="V14" s="111"/>
    </row>
    <row r="15" spans="2:22" ht="15" customHeight="1">
      <c r="C15" s="1544" t="str">
        <f>IF(Indice_index!$Z$1=1,"Outros ","Others")</f>
        <v>Others</v>
      </c>
      <c r="D15" s="1541">
        <v>0.61954661</v>
      </c>
      <c r="E15" s="1541">
        <v>0.84607184000000002</v>
      </c>
      <c r="F15" s="1142">
        <f t="shared" si="0"/>
        <v>36.563065045259471</v>
      </c>
      <c r="G15" s="1542">
        <f>IFERROR((E15-D15)/D43*100,"-")</f>
        <v>2.7660304647291983E-3</v>
      </c>
      <c r="H15" s="441"/>
      <c r="I15" s="441"/>
      <c r="J15" s="442"/>
      <c r="K15" s="215"/>
      <c r="L15" s="156"/>
      <c r="M15" s="157"/>
      <c r="N15" s="157"/>
      <c r="O15" s="158"/>
      <c r="P15" s="159"/>
      <c r="Q15" s="160"/>
      <c r="R15" s="160"/>
      <c r="S15" s="161"/>
      <c r="T15" s="161"/>
      <c r="U15" s="161"/>
      <c r="V15" s="111"/>
    </row>
    <row r="16" spans="2:22" ht="15" customHeight="1">
      <c r="C16" s="1543" t="str">
        <f>IF(Indice_index!$Z$1=1,"Impostos indiretos","Indirect taxes")</f>
        <v>Indirect taxes</v>
      </c>
      <c r="D16" s="1541">
        <v>31.824761343547159</v>
      </c>
      <c r="E16" s="1541">
        <v>16.042615175436122</v>
      </c>
      <c r="F16" s="1142">
        <f t="shared" si="0"/>
        <v>-49.590776181298999</v>
      </c>
      <c r="G16" s="1542">
        <f>IFERROR((E16-D16)/D43*100,"-")</f>
        <v>-0.19271097131124998</v>
      </c>
      <c r="H16" s="441"/>
      <c r="I16" s="441"/>
      <c r="J16" s="442"/>
      <c r="K16" s="215"/>
      <c r="L16" s="156"/>
      <c r="M16" s="157"/>
      <c r="N16" s="157"/>
      <c r="O16" s="158"/>
      <c r="P16" s="159"/>
      <c r="Q16" s="160"/>
      <c r="R16" s="160"/>
      <c r="S16" s="161"/>
      <c r="T16" s="161"/>
      <c r="U16" s="161"/>
      <c r="V16" s="111"/>
    </row>
    <row r="17" spans="3:22" ht="15" customHeight="1">
      <c r="C17" s="1540" t="str">
        <f>IF(Indice_index!$Z$1=1,"Taxas, Multas e Outras Penalidades","Taxes, fines and other penalties")</f>
        <v>Taxes, fines and other penalties</v>
      </c>
      <c r="D17" s="1541">
        <v>325.75778173294208</v>
      </c>
      <c r="E17" s="1541">
        <v>405.76944317509174</v>
      </c>
      <c r="F17" s="1142">
        <f t="shared" si="0"/>
        <v>24.561703796148649</v>
      </c>
      <c r="G17" s="1542">
        <f>IFERROR((E17-D17)/D43*100,"-")</f>
        <v>0.97699798420946071</v>
      </c>
      <c r="H17" s="441"/>
      <c r="I17" s="441"/>
      <c r="J17" s="442"/>
      <c r="K17" s="215"/>
      <c r="L17" s="156"/>
      <c r="M17" s="157"/>
      <c r="N17" s="157"/>
      <c r="O17" s="158"/>
      <c r="P17" s="159"/>
      <c r="Q17" s="160"/>
      <c r="R17" s="160"/>
      <c r="S17" s="161"/>
      <c r="T17" s="161"/>
      <c r="U17" s="161"/>
      <c r="V17" s="111"/>
    </row>
    <row r="18" spans="3:22" ht="15" customHeight="1">
      <c r="C18" s="1540" t="str">
        <f>IF(Indice_index!$Z$1=1,"Transferências Correntes","Current transfers")</f>
        <v>Current transfers</v>
      </c>
      <c r="D18" s="1541">
        <v>3038.4158813303275</v>
      </c>
      <c r="E18" s="1541">
        <v>3442.465223850937</v>
      </c>
      <c r="F18" s="1142">
        <f t="shared" si="0"/>
        <v>13.298026284134028</v>
      </c>
      <c r="G18" s="1542">
        <f>IFERROR((E18-D18)/D43*100,"-")</f>
        <v>4.9337232354462621</v>
      </c>
      <c r="H18" s="441"/>
      <c r="I18" s="441"/>
      <c r="J18" s="442"/>
      <c r="K18" s="215"/>
      <c r="L18" s="156"/>
      <c r="M18" s="157"/>
      <c r="N18" s="157"/>
      <c r="O18" s="158"/>
      <c r="P18" s="159"/>
      <c r="Q18" s="160"/>
      <c r="R18" s="160"/>
      <c r="S18" s="161"/>
      <c r="T18" s="161"/>
      <c r="U18" s="161"/>
      <c r="V18" s="111"/>
    </row>
    <row r="19" spans="3:22" ht="15" customHeight="1">
      <c r="C19" s="1143" t="str">
        <f>IF(Indice_index!$Z$1=1,"Administração Central","Central Administration")</f>
        <v>Central Administration</v>
      </c>
      <c r="D19" s="1541">
        <v>2954.4138123566199</v>
      </c>
      <c r="E19" s="1541">
        <v>3304.2578329145349</v>
      </c>
      <c r="F19" s="1142">
        <f t="shared" si="0"/>
        <v>11.841402145316202</v>
      </c>
      <c r="G19" s="1542">
        <f>IFERROR((E19-D19)/D43*100,"-")</f>
        <v>4.2718385884280554</v>
      </c>
      <c r="H19" s="441"/>
      <c r="I19" s="441"/>
      <c r="J19" s="442"/>
      <c r="K19" s="215"/>
      <c r="L19" s="156"/>
      <c r="M19" s="157"/>
      <c r="N19" s="157"/>
      <c r="O19" s="158"/>
      <c r="P19" s="159"/>
      <c r="Q19" s="160"/>
      <c r="R19" s="160"/>
      <c r="S19" s="161"/>
      <c r="T19" s="161"/>
      <c r="U19" s="161"/>
      <c r="V19" s="111"/>
    </row>
    <row r="20" spans="3:22" ht="15" customHeight="1">
      <c r="C20" s="1545" t="str">
        <f>IF(Indice_index!$Z$1=1,"das quais:","of which:")</f>
        <v>of which:</v>
      </c>
      <c r="D20" s="1541">
        <v>529.67389371661966</v>
      </c>
      <c r="E20" s="1541">
        <v>860.27980236453459</v>
      </c>
      <c r="F20" s="1142"/>
      <c r="G20" s="1542"/>
      <c r="H20" s="441"/>
      <c r="I20" s="441"/>
      <c r="J20" s="442"/>
      <c r="K20" s="215"/>
      <c r="L20" s="156"/>
      <c r="M20" s="157"/>
      <c r="N20" s="157"/>
      <c r="O20" s="158"/>
      <c r="P20" s="159"/>
      <c r="Q20" s="160"/>
      <c r="R20" s="160"/>
      <c r="S20" s="161"/>
      <c r="T20" s="161"/>
      <c r="U20" s="161"/>
      <c r="V20" s="111"/>
    </row>
    <row r="21" spans="3:22" ht="15" customHeight="1">
      <c r="C21" s="938" t="str">
        <f>IF(Indice_index!$Z$1=1,"Transferências do OE","State Budget transfers")</f>
        <v>State Budget transfers</v>
      </c>
      <c r="D21" s="1541">
        <v>2424.7399186400003</v>
      </c>
      <c r="E21" s="1541">
        <v>2443.9780305500003</v>
      </c>
      <c r="F21" s="1142">
        <f t="shared" ref="F21:F33" si="1">IFERROR(IF(ABS((E21-D21)/D21)*100&gt;500,"n.r.",((E21-D21)/D21)*100),0)</f>
        <v>0.79340929565717755</v>
      </c>
      <c r="G21" s="1542">
        <f>IFERROR((E21-D21)/D43*100,"-")</f>
        <v>0.23491071447948533</v>
      </c>
      <c r="H21" s="441"/>
      <c r="I21" s="441"/>
      <c r="J21" s="442"/>
      <c r="K21" s="215"/>
      <c r="L21" s="156"/>
      <c r="M21" s="157"/>
      <c r="N21" s="157"/>
      <c r="O21" s="158"/>
      <c r="P21" s="159"/>
      <c r="Q21" s="160"/>
      <c r="R21" s="160"/>
      <c r="S21" s="161"/>
      <c r="T21" s="161"/>
      <c r="U21" s="161"/>
      <c r="V21" s="111"/>
    </row>
    <row r="22" spans="3:22" ht="15" customHeight="1">
      <c r="C22" s="1546" t="str">
        <f>IF(Indice_index!$Z$1=1,"Fundo de Equilíbrio Financeiro","Financial Balance Fund")</f>
        <v>Financial Balance Fund</v>
      </c>
      <c r="D22" s="1541">
        <v>1783.4519580000001</v>
      </c>
      <c r="E22" s="1541">
        <v>1771.900134</v>
      </c>
      <c r="F22" s="1142">
        <f t="shared" si="1"/>
        <v>-0.64772274622718617</v>
      </c>
      <c r="G22" s="1542">
        <f>IFERROR((E22-D22)/D43*100,"-")</f>
        <v>-0.14105579809891483</v>
      </c>
      <c r="H22" s="441"/>
      <c r="I22" s="441"/>
      <c r="J22" s="442"/>
      <c r="K22" s="215"/>
      <c r="L22" s="156"/>
      <c r="M22" s="157"/>
      <c r="N22" s="157"/>
      <c r="O22" s="158"/>
      <c r="P22" s="159"/>
      <c r="Q22" s="160"/>
      <c r="R22" s="160"/>
      <c r="S22" s="161"/>
      <c r="T22" s="161"/>
      <c r="U22" s="161"/>
      <c r="V22" s="111"/>
    </row>
    <row r="23" spans="3:22" ht="15" customHeight="1">
      <c r="C23" s="1546" t="str">
        <f>IF(Indice_index!$Z$1=1,"Fundo Social Municipal","Municipal Social Fund")</f>
        <v>Municipal Social Fund</v>
      </c>
      <c r="D23" s="1541">
        <v>150.12172799999999</v>
      </c>
      <c r="E23" s="1541">
        <v>187.89822599999999</v>
      </c>
      <c r="F23" s="1142">
        <f t="shared" si="1"/>
        <v>25.163910982959116</v>
      </c>
      <c r="G23" s="1542">
        <f>IFERROR((E23-D23)/D43*100,"-")</f>
        <v>0.46127729047568627</v>
      </c>
      <c r="H23" s="441"/>
      <c r="I23" s="441"/>
      <c r="J23" s="442"/>
      <c r="K23" s="215"/>
      <c r="L23" s="156"/>
      <c r="M23" s="157"/>
      <c r="N23" s="157"/>
      <c r="O23" s="158"/>
      <c r="P23" s="159"/>
      <c r="Q23" s="160"/>
      <c r="R23" s="160"/>
      <c r="S23" s="161"/>
      <c r="T23" s="161"/>
      <c r="U23" s="161"/>
      <c r="V23" s="111"/>
    </row>
    <row r="24" spans="3:22" ht="15" customHeight="1">
      <c r="C24" s="1546" t="str">
        <f>IF(Indice_index!$Z$1=1,"Participação IRS","Personal income tax (IRS) participation")</f>
        <v>Personal income tax (IRS) participation</v>
      </c>
      <c r="D24" s="1541">
        <v>438.53144099999997</v>
      </c>
      <c r="E24" s="1541">
        <v>444.17159400000003</v>
      </c>
      <c r="F24" s="1142">
        <f t="shared" si="1"/>
        <v>1.2861456380729734</v>
      </c>
      <c r="G24" s="1542">
        <f>IFERROR((E24-D24)/D43*100,"-")</f>
        <v>6.8870187324095999E-2</v>
      </c>
      <c r="H24" s="441"/>
      <c r="I24" s="441"/>
      <c r="J24" s="442"/>
      <c r="K24" s="215"/>
      <c r="L24" s="156"/>
      <c r="M24" s="157"/>
      <c r="N24" s="157"/>
      <c r="O24" s="158"/>
      <c r="P24" s="159"/>
      <c r="Q24" s="160"/>
      <c r="R24" s="160"/>
      <c r="S24" s="161"/>
      <c r="T24" s="161"/>
      <c r="U24" s="162"/>
      <c r="V24" s="111"/>
    </row>
    <row r="25" spans="3:22" ht="15" customHeight="1">
      <c r="C25" s="1546" t="str">
        <f>IF(Indice_index!$Z$1=1,"Participação no IVA","Value-added tax (IVA) participation")</f>
        <v>Value-added tax (IVA) participation</v>
      </c>
      <c r="D25" s="1541">
        <v>52.634791640000003</v>
      </c>
      <c r="E25" s="1541">
        <v>40.008076549999998</v>
      </c>
      <c r="F25" s="1142">
        <f t="shared" ref="F25" si="2">IFERROR(IF(ABS((E25-D25)/D25)*100&gt;500,"n.r.",((E25-D25)/D25)*100),0)</f>
        <v>-23.989294336646118</v>
      </c>
      <c r="G25" s="1542">
        <f>IFERROR((E25-D25)/D43*100,"-")</f>
        <v>-0.15418096522138347</v>
      </c>
      <c r="H25" s="441"/>
      <c r="I25" s="441"/>
      <c r="J25" s="442"/>
      <c r="K25" s="215"/>
      <c r="L25" s="156"/>
      <c r="M25" s="157"/>
      <c r="N25" s="157"/>
      <c r="O25" s="158"/>
      <c r="P25" s="159"/>
      <c r="Q25" s="160"/>
      <c r="R25" s="160"/>
      <c r="S25" s="161"/>
      <c r="T25" s="161"/>
      <c r="U25" s="162"/>
      <c r="V25" s="111"/>
    </row>
    <row r="26" spans="3:22" ht="15" customHeight="1">
      <c r="C26" s="1543" t="str">
        <f>IF(Indice_index!$Z$1=1,"Outros subsectores das AP","Other General Government subsectors")</f>
        <v>Other General Government subsectors</v>
      </c>
      <c r="D26" s="1541">
        <v>5.9006583199969782</v>
      </c>
      <c r="E26" s="1541">
        <v>8.9467744499969797</v>
      </c>
      <c r="F26" s="1142">
        <f t="shared" si="1"/>
        <v>51.623326835870095</v>
      </c>
      <c r="G26" s="1542">
        <f>IFERROR((E26-D26)/D43*100,"-")</f>
        <v>3.7195194613346208E-2</v>
      </c>
      <c r="H26" s="441"/>
      <c r="I26" s="441"/>
      <c r="J26" s="442"/>
      <c r="K26" s="215"/>
      <c r="L26" s="156"/>
      <c r="M26" s="157"/>
      <c r="N26" s="157"/>
      <c r="O26" s="158"/>
      <c r="P26" s="159"/>
      <c r="Q26" s="160"/>
      <c r="R26" s="160"/>
      <c r="S26" s="161"/>
      <c r="T26" s="161"/>
      <c r="U26" s="161"/>
      <c r="V26" s="111"/>
    </row>
    <row r="27" spans="3:22" ht="15" customHeight="1">
      <c r="C27" s="1543" t="str">
        <f>IF(Indice_index!$Z$1=1,"União Europeia","European Union")</f>
        <v>European Union</v>
      </c>
      <c r="D27" s="1541">
        <v>62.660540353710346</v>
      </c>
      <c r="E27" s="1541">
        <v>110.19084399973161</v>
      </c>
      <c r="F27" s="1142">
        <f t="shared" si="1"/>
        <v>75.853644698432348</v>
      </c>
      <c r="G27" s="1542">
        <f>IFERROR((E27-D27)/D43*100,"-")</f>
        <v>0.58037803507681729</v>
      </c>
      <c r="H27" s="441"/>
      <c r="I27" s="441"/>
      <c r="J27" s="442"/>
      <c r="K27" s="215"/>
      <c r="L27" s="156"/>
      <c r="M27" s="157"/>
      <c r="N27" s="157"/>
      <c r="O27" s="158"/>
      <c r="P27" s="159"/>
      <c r="Q27" s="160"/>
      <c r="R27" s="160"/>
      <c r="S27" s="161"/>
      <c r="T27" s="161"/>
      <c r="U27" s="161"/>
      <c r="V27" s="111"/>
    </row>
    <row r="28" spans="3:22" ht="15" customHeight="1">
      <c r="C28" s="1543" t="str">
        <f>IF(Indice_index!$Z$1=1,"Outras transferências","Other transfers")</f>
        <v>Other transfers</v>
      </c>
      <c r="D28" s="1541">
        <v>15.440870299999998</v>
      </c>
      <c r="E28" s="1541">
        <v>19.069772486673806</v>
      </c>
      <c r="F28" s="1142">
        <f t="shared" si="1"/>
        <v>23.501927781064307</v>
      </c>
      <c r="G28" s="1542">
        <f>IFERROR((E28-D28)/D43*100,"-")</f>
        <v>4.4311417328048421E-2</v>
      </c>
      <c r="H28" s="441"/>
      <c r="I28" s="441"/>
      <c r="J28" s="442"/>
      <c r="K28" s="215"/>
      <c r="L28" s="156"/>
      <c r="M28" s="157"/>
      <c r="N28" s="157"/>
      <c r="O28" s="158"/>
      <c r="P28" s="159"/>
      <c r="Q28" s="160"/>
      <c r="R28" s="160"/>
      <c r="S28" s="161"/>
      <c r="T28" s="161"/>
      <c r="U28" s="161"/>
      <c r="V28" s="111"/>
    </row>
    <row r="29" spans="3:22" ht="15" customHeight="1">
      <c r="C29" s="1540" t="str">
        <f>IF(Indice_index!$Z$1=1,"Outras receitas correntes","Other current revenue")</f>
        <v>Other current revenue</v>
      </c>
      <c r="D29" s="1541">
        <v>1023.2335358466349</v>
      </c>
      <c r="E29" s="1541">
        <v>1136.8753853311694</v>
      </c>
      <c r="F29" s="1142">
        <f t="shared" si="1"/>
        <v>11.106149818526607</v>
      </c>
      <c r="G29" s="1542">
        <f>IFERROR((E29-D29)/D43*100,"-")</f>
        <v>1.3876459489408413</v>
      </c>
      <c r="H29" s="441"/>
      <c r="I29" s="441"/>
      <c r="J29" s="442"/>
      <c r="K29" s="215"/>
      <c r="L29" s="156"/>
      <c r="M29" s="157"/>
      <c r="N29" s="157"/>
      <c r="O29" s="158"/>
      <c r="P29" s="159"/>
      <c r="Q29" s="160"/>
      <c r="R29" s="160"/>
      <c r="S29" s="161"/>
      <c r="T29" s="161"/>
      <c r="U29" s="161"/>
      <c r="V29" s="111"/>
    </row>
    <row r="30" spans="3:22" s="250" customFormat="1" ht="15" customHeight="1">
      <c r="C30" s="1547" t="str">
        <f>IF(Indice_index!$Z$1=1,"Receita de capital","Capital revenue")</f>
        <v>Capital revenue</v>
      </c>
      <c r="D30" s="1539">
        <v>1006.720640997416</v>
      </c>
      <c r="E30" s="1539">
        <v>808.37291837757516</v>
      </c>
      <c r="F30" s="301">
        <f t="shared" si="1"/>
        <v>-19.70235977513348</v>
      </c>
      <c r="G30" s="159">
        <f>IFERROR((E30-D30)/D43*100,"-")</f>
        <v>-2.4219635198080871</v>
      </c>
      <c r="H30" s="441"/>
      <c r="I30" s="441"/>
      <c r="J30" s="442"/>
      <c r="K30" s="309"/>
      <c r="L30" s="301"/>
      <c r="M30" s="310"/>
      <c r="N30" s="310"/>
      <c r="O30" s="159"/>
      <c r="P30" s="159"/>
      <c r="Q30" s="311"/>
      <c r="R30" s="311"/>
      <c r="S30" s="312"/>
      <c r="T30" s="312"/>
      <c r="U30" s="312"/>
      <c r="V30" s="313"/>
    </row>
    <row r="31" spans="3:22" ht="15" customHeight="1">
      <c r="C31" s="1540" t="str">
        <f>IF(Indice_index!$Z$1=1,"Venda de Bens de Investimento","Sale of investment goods")</f>
        <v>Sale of investment goods</v>
      </c>
      <c r="D31" s="1541">
        <v>68.154220862179869</v>
      </c>
      <c r="E31" s="1541">
        <v>41.706514331938465</v>
      </c>
      <c r="F31" s="1142">
        <f t="shared" si="1"/>
        <v>-38.80567659004339</v>
      </c>
      <c r="G31" s="1542">
        <f>IFERROR((E31-D31)/D43*100,"-")</f>
        <v>-0.32294487455046433</v>
      </c>
      <c r="H31" s="441"/>
      <c r="I31" s="441"/>
      <c r="J31" s="442"/>
      <c r="K31" s="215"/>
      <c r="L31" s="156"/>
      <c r="M31" s="157"/>
      <c r="N31" s="157"/>
      <c r="O31" s="158"/>
      <c r="P31" s="159"/>
      <c r="Q31" s="160"/>
      <c r="R31" s="160"/>
      <c r="S31" s="161"/>
      <c r="T31" s="161"/>
      <c r="U31" s="161"/>
      <c r="V31" s="111"/>
    </row>
    <row r="32" spans="3:22" ht="15" customHeight="1">
      <c r="C32" s="1540" t="str">
        <f>IF(Indice_index!$Z$1=1,"Transferências de Capital","Capital transfers")</f>
        <v>Capital transfers</v>
      </c>
      <c r="D32" s="1541">
        <v>923.05062125026598</v>
      </c>
      <c r="E32" s="1541">
        <v>749.58853539755216</v>
      </c>
      <c r="F32" s="1142">
        <f t="shared" si="1"/>
        <v>-18.792261427413433</v>
      </c>
      <c r="G32" s="1542">
        <f>IFERROR((E32-D32)/D43*100,"-")</f>
        <v>-2.1180926025064757</v>
      </c>
      <c r="H32" s="441"/>
      <c r="I32" s="441"/>
      <c r="J32" s="442"/>
      <c r="K32" s="215"/>
      <c r="L32" s="156"/>
      <c r="M32" s="157"/>
      <c r="N32" s="157"/>
      <c r="O32" s="158"/>
      <c r="P32" s="159"/>
      <c r="Q32" s="160"/>
      <c r="R32" s="160"/>
      <c r="S32" s="161"/>
      <c r="T32" s="161"/>
      <c r="U32" s="161"/>
      <c r="V32" s="111"/>
    </row>
    <row r="33" spans="3:22" ht="15" customHeight="1">
      <c r="C33" s="1143" t="str">
        <f>IF(Indice_index!$Z$1=1,"Administração Central","Central Administration")</f>
        <v>Central Administration</v>
      </c>
      <c r="D33" s="1541">
        <v>384.48601502551253</v>
      </c>
      <c r="E33" s="1541">
        <v>312.98965405810367</v>
      </c>
      <c r="F33" s="1142">
        <f t="shared" si="1"/>
        <v>-18.595308586884425</v>
      </c>
      <c r="G33" s="1542">
        <f>IFERROR((E33-D33)/D43*100,"-")</f>
        <v>-0.87302024835435954</v>
      </c>
      <c r="H33" s="441"/>
      <c r="I33" s="441"/>
      <c r="J33" s="442"/>
      <c r="K33" s="215"/>
      <c r="L33" s="156"/>
      <c r="M33" s="157"/>
      <c r="N33" s="157"/>
      <c r="O33" s="158"/>
      <c r="P33" s="159"/>
      <c r="Q33" s="160"/>
      <c r="R33" s="160"/>
      <c r="S33" s="161"/>
      <c r="T33" s="161"/>
      <c r="U33" s="161"/>
      <c r="V33" s="111"/>
    </row>
    <row r="34" spans="3:22" ht="15" customHeight="1">
      <c r="C34" s="1545" t="str">
        <f>IF(Indice_index!$Z$1=1,"das quais:","of which:")</f>
        <v>of which:</v>
      </c>
      <c r="D34" s="1541">
        <v>28.900867605512531</v>
      </c>
      <c r="E34" s="1541">
        <v>58.854650348103661</v>
      </c>
      <c r="F34" s="1142"/>
      <c r="G34" s="1542"/>
      <c r="H34" s="441"/>
      <c r="I34" s="441"/>
      <c r="J34" s="442"/>
      <c r="K34" s="215"/>
      <c r="L34" s="156"/>
      <c r="M34" s="157"/>
      <c r="N34" s="157"/>
      <c r="O34" s="158"/>
      <c r="P34" s="159"/>
      <c r="Q34" s="160"/>
      <c r="R34" s="160"/>
      <c r="S34" s="161"/>
      <c r="T34" s="161"/>
      <c r="U34" s="161"/>
      <c r="V34" s="111"/>
    </row>
    <row r="35" spans="3:22" ht="15" customHeight="1">
      <c r="C35" s="938" t="str">
        <f>IF(Indice_index!$Z$1=1,"Transferências do OE","State Budget transfers")</f>
        <v>State Budget transfers</v>
      </c>
      <c r="D35" s="1541">
        <v>355.58514742</v>
      </c>
      <c r="E35" s="1541">
        <v>254.13500371000001</v>
      </c>
      <c r="F35" s="1142">
        <f t="shared" ref="F35:F41" si="3">IFERROR(IF(ABS((E35-D35)/D35)*100&gt;500,"n.r.",((E35-D35)/D35)*100),0)</f>
        <v>-28.530478408922967</v>
      </c>
      <c r="G35" s="1542">
        <f>IFERROR((E35-D35)/D43*100,"-")</f>
        <v>-1.2387767497378335</v>
      </c>
      <c r="H35" s="441"/>
      <c r="I35" s="441"/>
      <c r="J35" s="442"/>
      <c r="K35" s="215"/>
      <c r="L35" s="156"/>
      <c r="M35" s="157"/>
      <c r="N35" s="157"/>
      <c r="O35" s="158"/>
      <c r="P35" s="159"/>
      <c r="Q35" s="160"/>
      <c r="R35" s="160"/>
      <c r="S35" s="161"/>
      <c r="T35" s="161"/>
      <c r="U35" s="161"/>
      <c r="V35" s="111"/>
    </row>
    <row r="36" spans="3:22" ht="15" customHeight="1">
      <c r="C36" s="1546" t="str">
        <f>IF(Indice_index!$Z$1=1,"Fundo de Equilíbrio Financeiro","Financial Balance Fund")</f>
        <v>Financial Balance Fund</v>
      </c>
      <c r="D36" s="1541">
        <v>202.67595441999998</v>
      </c>
      <c r="E36" s="1541">
        <v>199.17068871000001</v>
      </c>
      <c r="F36" s="1142">
        <f t="shared" si="3"/>
        <v>-1.7294926376594761</v>
      </c>
      <c r="G36" s="1542">
        <f>IFERROR((E36-D36)/D43*100,"-")</f>
        <v>-4.2801730036122483E-2</v>
      </c>
      <c r="H36" s="441"/>
      <c r="I36" s="441"/>
      <c r="J36" s="442"/>
      <c r="K36" s="215"/>
      <c r="L36" s="156"/>
      <c r="M36" s="157"/>
      <c r="N36" s="157"/>
      <c r="O36" s="158"/>
      <c r="P36" s="159"/>
      <c r="Q36" s="160"/>
      <c r="R36" s="160"/>
      <c r="S36" s="161"/>
      <c r="T36" s="161"/>
      <c r="U36" s="161"/>
      <c r="V36" s="111"/>
    </row>
    <row r="37" spans="3:22" ht="15" customHeight="1">
      <c r="C37" s="1546" t="str">
        <f>IF(Indice_index!$Z$1=1,"Adicional 2018","Additional 2018")</f>
        <v>Additional 2018</v>
      </c>
      <c r="D37" s="1541">
        <v>152.90919300000002</v>
      </c>
      <c r="E37" s="1541">
        <v>54.964314999999999</v>
      </c>
      <c r="F37" s="1142">
        <f t="shared" si="3"/>
        <v>-64.054276972085006</v>
      </c>
      <c r="G37" s="1542">
        <f>IFERROR((E37-D37)/D43*100,"-")</f>
        <v>-1.1959750197017112</v>
      </c>
      <c r="H37" s="441"/>
      <c r="I37" s="441"/>
      <c r="J37" s="442"/>
      <c r="K37" s="215"/>
      <c r="L37" s="156"/>
      <c r="M37" s="157"/>
      <c r="N37" s="157"/>
      <c r="O37" s="158"/>
      <c r="P37" s="159"/>
      <c r="Q37" s="160"/>
      <c r="R37" s="160"/>
      <c r="S37" s="161"/>
      <c r="T37" s="161"/>
      <c r="U37" s="161"/>
      <c r="V37" s="111"/>
    </row>
    <row r="38" spans="3:22" ht="15" customHeight="1">
      <c r="C38" s="1543" t="str">
        <f>IF(Indice_index!$Z$1=1,"Outros subsectores das AP","Other General Government subsectors")</f>
        <v>Other General Government subsectors</v>
      </c>
      <c r="D38" s="1541">
        <v>9.1286763799996749</v>
      </c>
      <c r="E38" s="1541">
        <v>6.9975989999996751</v>
      </c>
      <c r="F38" s="1142">
        <f t="shared" si="3"/>
        <v>-23.344867221594679</v>
      </c>
      <c r="G38" s="1542">
        <f>IFERROR((E38-D38)/D43*100,"-")</f>
        <v>-2.6021935639466216E-2</v>
      </c>
      <c r="H38" s="441"/>
      <c r="I38" s="441"/>
      <c r="J38" s="442"/>
      <c r="K38" s="215"/>
      <c r="L38" s="156"/>
      <c r="M38" s="157"/>
      <c r="N38" s="157"/>
      <c r="O38" s="158"/>
      <c r="P38" s="159"/>
      <c r="Q38" s="160"/>
      <c r="R38" s="160"/>
      <c r="S38" s="161"/>
      <c r="T38" s="161"/>
      <c r="U38" s="161"/>
      <c r="V38" s="111"/>
    </row>
    <row r="39" spans="3:22" ht="15" customHeight="1">
      <c r="C39" s="1543" t="str">
        <f>IF(Indice_index!$Z$1=1,"União Europeia","European Union")</f>
        <v>European Union</v>
      </c>
      <c r="D39" s="1541">
        <v>523.42516503475383</v>
      </c>
      <c r="E39" s="1541">
        <v>423.77376366862802</v>
      </c>
      <c r="F39" s="1142">
        <f t="shared" si="3"/>
        <v>-19.038328308022649</v>
      </c>
      <c r="G39" s="1542">
        <f>IFERROR((E39-D39)/D43*100,"-")</f>
        <v>-1.2168128558203464</v>
      </c>
      <c r="H39" s="441"/>
      <c r="I39" s="441"/>
      <c r="J39" s="442"/>
      <c r="K39" s="215"/>
      <c r="L39" s="156"/>
      <c r="M39" s="157"/>
      <c r="N39" s="157"/>
      <c r="O39" s="158"/>
      <c r="P39" s="159"/>
      <c r="Q39" s="160"/>
      <c r="R39" s="160"/>
      <c r="S39" s="161"/>
      <c r="T39" s="161"/>
      <c r="U39" s="161"/>
      <c r="V39" s="111"/>
    </row>
    <row r="40" spans="3:22" ht="15" customHeight="1">
      <c r="C40" s="1543" t="str">
        <f>IF(Indice_index!$Z$1=1,"Outras transferências","Other transfers")</f>
        <v>Other transfers</v>
      </c>
      <c r="D40" s="1541">
        <v>6.0107648100000013</v>
      </c>
      <c r="E40" s="1541">
        <v>5.8275186708207629</v>
      </c>
      <c r="F40" s="1142">
        <f t="shared" si="3"/>
        <v>-3.0486326610945595</v>
      </c>
      <c r="G40" s="1542">
        <f>IFERROR((E40-D40)/D43*100,"-")</f>
        <v>-2.2375626923048708E-3</v>
      </c>
      <c r="H40" s="441"/>
      <c r="I40" s="441"/>
      <c r="J40" s="442"/>
      <c r="K40" s="215"/>
      <c r="L40" s="156"/>
      <c r="M40" s="157"/>
      <c r="N40" s="157"/>
      <c r="O40" s="158"/>
      <c r="P40" s="159"/>
      <c r="Q40" s="160"/>
      <c r="R40" s="160"/>
      <c r="S40" s="161"/>
      <c r="T40" s="161"/>
      <c r="U40" s="161"/>
      <c r="V40" s="111"/>
    </row>
    <row r="41" spans="3:22" ht="15" customHeight="1">
      <c r="C41" s="1540" t="str">
        <f>IF(Indice_index!$Z$1=1,"Outras receitas de capital","Other capital revenue")</f>
        <v>Other capital revenue</v>
      </c>
      <c r="D41" s="1541">
        <v>15.515798884970184</v>
      </c>
      <c r="E41" s="1541">
        <v>17.077868648084568</v>
      </c>
      <c r="F41" s="1142">
        <f t="shared" si="3"/>
        <v>10.067607699062961</v>
      </c>
      <c r="G41" s="1542">
        <f>IFERROR((E41-D41)/D43*100,"-")</f>
        <v>1.9073957248853499E-2</v>
      </c>
      <c r="H41" s="441"/>
      <c r="I41" s="441"/>
      <c r="J41" s="442"/>
      <c r="K41" s="215"/>
      <c r="L41" s="156"/>
      <c r="M41" s="157"/>
      <c r="N41" s="157"/>
      <c r="O41" s="158"/>
      <c r="P41" s="159"/>
      <c r="Q41" s="160"/>
      <c r="R41" s="160"/>
      <c r="S41" s="161"/>
      <c r="T41" s="161"/>
      <c r="U41" s="161"/>
      <c r="V41" s="111"/>
    </row>
    <row r="42" spans="3:22" ht="4.5" customHeight="1">
      <c r="C42" s="1540"/>
      <c r="D42" s="1541"/>
      <c r="E42" s="1541"/>
      <c r="F42" s="1548"/>
      <c r="G42" s="1549"/>
      <c r="H42" s="441"/>
      <c r="I42" s="441"/>
      <c r="J42" s="442"/>
      <c r="K42" s="215"/>
      <c r="L42" s="156"/>
      <c r="M42" s="157"/>
      <c r="N42" s="157"/>
      <c r="O42" s="158"/>
      <c r="P42" s="159"/>
      <c r="Q42" s="160"/>
      <c r="R42" s="160"/>
      <c r="S42" s="161"/>
      <c r="T42" s="161"/>
      <c r="U42" s="161"/>
      <c r="V42" s="111"/>
    </row>
    <row r="43" spans="3:22" s="250" customFormat="1" ht="15" customHeight="1">
      <c r="C43" s="1547" t="str">
        <f>IF(Indice_index!$Z$1=1,"Receita Efetiva","Effective revenue")</f>
        <v>Effective revenue</v>
      </c>
      <c r="D43" s="1539">
        <v>8189.5421214088992</v>
      </c>
      <c r="E43" s="1539">
        <v>9083.9871718919767</v>
      </c>
      <c r="F43" s="301">
        <f>IFERROR(IF(ABS((E43-D43)/D43)*100&gt;500,"n.r.",((E43-D43)/D43)*100),0)</f>
        <v>10.921795592757759</v>
      </c>
      <c r="G43" s="1550">
        <f>IFERROR((E43-D43)/D43*100,"-")</f>
        <v>10.921795592757759</v>
      </c>
      <c r="H43" s="441"/>
      <c r="I43" s="441"/>
      <c r="J43" s="442"/>
      <c r="K43" s="309"/>
      <c r="L43" s="301"/>
      <c r="M43" s="310"/>
      <c r="N43" s="310"/>
      <c r="O43" s="159"/>
      <c r="P43" s="159"/>
      <c r="Q43" s="311"/>
      <c r="R43" s="311"/>
      <c r="S43" s="312"/>
      <c r="T43" s="312"/>
      <c r="U43" s="312"/>
      <c r="V43" s="313"/>
    </row>
    <row r="44" spans="3:22" ht="4.5" customHeight="1">
      <c r="C44" s="1149"/>
      <c r="D44" s="1541"/>
      <c r="E44" s="1541"/>
      <c r="F44" s="1142"/>
      <c r="G44" s="1549"/>
      <c r="H44" s="441"/>
      <c r="I44" s="441"/>
      <c r="J44" s="442"/>
      <c r="K44" s="215"/>
      <c r="L44" s="156"/>
      <c r="M44" s="157"/>
      <c r="N44" s="157"/>
      <c r="O44" s="158"/>
      <c r="P44" s="159"/>
      <c r="Q44" s="160"/>
      <c r="R44" s="160"/>
      <c r="S44" s="161"/>
      <c r="T44" s="161"/>
      <c r="U44" s="161"/>
      <c r="V44" s="111"/>
    </row>
    <row r="45" spans="3:22" s="250" customFormat="1" ht="15" customHeight="1">
      <c r="C45" s="1551" t="str">
        <f>IF(Indice_index!$Z$1=1,"Despesa Corrente","Current expenditure")</f>
        <v>Current expenditure</v>
      </c>
      <c r="D45" s="1539">
        <v>5853.7326037290923</v>
      </c>
      <c r="E45" s="1539">
        <v>6464.8208071634381</v>
      </c>
      <c r="F45" s="301">
        <f t="shared" ref="F45:F62" si="4">IFERROR(IF(ABS((E45-D45)/D45)*100&gt;500,"n.r.",((E45-D45)/D45)*100),0)</f>
        <v>10.439291385552101</v>
      </c>
      <c r="G45" s="1550">
        <f>IFERROR((E45-D45)/D64*100,"-")</f>
        <v>7.4933005193635731</v>
      </c>
      <c r="H45" s="441"/>
      <c r="I45" s="441"/>
      <c r="J45" s="442"/>
      <c r="K45" s="309"/>
      <c r="L45" s="301"/>
      <c r="M45" s="310"/>
      <c r="N45" s="310"/>
      <c r="O45" s="159"/>
      <c r="P45" s="159"/>
      <c r="Q45" s="311"/>
      <c r="R45" s="311"/>
      <c r="S45" s="312"/>
      <c r="T45" s="312"/>
      <c r="U45" s="312"/>
      <c r="V45" s="313"/>
    </row>
    <row r="46" spans="3:22" ht="15" customHeight="1">
      <c r="C46" s="1540" t="str">
        <f>IF(Indice_index!$Z$1=1,"Despesas com o pessoal","Employees")</f>
        <v>Employees</v>
      </c>
      <c r="D46" s="1541">
        <v>2638.9502753800452</v>
      </c>
      <c r="E46" s="1541">
        <v>2930.0711487452372</v>
      </c>
      <c r="F46" s="1142">
        <f t="shared" si="4"/>
        <v>11.031692263442386</v>
      </c>
      <c r="G46" s="1549">
        <f>IFERROR((E46-D46)/D64*100,"-")</f>
        <v>3.5697894008182107</v>
      </c>
      <c r="H46" s="441"/>
      <c r="I46" s="441"/>
      <c r="J46" s="442"/>
      <c r="K46" s="215"/>
      <c r="L46" s="156"/>
      <c r="M46" s="157"/>
      <c r="N46" s="157"/>
      <c r="O46" s="158"/>
      <c r="P46" s="159"/>
      <c r="Q46" s="160"/>
      <c r="R46" s="160"/>
      <c r="S46" s="161"/>
      <c r="T46" s="161"/>
      <c r="U46" s="161"/>
      <c r="V46" s="111"/>
    </row>
    <row r="47" spans="3:22" ht="15" customHeight="1">
      <c r="C47" s="858" t="str">
        <f>IF(Indice_index!$Z$1=1,"Remunerações Certas e Permanentes","Certain and permanent wages")</f>
        <v>Certain and permanent wages</v>
      </c>
      <c r="D47" s="1541">
        <v>1980.4962825028581</v>
      </c>
      <c r="E47" s="1541">
        <v>2202.4451969267257</v>
      </c>
      <c r="F47" s="1142">
        <f t="shared" si="4"/>
        <v>11.206732190548673</v>
      </c>
      <c r="G47" s="1549">
        <f>IFERROR((E47-D47)/D64*100,"-")</f>
        <v>2.7215873361286897</v>
      </c>
      <c r="H47" s="441"/>
      <c r="I47" s="441"/>
      <c r="J47" s="442"/>
      <c r="K47" s="215"/>
      <c r="L47" s="156"/>
      <c r="M47" s="157"/>
      <c r="N47" s="157"/>
      <c r="O47" s="158"/>
      <c r="P47" s="159"/>
      <c r="Q47" s="160"/>
      <c r="R47" s="160"/>
      <c r="S47" s="161"/>
      <c r="T47" s="161"/>
      <c r="U47" s="161"/>
      <c r="V47" s="111"/>
    </row>
    <row r="48" spans="3:22" ht="15" customHeight="1">
      <c r="C48" s="858" t="str">
        <f>IF(Indice_index!$Z$1=1,"Abonos Variáveis ou Eventuais","Variable or contingent bonuses")</f>
        <v>Variable or contingent bonuses</v>
      </c>
      <c r="D48" s="1541">
        <v>108.71363184650114</v>
      </c>
      <c r="E48" s="1541">
        <v>126.41384078974517</v>
      </c>
      <c r="F48" s="1142">
        <f t="shared" si="4"/>
        <v>16.281499056379552</v>
      </c>
      <c r="G48" s="1549">
        <f>IFERROR((E48-D48)/D64*100,"-")</f>
        <v>0.21704392937361627</v>
      </c>
      <c r="H48" s="441"/>
      <c r="I48" s="441"/>
      <c r="J48" s="442"/>
      <c r="K48" s="215"/>
      <c r="L48" s="156"/>
      <c r="M48" s="157"/>
      <c r="N48" s="157"/>
      <c r="O48" s="158"/>
      <c r="P48" s="159"/>
      <c r="Q48" s="160"/>
      <c r="R48" s="160"/>
      <c r="S48" s="161"/>
      <c r="T48" s="161"/>
      <c r="U48" s="161"/>
      <c r="V48" s="111"/>
    </row>
    <row r="49" spans="3:22" ht="15" customHeight="1">
      <c r="C49" s="858" t="str">
        <f>IF(Indice_index!$Z$1=1,"Segurança social","Social security")</f>
        <v>Social security</v>
      </c>
      <c r="D49" s="1541">
        <v>549.74036103068624</v>
      </c>
      <c r="E49" s="1541">
        <v>601.212111028766</v>
      </c>
      <c r="F49" s="1142">
        <f t="shared" si="4"/>
        <v>9.3629199612663392</v>
      </c>
      <c r="G49" s="1549">
        <f>IFERROR((E49-D49)/D64*100,"-")</f>
        <v>0.63115813531589671</v>
      </c>
      <c r="H49" s="441"/>
      <c r="I49" s="441"/>
      <c r="J49" s="442"/>
      <c r="K49" s="215"/>
      <c r="L49" s="156"/>
      <c r="M49" s="157"/>
      <c r="N49" s="157"/>
      <c r="O49" s="158"/>
      <c r="P49" s="159"/>
      <c r="Q49" s="160"/>
      <c r="R49" s="160"/>
      <c r="S49" s="161"/>
      <c r="T49" s="161"/>
      <c r="U49" s="161"/>
      <c r="V49" s="111"/>
    </row>
    <row r="50" spans="3:22" ht="15" customHeight="1">
      <c r="C50" s="1540" t="str">
        <f>IF(Indice_index!$Z$1=1,"Aquisição de bens e serviços","Purchase of goods and services")</f>
        <v>Purchase of goods and services</v>
      </c>
      <c r="D50" s="1541">
        <v>2003.9643745334388</v>
      </c>
      <c r="E50" s="1541">
        <v>2280.0194185291016</v>
      </c>
      <c r="F50" s="1142">
        <f t="shared" si="4"/>
        <v>13.775446684771214</v>
      </c>
      <c r="G50" s="1549">
        <f>IFERROR((E50-D50)/D64*100,"-")</f>
        <v>3.3850488242453478</v>
      </c>
      <c r="H50" s="441"/>
      <c r="I50" s="441"/>
      <c r="J50" s="442"/>
      <c r="K50" s="215"/>
      <c r="L50" s="156"/>
      <c r="M50" s="157"/>
      <c r="N50" s="157"/>
      <c r="O50" s="158"/>
      <c r="P50" s="159"/>
      <c r="Q50" s="160"/>
      <c r="R50" s="160"/>
      <c r="S50" s="161"/>
      <c r="T50" s="161"/>
      <c r="U50" s="161"/>
      <c r="V50" s="111"/>
    </row>
    <row r="51" spans="3:22" ht="15" customHeight="1">
      <c r="C51" s="1540" t="str">
        <f>IF(Indice_index!$Z$1=1,"Juros e outros encargos","Interests and other charges")</f>
        <v>Interests and other charges</v>
      </c>
      <c r="D51" s="1541">
        <v>28.480461765713965</v>
      </c>
      <c r="E51" s="1541">
        <v>25.818565786039539</v>
      </c>
      <c r="F51" s="1142">
        <f t="shared" si="4"/>
        <v>-9.3463933329863842</v>
      </c>
      <c r="G51" s="1549">
        <f>IFERROR((E51-D51)/D64*100,"-")</f>
        <v>-3.2640765138136379E-2</v>
      </c>
      <c r="H51" s="441"/>
      <c r="I51" s="441"/>
      <c r="J51" s="442"/>
      <c r="K51" s="215"/>
      <c r="L51" s="156"/>
      <c r="M51" s="157"/>
      <c r="N51" s="157"/>
      <c r="O51" s="158"/>
      <c r="P51" s="159"/>
      <c r="Q51" s="160"/>
      <c r="R51" s="160"/>
      <c r="S51" s="161"/>
      <c r="T51" s="161"/>
      <c r="U51" s="161"/>
      <c r="V51" s="111"/>
    </row>
    <row r="52" spans="3:22" ht="15" customHeight="1">
      <c r="C52" s="1540" t="str">
        <f>IF(Indice_index!$Z$1=1,"Transferências correntes","Current transfers")</f>
        <v>Current transfers</v>
      </c>
      <c r="D52" s="1541">
        <v>883.63355604178332</v>
      </c>
      <c r="E52" s="1541">
        <v>881.08767841223926</v>
      </c>
      <c r="F52" s="1142">
        <f t="shared" si="4"/>
        <v>-0.28811463894018097</v>
      </c>
      <c r="G52" s="1549">
        <f>IFERROR((E52-D52)/D64*100,"-")</f>
        <v>-3.1218122124571909E-2</v>
      </c>
      <c r="H52" s="441"/>
      <c r="I52" s="441"/>
      <c r="J52" s="442"/>
      <c r="K52" s="215"/>
      <c r="L52" s="156"/>
      <c r="M52" s="157"/>
      <c r="N52" s="157"/>
      <c r="O52" s="158"/>
      <c r="P52" s="159"/>
      <c r="Q52" s="160"/>
      <c r="R52" s="160"/>
      <c r="S52" s="161"/>
      <c r="T52" s="161"/>
      <c r="U52" s="161"/>
      <c r="V52" s="111"/>
    </row>
    <row r="53" spans="3:22" ht="15" customHeight="1">
      <c r="C53" s="1543" t="str">
        <f>IF(Indice_index!$Z$1=1,"Subsectores das AP","General Government subsectors")</f>
        <v>General Government subsectors</v>
      </c>
      <c r="D53" s="1541">
        <v>381.37512774562862</v>
      </c>
      <c r="E53" s="1541">
        <v>414.37182483562856</v>
      </c>
      <c r="F53" s="1142">
        <f t="shared" si="4"/>
        <v>8.652031737111141</v>
      </c>
      <c r="G53" s="1549">
        <f>IFERROR((E53-D53)/D64*100,"-")</f>
        <v>0.40461289557251878</v>
      </c>
      <c r="H53" s="441"/>
      <c r="I53" s="441"/>
      <c r="J53" s="442"/>
      <c r="K53" s="215"/>
      <c r="L53" s="156"/>
      <c r="M53" s="157"/>
      <c r="N53" s="157"/>
      <c r="O53" s="158"/>
      <c r="P53" s="159"/>
      <c r="Q53" s="160"/>
      <c r="R53" s="160"/>
      <c r="S53" s="161"/>
      <c r="T53" s="161"/>
      <c r="U53" s="161"/>
      <c r="V53" s="111"/>
    </row>
    <row r="54" spans="3:22" ht="15" customHeight="1">
      <c r="C54" s="1543" t="str">
        <f>IF(Indice_index!$Z$1=1,"Outras transferências","Other transfers")</f>
        <v>Other transfers</v>
      </c>
      <c r="D54" s="1541">
        <v>502.25842829615465</v>
      </c>
      <c r="E54" s="1541">
        <v>466.7158535766107</v>
      </c>
      <c r="F54" s="1142">
        <f t="shared" si="4"/>
        <v>-7.0765511770738101</v>
      </c>
      <c r="G54" s="1549">
        <f>IFERROR((E54-D54)/D64*100,"-")</f>
        <v>-0.43583101769708993</v>
      </c>
      <c r="H54" s="441"/>
      <c r="I54" s="441"/>
      <c r="J54" s="442"/>
      <c r="K54" s="215"/>
      <c r="L54" s="156"/>
      <c r="M54" s="157"/>
      <c r="N54" s="157"/>
      <c r="O54" s="158"/>
      <c r="P54" s="159"/>
      <c r="Q54" s="160"/>
      <c r="R54" s="160"/>
      <c r="S54" s="161"/>
      <c r="T54" s="161"/>
      <c r="U54" s="161"/>
      <c r="V54" s="111"/>
    </row>
    <row r="55" spans="3:22" ht="15" customHeight="1">
      <c r="C55" s="1540" t="str">
        <f>IF(Indice_index!$Z$1=1,"Subsídios","Subsidies")</f>
        <v>Subsidies</v>
      </c>
      <c r="D55" s="1541">
        <v>213.58636670476403</v>
      </c>
      <c r="E55" s="1541">
        <v>241.09028194781433</v>
      </c>
      <c r="F55" s="1142">
        <f t="shared" si="4"/>
        <v>12.877186717197354</v>
      </c>
      <c r="G55" s="1549">
        <f>IFERROR((E55-D55)/D64*100,"-")</f>
        <v>0.33725917341721845</v>
      </c>
      <c r="H55" s="441"/>
      <c r="I55" s="441"/>
      <c r="J55" s="442"/>
      <c r="K55" s="215"/>
      <c r="L55" s="156"/>
      <c r="M55" s="157"/>
      <c r="N55" s="157"/>
      <c r="O55" s="158"/>
      <c r="P55" s="159"/>
      <c r="Q55" s="160"/>
      <c r="R55" s="160"/>
      <c r="S55" s="161"/>
      <c r="T55" s="161"/>
      <c r="U55" s="161"/>
      <c r="V55" s="111"/>
    </row>
    <row r="56" spans="3:22" ht="15" customHeight="1">
      <c r="C56" s="1540" t="str">
        <f>IF(Indice_index!$Z$1=1,"Outras despesas correntes","Other current expenditure")</f>
        <v>Other current expenditure</v>
      </c>
      <c r="D56" s="1541">
        <v>85.117569303347054</v>
      </c>
      <c r="E56" s="1541">
        <v>106.73371374300628</v>
      </c>
      <c r="F56" s="1142">
        <f t="shared" si="4"/>
        <v>25.395631732177787</v>
      </c>
      <c r="G56" s="1549">
        <f>IFERROR((E56-D56)/D64*100,"-")</f>
        <v>0.26506200814550485</v>
      </c>
      <c r="H56" s="441"/>
      <c r="I56" s="441"/>
      <c r="J56" s="442"/>
      <c r="K56" s="215"/>
      <c r="L56" s="156"/>
      <c r="M56" s="157"/>
      <c r="N56" s="157"/>
      <c r="O56" s="158"/>
      <c r="P56" s="159"/>
      <c r="Q56" s="160"/>
      <c r="R56" s="160"/>
      <c r="S56" s="161"/>
      <c r="T56" s="161"/>
      <c r="U56" s="161"/>
      <c r="V56" s="111"/>
    </row>
    <row r="57" spans="3:22" s="250" customFormat="1" ht="15" customHeight="1">
      <c r="C57" s="1551" t="str">
        <f>IF(Indice_index!$Z$1=1,"Despesa de Capital","Capital expenditure")</f>
        <v>Capital expenditure</v>
      </c>
      <c r="D57" s="1539">
        <v>2301.3947911381197</v>
      </c>
      <c r="E57" s="1539">
        <v>2145.7763450178727</v>
      </c>
      <c r="F57" s="301">
        <f t="shared" si="4"/>
        <v>-6.7619187598529429</v>
      </c>
      <c r="G57" s="1550">
        <f>IFERROR((E57-D57)/D64*100,"-")</f>
        <v>-1.9082282665282737</v>
      </c>
      <c r="H57" s="441"/>
      <c r="I57" s="441"/>
      <c r="J57" s="442"/>
      <c r="K57" s="309"/>
      <c r="L57" s="301"/>
      <c r="M57" s="310"/>
      <c r="N57" s="310"/>
      <c r="O57" s="159"/>
      <c r="P57" s="159"/>
      <c r="Q57" s="311"/>
      <c r="R57" s="311"/>
      <c r="S57" s="312"/>
      <c r="T57" s="312"/>
      <c r="U57" s="312"/>
      <c r="V57" s="313"/>
    </row>
    <row r="58" spans="3:22" ht="15" customHeight="1">
      <c r="C58" s="1540" t="str">
        <f>IF(Indice_index!$Z$1=1,"Aquisição de bens de capital","Purchase of capital goods")</f>
        <v>Purchase of capital goods</v>
      </c>
      <c r="D58" s="1541">
        <v>2020.1259271810636</v>
      </c>
      <c r="E58" s="1541">
        <v>1872.7056628904757</v>
      </c>
      <c r="F58" s="1142">
        <f t="shared" si="4"/>
        <v>-7.2975779532864093</v>
      </c>
      <c r="G58" s="1549">
        <f>IFERROR((E58-D58)/D64*100,"-")</f>
        <v>-1.8077003233986682</v>
      </c>
      <c r="H58" s="441"/>
      <c r="I58" s="441"/>
      <c r="J58" s="442"/>
      <c r="K58" s="215"/>
      <c r="L58" s="156"/>
      <c r="M58" s="157"/>
      <c r="N58" s="157"/>
      <c r="O58" s="158"/>
      <c r="P58" s="159"/>
      <c r="Q58" s="160"/>
      <c r="R58" s="160"/>
      <c r="S58" s="161"/>
      <c r="T58" s="161"/>
      <c r="U58" s="161"/>
      <c r="V58" s="111"/>
    </row>
    <row r="59" spans="3:22" ht="15" customHeight="1">
      <c r="C59" s="1540" t="str">
        <f>IF(Indice_index!$Z$1=1,"Transferências de capital","Capital transfers")</f>
        <v>Capital transfers</v>
      </c>
      <c r="D59" s="1541">
        <v>271.55587973705576</v>
      </c>
      <c r="E59" s="1541">
        <v>261.26052017796917</v>
      </c>
      <c r="F59" s="1142">
        <f t="shared" si="4"/>
        <v>-3.791248994150104</v>
      </c>
      <c r="G59" s="1549">
        <f>IFERROR((E59-D59)/D64*100,"-")</f>
        <v>-0.12624400650769024</v>
      </c>
      <c r="H59" s="441"/>
      <c r="I59" s="441"/>
      <c r="J59" s="442"/>
      <c r="K59" s="215"/>
      <c r="L59" s="156"/>
      <c r="M59" s="157"/>
      <c r="N59" s="157"/>
      <c r="O59" s="158"/>
      <c r="P59" s="159"/>
      <c r="Q59" s="160"/>
      <c r="R59" s="160"/>
      <c r="S59" s="161"/>
      <c r="T59" s="161"/>
      <c r="U59" s="161"/>
      <c r="V59" s="111"/>
    </row>
    <row r="60" spans="3:22" ht="15" customHeight="1">
      <c r="C60" s="1543" t="str">
        <f>IF(Indice_index!$Z$1=1,"Subsectores das AP","General Government subsectors")</f>
        <v>General Government subsectors</v>
      </c>
      <c r="D60" s="1541">
        <v>159.35718197999992</v>
      </c>
      <c r="E60" s="1541">
        <v>160.05776568999991</v>
      </c>
      <c r="F60" s="1142">
        <f t="shared" si="4"/>
        <v>0.43963108615206065</v>
      </c>
      <c r="G60" s="1549">
        <f>IFERROR((E60-D60)/D64*100,"-")</f>
        <v>8.5907144803272183E-3</v>
      </c>
      <c r="H60" s="441"/>
      <c r="I60" s="441"/>
      <c r="J60" s="442"/>
      <c r="K60" s="215"/>
      <c r="L60" s="156"/>
      <c r="M60" s="157"/>
      <c r="N60" s="157"/>
      <c r="O60" s="158"/>
      <c r="P60" s="159"/>
      <c r="Q60" s="160"/>
      <c r="R60" s="160"/>
      <c r="S60" s="161"/>
      <c r="T60" s="161"/>
      <c r="U60" s="161"/>
      <c r="V60" s="111"/>
    </row>
    <row r="61" spans="3:22" ht="15" customHeight="1">
      <c r="C61" s="1543" t="str">
        <f>IF(Indice_index!$Z$1=1,"Outras transferências","Other transfers")</f>
        <v>Other transfers</v>
      </c>
      <c r="D61" s="1541">
        <v>112.19869775705581</v>
      </c>
      <c r="E61" s="1541">
        <v>101.20275448796924</v>
      </c>
      <c r="F61" s="1142">
        <f t="shared" si="4"/>
        <v>-9.8004196919434108</v>
      </c>
      <c r="G61" s="1549">
        <f>IFERROR((E61-D61)/D64*100,"-")</f>
        <v>-0.1348347209880173</v>
      </c>
      <c r="H61" s="441"/>
      <c r="I61" s="441"/>
      <c r="J61" s="442"/>
      <c r="K61" s="215"/>
      <c r="L61" s="156"/>
      <c r="M61" s="157"/>
      <c r="N61" s="157"/>
      <c r="O61" s="158"/>
      <c r="P61" s="159"/>
      <c r="Q61" s="160"/>
      <c r="R61" s="160"/>
      <c r="S61" s="161"/>
      <c r="T61" s="161"/>
      <c r="U61" s="161"/>
      <c r="V61" s="111"/>
    </row>
    <row r="62" spans="3:22" ht="15" customHeight="1">
      <c r="C62" s="1540" t="str">
        <f>IF(Indice_index!$Z$1=1,"Outras despesas de capital","Other capital expenditure")</f>
        <v>Other capital expenditure</v>
      </c>
      <c r="D62" s="1541">
        <v>9.7129842199999992</v>
      </c>
      <c r="E62" s="1541">
        <v>11.810161949427913</v>
      </c>
      <c r="F62" s="1142">
        <f t="shared" si="4"/>
        <v>21.591487043802836</v>
      </c>
      <c r="G62" s="1549">
        <f>IFERROR((E62-D62)/D64*100,"-")</f>
        <v>2.5716063378088551E-2</v>
      </c>
      <c r="H62" s="441"/>
      <c r="I62" s="441"/>
      <c r="J62" s="442"/>
      <c r="K62" s="215"/>
      <c r="L62" s="156"/>
      <c r="M62" s="157"/>
      <c r="N62" s="157"/>
      <c r="O62" s="158"/>
      <c r="P62" s="159"/>
      <c r="Q62" s="160"/>
      <c r="R62" s="160"/>
      <c r="S62" s="161"/>
      <c r="T62" s="161"/>
      <c r="U62" s="161"/>
      <c r="V62" s="111"/>
    </row>
    <row r="63" spans="3:22" ht="4.5" customHeight="1">
      <c r="C63" s="1540"/>
      <c r="D63" s="1541"/>
      <c r="E63" s="1541"/>
      <c r="F63" s="1142"/>
      <c r="G63" s="1549"/>
      <c r="H63" s="441"/>
      <c r="I63" s="441"/>
      <c r="J63" s="442"/>
      <c r="K63" s="215"/>
      <c r="L63" s="156"/>
      <c r="M63" s="157"/>
      <c r="N63" s="157"/>
      <c r="O63" s="158"/>
      <c r="P63" s="159"/>
      <c r="Q63" s="160"/>
      <c r="R63" s="160"/>
      <c r="S63" s="161"/>
      <c r="T63" s="161"/>
      <c r="U63" s="161"/>
      <c r="V63" s="111"/>
    </row>
    <row r="64" spans="3:22" s="250" customFormat="1" ht="15" customHeight="1">
      <c r="C64" s="1551" t="str">
        <f>IF(Indice_index!$Z$1=1,"Despesa efetiva","Effective expenditure")</f>
        <v>Effective expenditure</v>
      </c>
      <c r="D64" s="1539">
        <v>8155.1273948672115</v>
      </c>
      <c r="E64" s="1539">
        <v>8610.5971521813117</v>
      </c>
      <c r="F64" s="301">
        <f>IFERROR(IF(ABS((E64-D64)/D64)*100&gt;500,"n.r.",((E64-D64)/D64)*100),0)</f>
        <v>5.5850722528353165</v>
      </c>
      <c r="G64" s="1550">
        <f>IFERROR((E64-D64)/D64*100,"-")</f>
        <v>5.5850722528353165</v>
      </c>
      <c r="H64" s="441"/>
      <c r="I64" s="441"/>
      <c r="J64" s="442"/>
      <c r="K64" s="309"/>
      <c r="L64" s="301"/>
      <c r="M64" s="310"/>
      <c r="N64" s="310"/>
      <c r="O64" s="159"/>
      <c r="P64" s="159"/>
      <c r="Q64" s="311"/>
      <c r="R64" s="311"/>
      <c r="S64" s="312"/>
      <c r="T64" s="312"/>
      <c r="U64" s="312"/>
      <c r="V64" s="313"/>
    </row>
    <row r="65" spans="3:22" ht="4.5" customHeight="1">
      <c r="C65" s="1149"/>
      <c r="D65" s="1541"/>
      <c r="E65" s="1541"/>
      <c r="F65" s="1552"/>
      <c r="G65" s="1549"/>
      <c r="H65" s="441"/>
      <c r="I65" s="441"/>
      <c r="J65" s="442"/>
      <c r="K65" s="215"/>
      <c r="L65" s="156"/>
      <c r="M65" s="157"/>
      <c r="N65" s="157"/>
      <c r="O65" s="158"/>
      <c r="P65" s="159"/>
      <c r="Q65" s="160"/>
      <c r="R65" s="160"/>
      <c r="S65" s="161"/>
      <c r="T65" s="161"/>
      <c r="U65" s="161"/>
      <c r="V65" s="111"/>
    </row>
    <row r="66" spans="3:22" s="250" customFormat="1" ht="15" customHeight="1">
      <c r="C66" s="1553" t="str">
        <f>IF(Indice_index!$Z$1=1,"Saldo global","Overall balance")</f>
        <v>Overall balance</v>
      </c>
      <c r="D66" s="1554">
        <v>34.414726541687742</v>
      </c>
      <c r="E66" s="1554">
        <v>473.390019710665</v>
      </c>
      <c r="F66" s="1157"/>
      <c r="G66" s="1157"/>
      <c r="H66" s="441"/>
      <c r="I66" s="441"/>
      <c r="J66" s="440"/>
      <c r="K66" s="309"/>
      <c r="L66" s="314"/>
      <c r="M66" s="310"/>
      <c r="N66" s="310"/>
      <c r="O66" s="159"/>
      <c r="P66" s="159"/>
      <c r="Q66" s="311"/>
      <c r="R66" s="311"/>
      <c r="S66" s="312"/>
      <c r="T66" s="312"/>
      <c r="U66" s="312"/>
      <c r="V66" s="313"/>
    </row>
    <row r="67" spans="3:22" ht="4.5" customHeight="1">
      <c r="C67" s="1555"/>
      <c r="D67" s="1556"/>
      <c r="E67" s="1556"/>
      <c r="F67" s="1552"/>
      <c r="G67" s="1557"/>
      <c r="H67" s="441"/>
      <c r="I67" s="441"/>
      <c r="J67" s="442"/>
      <c r="K67" s="215"/>
      <c r="L67" s="156"/>
      <c r="M67" s="157"/>
      <c r="N67" s="157"/>
      <c r="O67" s="158"/>
      <c r="P67" s="159"/>
      <c r="Q67" s="160"/>
      <c r="R67" s="160"/>
      <c r="S67" s="161"/>
      <c r="T67" s="161"/>
      <c r="U67" s="161"/>
      <c r="V67" s="111"/>
    </row>
    <row r="68" spans="3:22" ht="15" customHeight="1">
      <c r="C68" s="1149" t="str">
        <f>IF(Indice_index!$Z$1=1,"Despesa  primária","Primary Expenditure")</f>
        <v>Primary Expenditure</v>
      </c>
      <c r="D68" s="1541">
        <v>8126.6469331014978</v>
      </c>
      <c r="E68" s="1541">
        <v>8584.7785863952722</v>
      </c>
      <c r="F68" s="1552">
        <f>IFERROR(IF(ABS((E68-D68)/D68)*100&gt;500,"n.r.",((E68-D68)/D68)*100),0)</f>
        <v>5.6374007270785977</v>
      </c>
      <c r="G68" s="1142">
        <f>IFERROR((E68-D68)/D64*100,"-")</f>
        <v>5.6177130179734505</v>
      </c>
      <c r="H68" s="441"/>
      <c r="I68" s="441"/>
      <c r="J68" s="442"/>
      <c r="K68" s="215"/>
      <c r="L68" s="156"/>
      <c r="M68" s="157"/>
      <c r="N68" s="157"/>
      <c r="O68" s="158"/>
      <c r="P68" s="159"/>
      <c r="Q68" s="160"/>
      <c r="R68" s="160"/>
      <c r="S68" s="161"/>
      <c r="T68" s="161"/>
      <c r="U68" s="111"/>
      <c r="V68" s="111"/>
    </row>
    <row r="69" spans="3:22" ht="15" customHeight="1">
      <c r="C69" s="1558" t="str">
        <f>IF(Indice_index!$Z$1=1,"Saldo primário","Primary balance")</f>
        <v>Primary balance</v>
      </c>
      <c r="D69" s="1541">
        <v>62.89518830740171</v>
      </c>
      <c r="E69" s="1541">
        <v>499.20858549670453</v>
      </c>
      <c r="F69" s="1559"/>
      <c r="G69" s="1548"/>
      <c r="H69" s="441"/>
      <c r="I69" s="441"/>
      <c r="J69" s="442"/>
      <c r="K69" s="210"/>
      <c r="L69" s="156"/>
      <c r="M69" s="157"/>
      <c r="N69" s="157"/>
      <c r="O69" s="158"/>
      <c r="P69" s="159"/>
      <c r="Q69" s="160"/>
      <c r="R69" s="160"/>
      <c r="S69" s="161"/>
      <c r="T69" s="161"/>
      <c r="U69" s="161"/>
      <c r="V69" s="111"/>
    </row>
    <row r="70" spans="3:22" ht="15" customHeight="1">
      <c r="C70" s="1558" t="str">
        <f>IF(Indice_index!$Z$1=1,"Saldo corrente","Current balance")</f>
        <v>Current balance</v>
      </c>
      <c r="D70" s="1541">
        <v>1329.0888766823909</v>
      </c>
      <c r="E70" s="1541">
        <v>1810.7934463509628</v>
      </c>
      <c r="F70" s="1548"/>
      <c r="G70" s="1548"/>
      <c r="H70" s="441"/>
      <c r="I70" s="441"/>
      <c r="J70" s="442"/>
      <c r="K70" s="210"/>
      <c r="L70" s="156"/>
      <c r="M70" s="157"/>
      <c r="N70" s="157"/>
      <c r="O70" s="158"/>
      <c r="P70" s="159"/>
      <c r="Q70" s="160"/>
      <c r="R70" s="160"/>
      <c r="S70" s="161"/>
      <c r="T70" s="161"/>
      <c r="U70" s="161"/>
      <c r="V70" s="111"/>
    </row>
    <row r="71" spans="3:22" ht="15" customHeight="1">
      <c r="C71" s="1558" t="str">
        <f>IF(Indice_index!$Z$1=1,"Saldo de capital","Capital balance")</f>
        <v>Capital balance</v>
      </c>
      <c r="D71" s="1541">
        <v>-1294.6741501407037</v>
      </c>
      <c r="E71" s="1541">
        <v>-1337.4034266402975</v>
      </c>
      <c r="F71" s="1548"/>
      <c r="G71" s="1548"/>
      <c r="H71" s="441"/>
      <c r="I71" s="441"/>
      <c r="J71" s="442"/>
      <c r="K71" s="210"/>
      <c r="L71" s="156"/>
      <c r="M71" s="157"/>
      <c r="N71" s="157"/>
      <c r="O71" s="158"/>
      <c r="P71" s="159"/>
      <c r="Q71" s="160"/>
      <c r="R71" s="160"/>
      <c r="S71" s="161"/>
      <c r="T71" s="161"/>
      <c r="U71" s="161"/>
      <c r="V71" s="111"/>
    </row>
    <row r="72" spans="3:22" ht="15" customHeight="1">
      <c r="C72" s="1149" t="str">
        <f>IF(Indice_index!$Z$1=1,"Ativos financeiros líquidos de reembolsos","Financial assets net of reimbursements")</f>
        <v>Financial assets net of reimbursements</v>
      </c>
      <c r="D72" s="1541">
        <v>-25.462449480804235</v>
      </c>
      <c r="E72" s="1541">
        <v>25.415752859195756</v>
      </c>
      <c r="F72" s="1548"/>
      <c r="G72" s="1548"/>
      <c r="H72" s="441"/>
      <c r="I72" s="441"/>
      <c r="J72" s="442"/>
      <c r="K72" s="210"/>
      <c r="L72" s="156"/>
      <c r="M72" s="157"/>
      <c r="N72" s="157"/>
      <c r="O72" s="158"/>
      <c r="P72" s="159"/>
      <c r="Q72" s="160"/>
      <c r="R72" s="160"/>
      <c r="S72" s="161"/>
      <c r="T72" s="161"/>
      <c r="U72" s="161"/>
      <c r="V72" s="111"/>
    </row>
    <row r="73" spans="3:22" ht="15" customHeight="1">
      <c r="C73" s="1560" t="str">
        <f>IF(Indice_index!$Z$1=1,"dos quais Receitas de:","of which Revenues of")</f>
        <v>of which Revenues of</v>
      </c>
      <c r="D73" s="1541">
        <v>0</v>
      </c>
      <c r="E73" s="1541"/>
      <c r="F73" s="1548"/>
      <c r="G73" s="1548"/>
      <c r="H73" s="441"/>
      <c r="I73" s="441"/>
      <c r="J73" s="442"/>
      <c r="K73" s="210"/>
      <c r="L73" s="156"/>
      <c r="M73" s="157"/>
      <c r="N73" s="157"/>
      <c r="O73" s="158"/>
      <c r="P73" s="159"/>
      <c r="Q73" s="160"/>
      <c r="R73" s="160"/>
      <c r="S73" s="161"/>
      <c r="T73" s="161"/>
      <c r="U73" s="161"/>
      <c r="V73" s="111"/>
    </row>
    <row r="74" spans="3:22" ht="15" customHeight="1">
      <c r="C74" s="1561" t="str">
        <f>IF(Indice_index!$Z$1=1,"Alienação de partes de Capital","Divestment of company shares")</f>
        <v>Divestment of company shares</v>
      </c>
      <c r="D74" s="1541">
        <v>0.24630991999999999</v>
      </c>
      <c r="E74" s="1541">
        <v>0.16587677000000001</v>
      </c>
      <c r="F74" s="1548"/>
      <c r="G74" s="1548"/>
      <c r="H74" s="441"/>
      <c r="I74" s="441"/>
      <c r="J74" s="442"/>
      <c r="K74" s="210"/>
      <c r="L74" s="156"/>
      <c r="M74" s="157"/>
      <c r="N74" s="157"/>
      <c r="O74" s="158"/>
      <c r="P74" s="159"/>
      <c r="Q74" s="160"/>
      <c r="R74" s="160"/>
      <c r="S74" s="161"/>
      <c r="T74" s="161"/>
      <c r="U74" s="161"/>
      <c r="V74" s="111"/>
    </row>
    <row r="75" spans="3:22" ht="15" customHeight="1">
      <c r="C75" s="1562" t="str">
        <f>IF(Indice_index!$Z$1=1,"Outros Ativos","Other Financial assets")</f>
        <v>Other Financial assets</v>
      </c>
      <c r="D75" s="1541">
        <v>2.5646972299999997</v>
      </c>
      <c r="E75" s="1541">
        <v>6.7648219999999995E-2</v>
      </c>
      <c r="F75" s="1548"/>
      <c r="G75" s="1548"/>
      <c r="H75" s="441"/>
      <c r="I75" s="441"/>
      <c r="J75" s="442"/>
      <c r="K75" s="210"/>
      <c r="L75" s="156"/>
      <c r="M75" s="157"/>
      <c r="N75" s="157"/>
      <c r="O75" s="158"/>
      <c r="P75" s="159"/>
      <c r="Q75" s="160"/>
      <c r="R75" s="160"/>
      <c r="S75" s="161"/>
      <c r="T75" s="161"/>
      <c r="U75" s="161"/>
      <c r="V75" s="111"/>
    </row>
    <row r="76" spans="3:22" ht="15" customHeight="1">
      <c r="C76" s="1149" t="str">
        <f>IF(Indice_index!$Z$1=1,"Passivos financeiros líquidos de amortizações","Financial liabilities net of amortizations")</f>
        <v>Financial liabilities net of amortizations</v>
      </c>
      <c r="D76" s="1541">
        <v>-14.228801728188083</v>
      </c>
      <c r="E76" s="1541">
        <v>-7.8583003381878029</v>
      </c>
      <c r="F76" s="1548"/>
      <c r="G76" s="1548"/>
      <c r="H76" s="441"/>
      <c r="I76" s="441"/>
      <c r="J76" s="442"/>
      <c r="K76" s="210"/>
      <c r="L76" s="156"/>
      <c r="M76" s="157"/>
      <c r="N76" s="157"/>
      <c r="O76" s="158"/>
      <c r="P76" s="159"/>
      <c r="Q76" s="160"/>
      <c r="R76" s="160"/>
      <c r="S76" s="161"/>
      <c r="T76" s="161"/>
      <c r="U76" s="161"/>
      <c r="V76" s="111"/>
    </row>
    <row r="77" spans="3:22" ht="15" customHeight="1">
      <c r="C77" s="1149" t="str">
        <f>IF(Indice_index!$Z$1=1,"Poupança (+) / Utilização (-) de saldo da gerência anterior","Saving (+) / Usage (-) of balance from previous management")</f>
        <v>Saving (+) / Usage (-) of balance from previous management</v>
      </c>
      <c r="D77" s="1541">
        <v>45.648374294303899</v>
      </c>
      <c r="E77" s="1541">
        <v>440.11596651328142</v>
      </c>
      <c r="F77" s="1548"/>
      <c r="G77" s="1548"/>
      <c r="H77" s="441"/>
      <c r="I77" s="441"/>
      <c r="J77" s="442"/>
      <c r="K77" s="210"/>
      <c r="L77" s="156"/>
      <c r="M77" s="157"/>
      <c r="N77" s="157"/>
      <c r="O77" s="158"/>
      <c r="P77" s="159"/>
      <c r="Q77" s="160"/>
      <c r="R77" s="160"/>
      <c r="S77" s="161"/>
      <c r="T77" s="161"/>
      <c r="U77" s="161"/>
      <c r="V77" s="111"/>
    </row>
    <row r="78" spans="3:22" ht="15" customHeight="1">
      <c r="C78" s="1563" t="str">
        <f>IF(Indice_index!$Z$1=1,"Taxa de comparticip. financiam. comunitário","Community financing rate")</f>
        <v>Community financing rate</v>
      </c>
      <c r="D78" s="1564">
        <v>0.2591052161610316</v>
      </c>
      <c r="E78" s="1564">
        <v>0.22628957239043296</v>
      </c>
      <c r="F78" s="1565"/>
      <c r="G78" s="1565"/>
      <c r="H78" s="441"/>
      <c r="I78" s="441"/>
      <c r="J78" s="442"/>
      <c r="K78" s="210"/>
      <c r="L78" s="156"/>
      <c r="M78" s="157"/>
      <c r="N78" s="157"/>
      <c r="O78" s="158"/>
      <c r="P78" s="159"/>
      <c r="Q78" s="160"/>
      <c r="R78" s="160"/>
      <c r="S78" s="161"/>
      <c r="T78" s="161"/>
      <c r="U78" s="161"/>
      <c r="V78" s="111"/>
    </row>
    <row r="79" spans="3:22" ht="4.5" customHeight="1">
      <c r="C79" s="1149"/>
      <c r="D79" s="1566"/>
      <c r="E79" s="1566"/>
      <c r="F79" s="1567"/>
      <c r="G79" s="1567"/>
      <c r="H79" s="441"/>
      <c r="I79" s="441"/>
      <c r="J79" s="442"/>
      <c r="K79" s="210"/>
      <c r="L79" s="156"/>
      <c r="M79" s="157"/>
      <c r="N79" s="157"/>
      <c r="O79" s="158"/>
      <c r="P79" s="159"/>
      <c r="Q79" s="160"/>
      <c r="R79" s="160"/>
      <c r="S79" s="161"/>
      <c r="T79" s="161"/>
      <c r="U79" s="161"/>
      <c r="V79" s="111"/>
    </row>
    <row r="80" spans="3:22" ht="15" customHeight="1">
      <c r="C80" s="1568" t="str">
        <f>IF(Indice_index!$Z$1=1,"Notas:","Notes:")</f>
        <v>Notes:</v>
      </c>
      <c r="D80" s="1569"/>
      <c r="E80" s="1569"/>
      <c r="F80" s="1570"/>
      <c r="G80" s="1570"/>
      <c r="H80" s="246"/>
      <c r="I80" s="246"/>
      <c r="J80"/>
      <c r="K80" s="210"/>
      <c r="L80" s="156"/>
    </row>
    <row r="81" spans="3:17" ht="24" customHeight="1">
      <c r="C81" s="1743" t="str">
        <f>IF(Indice_index!$Z$1=1,"Os valores de execução orçamental da Administração Local constantes do presente quadro não incluem a execução orçamental das freguesias.","Local Government monthly data does not include parishes financial data.")</f>
        <v>Local Government monthly data does not include parishes financial data.</v>
      </c>
      <c r="D81" s="1744"/>
      <c r="E81" s="1744"/>
      <c r="F81" s="1744"/>
      <c r="G81" s="1744"/>
      <c r="H81" s="246"/>
      <c r="I81" s="246"/>
      <c r="J81"/>
      <c r="K81" s="156"/>
      <c r="L81" s="156"/>
    </row>
    <row r="82" spans="3:17" ht="24" customHeight="1">
      <c r="C82" s="1743" t="str">
        <f>IF(Indice_index!$Z$1=1,"As linhas de receita relativas às transferências no âmbito da Lei de Finanças Locais excluem as transferências com origem no Fundo de Financiamento das Freguesias.","Revenues derived from the Local Government Financing Law do not include transfers from the Parishes Financing Fund." )</f>
        <v>Revenues derived from the Local Government Financing Law do not include transfers from the Parishes Financing Fund.</v>
      </c>
      <c r="D82" s="1743"/>
      <c r="E82" s="1743"/>
      <c r="F82" s="1743"/>
      <c r="G82" s="1743"/>
      <c r="H82" s="246"/>
      <c r="I82" s="246"/>
      <c r="J82"/>
      <c r="K82" s="156"/>
      <c r="L82" s="156"/>
    </row>
    <row r="83" spans="3:17" ht="15" customHeight="1">
      <c r="C83" s="1571">
        <v>2021</v>
      </c>
      <c r="D83" s="1572"/>
      <c r="E83" s="1572"/>
      <c r="F83" s="1572"/>
      <c r="G83" s="1572"/>
      <c r="H83" s="246"/>
      <c r="I83" s="246"/>
      <c r="J83"/>
      <c r="K83" s="156"/>
      <c r="L83" s="156"/>
    </row>
    <row r="84" spans="3:17" ht="15" customHeight="1">
      <c r="C84" s="1737" t="str">
        <f>IF(Indice_index!$Z$1=1,"Dados reportados de 2021: 303 municipios; Em falta: 5.","Entities in default (5 municipalities) in the reporting of budget execution, in the month under review:")</f>
        <v>Entities in default (5 municipalities) in the reporting of budget execution, in the month under review:</v>
      </c>
      <c r="D84" s="1737"/>
      <c r="E84" s="1737"/>
      <c r="F84" s="1737"/>
      <c r="G84" s="1737"/>
      <c r="H84" s="246"/>
      <c r="I84" s="246"/>
      <c r="J84"/>
      <c r="K84" s="156"/>
      <c r="L84" s="156"/>
    </row>
    <row r="85" spans="3:17" ht="4.5" customHeight="1">
      <c r="C85" s="1746"/>
      <c r="D85" s="1746"/>
      <c r="E85" s="1746"/>
      <c r="F85" s="1746"/>
      <c r="G85" s="1746"/>
      <c r="H85" s="246"/>
      <c r="I85" s="246"/>
      <c r="J85"/>
      <c r="K85" s="156"/>
      <c r="L85" s="156"/>
    </row>
    <row r="86" spans="3:17" ht="11.25" customHeight="1">
      <c r="C86" s="1747">
        <v>2022</v>
      </c>
      <c r="D86" s="1747"/>
      <c r="E86" s="1747"/>
      <c r="F86" s="1573"/>
      <c r="G86" s="1573"/>
      <c r="H86" s="246"/>
      <c r="I86" s="246"/>
      <c r="J86"/>
    </row>
    <row r="87" spans="3:17" ht="15" customHeight="1">
      <c r="C87" s="1737" t="str">
        <f>IF(Indice_index!$Z$1=1,"Dados reportados de 2022: 265 municipios; Em falta: 43.","Entities in default (43 municipalities) in the reporting of budget execution, in the month under review:")</f>
        <v>Entities in default (43 municipalities) in the reporting of budget execution, in the month under review:</v>
      </c>
      <c r="D87" s="1737"/>
      <c r="E87" s="1737"/>
      <c r="F87" s="1737"/>
      <c r="G87" s="1737"/>
      <c r="H87" s="246"/>
      <c r="I87" s="246"/>
    </row>
    <row r="88" spans="3:17" ht="4.5" customHeight="1">
      <c r="C88" s="1573"/>
      <c r="D88" s="1573"/>
      <c r="E88" s="1573"/>
      <c r="F88" s="1573"/>
      <c r="G88" s="1573"/>
      <c r="H88" s="246"/>
      <c r="I88" s="246"/>
    </row>
    <row r="89" spans="3:17" ht="26.25" customHeight="1">
      <c r="C89" s="1754" t="str">
        <f>IF(Indice_index!$Z$1=1,"O reduzido universo de reportes resulta de constrangimentos decorrentes da implementação do SNC-AP na administração local em 2020. Para os municipios sem reporte foi usada a execução homóloga corrigida.","The reduced universe of reports results from constraints resulting from the implementation of the SNC-AP in the Local Government in 2020. For municipalities without reporting, corrected homologous execution was used.")</f>
        <v>The reduced universe of reports results from constraints resulting from the implementation of the SNC-AP in the Local Government in 2020. For municipalities without reporting, corrected homologous execution was used.</v>
      </c>
      <c r="D89" s="1744"/>
      <c r="E89" s="1744"/>
      <c r="F89" s="1744"/>
      <c r="G89" s="1744"/>
      <c r="H89" s="246"/>
      <c r="I89" s="1748"/>
      <c r="J89" s="1737"/>
      <c r="K89" s="1737"/>
      <c r="L89" s="1737"/>
      <c r="M89" s="1737"/>
    </row>
    <row r="90" spans="3:17" ht="4.5" customHeight="1">
      <c r="C90" s="679"/>
      <c r="D90" s="1574"/>
      <c r="E90" s="1574"/>
      <c r="F90" s="1574"/>
      <c r="G90" s="1574"/>
      <c r="H90" s="246"/>
      <c r="I90" s="671"/>
      <c r="J90" s="463"/>
      <c r="K90" s="463"/>
      <c r="L90" s="463"/>
      <c r="M90" s="463"/>
    </row>
    <row r="91" spans="3:17" ht="24" customHeight="1">
      <c r="C91" s="1754" t="str">
        <f>IF(Indice_index!$Z$1=1,"Fonte: BIORC - DGO com base nos dados da execução orçamental dos municípios reportada na DGAL/SIIAL/SISAL e Reporte alternativo provisório","Source: BIORC - DGO based on the data of budget execution of municipalities reported in DGAL / SIIAL/SISAL and provisional alternative report")</f>
        <v>Source: BIORC - DGO based on the data of budget execution of municipalities reported in DGAL / SIIAL/SISAL and provisional alternative report</v>
      </c>
      <c r="D91" s="1744"/>
      <c r="E91" s="1744"/>
      <c r="F91" s="1744"/>
      <c r="G91" s="1744"/>
      <c r="H91" s="679"/>
      <c r="I91" s="246"/>
    </row>
    <row r="92" spans="3:17">
      <c r="D92" s="625"/>
      <c r="E92" s="625"/>
      <c r="F92" s="625"/>
      <c r="G92" s="625"/>
      <c r="H92" s="164"/>
    </row>
    <row r="93" spans="3:17" ht="26.25" customHeight="1">
      <c r="C93" s="1749"/>
      <c r="D93" s="1750"/>
      <c r="E93" s="1750"/>
      <c r="F93" s="1750"/>
      <c r="G93" s="1750"/>
      <c r="H93" s="164"/>
    </row>
    <row r="94" spans="3:17" ht="6.75" customHeight="1">
      <c r="C94" s="1443"/>
      <c r="D94" s="1444"/>
      <c r="E94" s="1444"/>
      <c r="F94" s="1444"/>
      <c r="G94" s="1444"/>
      <c r="H94" s="164"/>
    </row>
    <row r="95" spans="3:17" ht="13.5" customHeight="1">
      <c r="D95" s="212"/>
      <c r="E95" s="212"/>
      <c r="F95" s="212"/>
      <c r="G95" s="212"/>
      <c r="H95" s="163"/>
    </row>
    <row r="96" spans="3:17" ht="12.75" customHeight="1">
      <c r="C96" s="213"/>
      <c r="D96" s="213"/>
      <c r="E96" s="213"/>
      <c r="F96" s="213"/>
      <c r="G96" s="213"/>
      <c r="H96" s="163"/>
      <c r="I96" s="165"/>
      <c r="J96" s="165"/>
      <c r="K96" s="165"/>
      <c r="L96" s="165"/>
      <c r="M96" s="165"/>
      <c r="N96" s="165"/>
      <c r="O96" s="163"/>
      <c r="P96" s="163"/>
      <c r="Q96" s="163"/>
    </row>
    <row r="97" spans="3:8" ht="27" customHeight="1">
      <c r="C97" s="1751"/>
      <c r="D97" s="1751"/>
      <c r="E97" s="1751"/>
      <c r="F97" s="1751"/>
      <c r="G97" s="1751"/>
      <c r="H97" s="165"/>
    </row>
    <row r="99" spans="3:8" ht="12.75" customHeight="1">
      <c r="C99" s="214"/>
      <c r="D99" s="247"/>
      <c r="E99" s="247"/>
      <c r="F99" s="247"/>
      <c r="G99" s="247"/>
      <c r="H99" s="247"/>
    </row>
    <row r="100" spans="3:8" ht="12.75" customHeight="1">
      <c r="C100" s="1752"/>
      <c r="D100" s="1753"/>
      <c r="E100" s="1753"/>
      <c r="F100" s="1753"/>
      <c r="G100" s="1753"/>
      <c r="H100" s="1753"/>
    </row>
    <row r="101" spans="3:8" ht="12.75" customHeight="1"/>
    <row r="102" spans="3:8">
      <c r="C102" s="1745"/>
      <c r="D102" s="1745"/>
      <c r="E102" s="1745"/>
      <c r="F102" s="1745"/>
      <c r="G102" s="1745"/>
    </row>
    <row r="103" spans="3:8">
      <c r="C103" s="166"/>
      <c r="D103" s="166"/>
      <c r="E103" s="166"/>
      <c r="F103" s="166"/>
      <c r="G103" s="166"/>
    </row>
    <row r="104" spans="3:8">
      <c r="C104" s="166"/>
      <c r="D104" s="166"/>
      <c r="E104" s="166"/>
      <c r="F104" s="166"/>
      <c r="G104" s="166"/>
    </row>
    <row r="105" spans="3:8">
      <c r="C105" s="166"/>
      <c r="D105" s="166"/>
      <c r="E105" s="166"/>
      <c r="F105" s="166"/>
      <c r="G105" s="166"/>
    </row>
    <row r="106" spans="3:8">
      <c r="C106" s="166"/>
      <c r="D106" s="166"/>
      <c r="E106" s="166"/>
      <c r="F106" s="166"/>
      <c r="G106" s="166"/>
    </row>
    <row r="107" spans="3:8">
      <c r="C107" s="166"/>
      <c r="D107" s="166"/>
      <c r="E107" s="166"/>
      <c r="F107" s="166"/>
      <c r="G107" s="166"/>
    </row>
    <row r="108" spans="3:8">
      <c r="C108" s="166"/>
      <c r="D108" s="166"/>
      <c r="E108" s="166"/>
      <c r="F108" s="166"/>
      <c r="G108" s="166"/>
    </row>
    <row r="109" spans="3:8">
      <c r="C109" s="166"/>
      <c r="D109" s="166"/>
      <c r="E109" s="166"/>
      <c r="F109" s="166"/>
      <c r="G109" s="166"/>
    </row>
    <row r="110" spans="3:8">
      <c r="C110" s="166"/>
      <c r="D110" s="166"/>
      <c r="E110" s="166"/>
      <c r="F110" s="166"/>
      <c r="G110" s="166"/>
    </row>
    <row r="111" spans="3:8">
      <c r="C111" s="166"/>
      <c r="D111" s="166"/>
      <c r="E111" s="166"/>
      <c r="F111" s="166"/>
      <c r="G111" s="166"/>
    </row>
    <row r="112" spans="3:8">
      <c r="C112" s="166"/>
      <c r="D112" s="166"/>
      <c r="E112" s="166"/>
      <c r="F112" s="166"/>
      <c r="G112" s="166"/>
    </row>
    <row r="113" spans="3:7">
      <c r="C113" s="166"/>
      <c r="D113" s="166"/>
      <c r="E113" s="166"/>
      <c r="F113" s="166"/>
      <c r="G113" s="166"/>
    </row>
    <row r="114" spans="3:7">
      <c r="C114" s="166"/>
      <c r="D114" s="166"/>
      <c r="E114" s="166"/>
      <c r="F114" s="166"/>
      <c r="G114" s="166"/>
    </row>
    <row r="115" spans="3:7">
      <c r="C115" s="166"/>
      <c r="D115" s="166"/>
      <c r="E115" s="166"/>
      <c r="F115" s="166"/>
      <c r="G115" s="166"/>
    </row>
    <row r="116" spans="3:7">
      <c r="C116" s="166"/>
      <c r="D116" s="166"/>
      <c r="E116" s="166"/>
      <c r="F116" s="166"/>
      <c r="G116" s="166"/>
    </row>
    <row r="117" spans="3:7">
      <c r="C117" s="166"/>
      <c r="D117" s="166"/>
      <c r="E117" s="166"/>
      <c r="F117" s="166"/>
      <c r="G117" s="166"/>
    </row>
    <row r="118" spans="3:7">
      <c r="C118" s="166"/>
      <c r="D118" s="166"/>
      <c r="E118" s="166"/>
      <c r="F118" s="166"/>
      <c r="G118" s="166"/>
    </row>
    <row r="119" spans="3:7">
      <c r="C119" s="166"/>
      <c r="D119" s="166"/>
      <c r="E119" s="166"/>
      <c r="F119" s="166"/>
      <c r="G119" s="166"/>
    </row>
    <row r="120" spans="3:7">
      <c r="C120" s="166"/>
      <c r="D120" s="166"/>
      <c r="E120" s="166"/>
      <c r="F120" s="166"/>
      <c r="G120" s="166"/>
    </row>
    <row r="121" spans="3:7">
      <c r="C121" s="166"/>
      <c r="D121" s="166"/>
      <c r="E121" s="166"/>
      <c r="F121" s="166"/>
      <c r="G121" s="166"/>
    </row>
    <row r="122" spans="3:7">
      <c r="C122" s="166"/>
      <c r="D122" s="166"/>
      <c r="E122" s="166"/>
      <c r="F122" s="166"/>
      <c r="G122" s="166"/>
    </row>
    <row r="123" spans="3:7">
      <c r="C123" s="166"/>
      <c r="D123" s="166"/>
      <c r="E123" s="166"/>
      <c r="F123" s="166"/>
      <c r="G123" s="166"/>
    </row>
    <row r="124" spans="3:7">
      <c r="C124" s="166"/>
      <c r="D124" s="166"/>
      <c r="E124" s="166"/>
      <c r="F124" s="166"/>
      <c r="G124" s="166"/>
    </row>
    <row r="125" spans="3:7">
      <c r="C125" s="166"/>
      <c r="D125" s="166"/>
      <c r="E125" s="166"/>
      <c r="F125" s="166"/>
      <c r="G125" s="166"/>
    </row>
    <row r="126" spans="3:7">
      <c r="C126" s="166"/>
      <c r="D126" s="166"/>
      <c r="E126" s="166"/>
      <c r="F126" s="166"/>
      <c r="G126" s="166"/>
    </row>
    <row r="127" spans="3:7">
      <c r="C127" s="166"/>
      <c r="D127" s="166"/>
      <c r="E127" s="166"/>
      <c r="F127" s="166"/>
      <c r="G127" s="166"/>
    </row>
    <row r="128" spans="3:7">
      <c r="C128" s="166"/>
      <c r="D128" s="166"/>
      <c r="E128" s="166"/>
      <c r="F128" s="166"/>
      <c r="G128" s="166"/>
    </row>
    <row r="129" spans="3:7">
      <c r="C129" s="166"/>
      <c r="D129" s="166"/>
      <c r="E129" s="166"/>
      <c r="F129" s="166"/>
      <c r="G129" s="166"/>
    </row>
    <row r="130" spans="3:7">
      <c r="C130" s="166"/>
      <c r="D130" s="166"/>
      <c r="E130" s="166"/>
      <c r="F130" s="166"/>
      <c r="G130" s="166"/>
    </row>
    <row r="131" spans="3:7">
      <c r="C131" s="166"/>
      <c r="D131" s="166"/>
      <c r="E131" s="166"/>
      <c r="F131" s="166"/>
      <c r="G131" s="166"/>
    </row>
    <row r="132" spans="3:7">
      <c r="C132" s="166"/>
      <c r="D132" s="166"/>
      <c r="E132" s="166"/>
      <c r="F132" s="166"/>
      <c r="G132" s="166"/>
    </row>
    <row r="133" spans="3:7">
      <c r="C133" s="166"/>
      <c r="D133" s="166"/>
      <c r="E133" s="166"/>
      <c r="F133" s="166"/>
      <c r="G133" s="166"/>
    </row>
    <row r="134" spans="3:7">
      <c r="C134" s="166"/>
      <c r="D134" s="166"/>
      <c r="E134" s="166"/>
      <c r="F134" s="166"/>
      <c r="G134" s="166"/>
    </row>
    <row r="135" spans="3:7">
      <c r="C135" s="166"/>
      <c r="D135" s="166"/>
      <c r="E135" s="166"/>
      <c r="F135" s="166"/>
      <c r="G135" s="166"/>
    </row>
    <row r="136" spans="3:7">
      <c r="C136" s="166"/>
      <c r="D136" s="166"/>
      <c r="E136" s="166"/>
      <c r="F136" s="166"/>
      <c r="G136" s="166"/>
    </row>
    <row r="137" spans="3:7">
      <c r="C137" s="166"/>
      <c r="D137" s="166"/>
      <c r="E137" s="166"/>
      <c r="F137" s="166"/>
      <c r="G137" s="166"/>
    </row>
    <row r="138" spans="3:7">
      <c r="C138" s="166"/>
      <c r="D138" s="166"/>
      <c r="E138" s="166"/>
      <c r="F138" s="166"/>
      <c r="G138" s="166"/>
    </row>
    <row r="139" spans="3:7">
      <c r="C139" s="166"/>
      <c r="D139" s="166"/>
      <c r="E139" s="166"/>
      <c r="F139" s="166"/>
      <c r="G139" s="166"/>
    </row>
    <row r="140" spans="3:7">
      <c r="C140" s="166"/>
      <c r="D140" s="166"/>
      <c r="E140" s="166"/>
      <c r="F140" s="166"/>
      <c r="G140" s="166"/>
    </row>
    <row r="141" spans="3:7">
      <c r="C141" s="166"/>
      <c r="D141" s="166"/>
      <c r="E141" s="166"/>
      <c r="F141" s="166"/>
      <c r="G141" s="166"/>
    </row>
    <row r="142" spans="3:7">
      <c r="C142" s="166"/>
      <c r="D142" s="166"/>
      <c r="E142" s="166"/>
      <c r="F142" s="166"/>
      <c r="G142" s="166"/>
    </row>
    <row r="143" spans="3:7">
      <c r="C143" s="166"/>
      <c r="D143" s="166"/>
      <c r="E143" s="166"/>
      <c r="F143" s="166"/>
      <c r="G143" s="166"/>
    </row>
    <row r="144" spans="3:7">
      <c r="C144" s="166"/>
      <c r="D144" s="166"/>
      <c r="E144" s="166"/>
      <c r="F144" s="166"/>
      <c r="G144" s="166"/>
    </row>
    <row r="145" spans="3:7">
      <c r="C145" s="166"/>
      <c r="D145" s="166"/>
      <c r="E145" s="166"/>
      <c r="F145" s="166"/>
      <c r="G145" s="166"/>
    </row>
    <row r="146" spans="3:7">
      <c r="C146" s="166"/>
      <c r="D146" s="166"/>
      <c r="E146" s="166"/>
      <c r="F146" s="166"/>
      <c r="G146" s="166"/>
    </row>
    <row r="147" spans="3:7">
      <c r="C147" s="166"/>
      <c r="D147" s="166"/>
      <c r="E147" s="166"/>
      <c r="F147" s="166"/>
      <c r="G147" s="166"/>
    </row>
    <row r="148" spans="3:7">
      <c r="C148" s="166"/>
      <c r="D148" s="166"/>
      <c r="E148" s="166"/>
      <c r="F148" s="166"/>
      <c r="G148" s="166"/>
    </row>
    <row r="149" spans="3:7">
      <c r="C149" s="166"/>
      <c r="D149" s="166"/>
      <c r="E149" s="166"/>
      <c r="F149" s="166"/>
      <c r="G149" s="166"/>
    </row>
    <row r="150" spans="3:7">
      <c r="C150" s="166"/>
      <c r="D150" s="166"/>
      <c r="E150" s="166"/>
      <c r="F150" s="166"/>
      <c r="G150" s="166"/>
    </row>
    <row r="151" spans="3:7">
      <c r="C151" s="166"/>
      <c r="D151" s="166"/>
      <c r="E151" s="166"/>
      <c r="F151" s="166"/>
      <c r="G151" s="166"/>
    </row>
    <row r="152" spans="3:7">
      <c r="C152" s="166"/>
      <c r="D152" s="166"/>
      <c r="E152" s="166"/>
      <c r="F152" s="166"/>
      <c r="G152" s="166"/>
    </row>
    <row r="153" spans="3:7">
      <c r="C153" s="166"/>
      <c r="D153" s="166"/>
      <c r="E153" s="166"/>
      <c r="F153" s="166"/>
      <c r="G153" s="166"/>
    </row>
    <row r="154" spans="3:7">
      <c r="C154" s="166"/>
      <c r="D154" s="166"/>
      <c r="E154" s="166"/>
      <c r="F154" s="166"/>
      <c r="G154" s="166"/>
    </row>
    <row r="155" spans="3:7">
      <c r="C155" s="166"/>
      <c r="D155" s="166"/>
      <c r="E155" s="166"/>
      <c r="F155" s="166"/>
      <c r="G155" s="166"/>
    </row>
    <row r="156" spans="3:7">
      <c r="C156" s="166"/>
      <c r="D156" s="166"/>
      <c r="E156" s="166"/>
      <c r="F156" s="166"/>
      <c r="G156" s="166"/>
    </row>
    <row r="157" spans="3:7">
      <c r="C157" s="166"/>
      <c r="D157" s="166"/>
      <c r="E157" s="166"/>
      <c r="F157" s="166"/>
      <c r="G157" s="166"/>
    </row>
    <row r="158" spans="3:7">
      <c r="C158" s="166"/>
      <c r="D158" s="166"/>
      <c r="E158" s="166"/>
      <c r="F158" s="166"/>
      <c r="G158" s="166"/>
    </row>
    <row r="159" spans="3:7">
      <c r="C159" s="166"/>
      <c r="D159" s="166"/>
      <c r="E159" s="166"/>
      <c r="F159" s="166"/>
      <c r="G159" s="166"/>
    </row>
    <row r="160" spans="3:7">
      <c r="C160" s="166"/>
      <c r="D160" s="166"/>
      <c r="E160" s="166"/>
      <c r="F160" s="166"/>
      <c r="G160" s="166"/>
    </row>
    <row r="161" spans="3:7">
      <c r="C161" s="166"/>
      <c r="D161" s="166"/>
      <c r="E161" s="166"/>
      <c r="F161" s="166"/>
      <c r="G161" s="166"/>
    </row>
    <row r="162" spans="3:7">
      <c r="C162" s="166"/>
      <c r="D162" s="166"/>
      <c r="E162" s="166"/>
      <c r="F162" s="166"/>
      <c r="G162" s="166"/>
    </row>
    <row r="163" spans="3:7">
      <c r="C163" s="166"/>
      <c r="D163" s="166"/>
      <c r="E163" s="166"/>
      <c r="F163" s="166"/>
      <c r="G163" s="166"/>
    </row>
    <row r="164" spans="3:7">
      <c r="C164" s="166"/>
      <c r="D164" s="166"/>
      <c r="E164" s="166"/>
      <c r="F164" s="166"/>
      <c r="G164" s="166"/>
    </row>
    <row r="165" spans="3:7">
      <c r="C165" s="166"/>
      <c r="D165" s="166"/>
      <c r="E165" s="166"/>
      <c r="F165" s="166"/>
      <c r="G165" s="166"/>
    </row>
    <row r="166" spans="3:7">
      <c r="C166" s="166"/>
      <c r="D166" s="166"/>
      <c r="E166" s="166"/>
      <c r="F166" s="166"/>
      <c r="G166" s="166"/>
    </row>
    <row r="167" spans="3:7">
      <c r="C167" s="166"/>
      <c r="D167" s="166"/>
      <c r="E167" s="166"/>
      <c r="F167" s="166"/>
      <c r="G167" s="166"/>
    </row>
    <row r="168" spans="3:7">
      <c r="C168" s="166"/>
      <c r="D168" s="166"/>
      <c r="E168" s="166"/>
      <c r="F168" s="166"/>
      <c r="G168" s="166"/>
    </row>
    <row r="169" spans="3:7">
      <c r="C169" s="166"/>
      <c r="D169" s="166"/>
      <c r="E169" s="166"/>
      <c r="F169" s="166"/>
      <c r="G169" s="166"/>
    </row>
    <row r="170" spans="3:7">
      <c r="C170" s="166"/>
      <c r="D170" s="166"/>
      <c r="E170" s="166"/>
      <c r="F170" s="166"/>
      <c r="G170" s="166"/>
    </row>
    <row r="171" spans="3:7">
      <c r="C171" s="166"/>
      <c r="D171" s="166"/>
      <c r="E171" s="166"/>
      <c r="F171" s="166"/>
      <c r="G171" s="166"/>
    </row>
    <row r="172" spans="3:7">
      <c r="C172" s="166"/>
      <c r="D172" s="166"/>
      <c r="E172" s="166"/>
      <c r="F172" s="166"/>
      <c r="G172" s="166"/>
    </row>
    <row r="173" spans="3:7">
      <c r="C173" s="166"/>
      <c r="D173" s="166"/>
      <c r="E173" s="166"/>
      <c r="F173" s="166"/>
      <c r="G173" s="166"/>
    </row>
    <row r="174" spans="3:7">
      <c r="C174" s="166"/>
      <c r="D174" s="166"/>
      <c r="E174" s="166"/>
      <c r="F174" s="166"/>
      <c r="G174" s="166"/>
    </row>
    <row r="175" spans="3:7">
      <c r="C175" s="166"/>
      <c r="D175" s="166"/>
      <c r="E175" s="166"/>
      <c r="F175" s="166"/>
      <c r="G175" s="166"/>
    </row>
    <row r="176" spans="3:7">
      <c r="C176" s="166"/>
      <c r="D176" s="166"/>
      <c r="E176" s="166"/>
      <c r="F176" s="166"/>
      <c r="G176" s="166"/>
    </row>
    <row r="177" spans="3:7">
      <c r="C177" s="166"/>
      <c r="D177" s="166"/>
      <c r="E177" s="166"/>
      <c r="F177" s="166"/>
      <c r="G177" s="166"/>
    </row>
    <row r="178" spans="3:7">
      <c r="C178" s="166"/>
      <c r="D178" s="166"/>
      <c r="E178" s="166"/>
      <c r="F178" s="166"/>
      <c r="G178" s="166"/>
    </row>
    <row r="179" spans="3:7">
      <c r="C179" s="166"/>
      <c r="D179" s="166"/>
      <c r="E179" s="166"/>
      <c r="F179" s="166"/>
      <c r="G179" s="166"/>
    </row>
    <row r="180" spans="3:7">
      <c r="C180" s="166"/>
      <c r="D180" s="166"/>
      <c r="E180" s="166"/>
      <c r="F180" s="166"/>
      <c r="G180" s="166"/>
    </row>
  </sheetData>
  <mergeCells count="16">
    <mergeCell ref="C102:G102"/>
    <mergeCell ref="C85:G85"/>
    <mergeCell ref="C86:E86"/>
    <mergeCell ref="I89:M89"/>
    <mergeCell ref="C93:G93"/>
    <mergeCell ref="C97:G97"/>
    <mergeCell ref="C100:H100"/>
    <mergeCell ref="C89:G89"/>
    <mergeCell ref="C87:G87"/>
    <mergeCell ref="C91:G91"/>
    <mergeCell ref="C84:G84"/>
    <mergeCell ref="C6:C7"/>
    <mergeCell ref="D6:E6"/>
    <mergeCell ref="F6:G6"/>
    <mergeCell ref="C81:G81"/>
    <mergeCell ref="C82:G82"/>
  </mergeCells>
  <printOptions horizontalCentered="1"/>
  <pageMargins left="0.70866141732283472" right="0.70866141732283472" top="0.74803149606299213" bottom="0.74803149606299213" header="0.74803149606299213" footer="0.35433070866141736"/>
  <pageSetup paperSize="9" scale="54" orientation="portrait" r:id="rId1"/>
  <headerFooter differentOddEven="1">
    <oddFooter>&amp;R&amp;G</oddFooter>
    <evenFooter>&amp;L&amp;G</evenFooter>
  </headerFooter>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3">
    <pageSetUpPr fitToPage="1"/>
  </sheetPr>
  <dimension ref="B1:Z44"/>
  <sheetViews>
    <sheetView showGridLines="0" tabSelected="1" zoomScaleNormal="100" workbookViewId="0"/>
  </sheetViews>
  <sheetFormatPr defaultColWidth="9.1796875" defaultRowHeight="12.5"/>
  <cols>
    <col min="1" max="1" width="1.453125" style="7" customWidth="1"/>
    <col min="2" max="2" width="3.81640625" style="7" customWidth="1"/>
    <col min="3" max="3" width="125.7265625" style="7" customWidth="1"/>
    <col min="4" max="4" width="1" style="7" customWidth="1"/>
    <col min="5" max="7" width="15.7265625" style="7" customWidth="1"/>
    <col min="8" max="21" width="9.1796875" style="7"/>
    <col min="22" max="26" width="9.1796875" style="7" customWidth="1"/>
    <col min="27" max="16384" width="9.1796875" style="7"/>
  </cols>
  <sheetData>
    <row r="1" spans="2:26" s="3" customFormat="1" ht="39.75" customHeight="1">
      <c r="B1" s="1655" t="s">
        <v>580</v>
      </c>
      <c r="C1" s="1655"/>
      <c r="D1" s="2"/>
      <c r="E1" s="2"/>
      <c r="I1" s="4"/>
      <c r="J1" s="4"/>
      <c r="X1" s="5">
        <v>1</v>
      </c>
      <c r="Y1" s="3" t="s">
        <v>0</v>
      </c>
      <c r="Z1" s="5">
        <v>2</v>
      </c>
    </row>
    <row r="2" spans="2:26" s="3" customFormat="1" ht="15" customHeight="1">
      <c r="B2" s="6"/>
      <c r="C2" s="6"/>
      <c r="D2" s="2"/>
      <c r="E2" s="2"/>
      <c r="X2" s="5">
        <v>2</v>
      </c>
      <c r="Y2" s="3" t="s">
        <v>1</v>
      </c>
      <c r="Z2" s="5"/>
    </row>
    <row r="3" spans="2:26" ht="6.75" customHeight="1"/>
    <row r="4" spans="2:26" ht="36" customHeight="1">
      <c r="B4" s="8"/>
      <c r="C4" s="9" t="str">
        <f>IF(Indice_index!$Z$1=1,"Índice","Index")</f>
        <v>Index</v>
      </c>
      <c r="D4" s="10"/>
      <c r="E4" s="11" t="str">
        <f>IF(Indice_index!$Z$1=1,"Última actualização","Last updated on")</f>
        <v>Last updated on</v>
      </c>
      <c r="F4" s="11" t="str">
        <f>IF(Indice_index!$Z$1=1,"Próxima actualização","Next update")</f>
        <v>Next update</v>
      </c>
      <c r="G4" s="11" t="str">
        <f>IF(Indice_index!$Z$1=1,"Último valor disponível","Last available figures")</f>
        <v>Last available figures</v>
      </c>
    </row>
    <row r="5" spans="2:26" ht="4.5" customHeight="1">
      <c r="C5" s="12"/>
    </row>
    <row r="6" spans="2:26" ht="20.25" customHeight="1">
      <c r="C6" s="365" t="str">
        <f>IF(Indice_index!$Z$1=1,"1 - Receita, despesa e saldo das Administrações Públicas","1 - General Government revenue, expenditure and balance")</f>
        <v>1 - General Government revenue, expenditure and balance</v>
      </c>
      <c r="E6" s="1656" t="str">
        <f>IF(Indice_index!$Z$1=1,"29-dezembro-22","29-December-22")</f>
        <v>29-December-22</v>
      </c>
      <c r="F6" s="1657" t="str">
        <f>IF(Indice_index!$Z$1=1,"27-janeiro-23","27-January-23")</f>
        <v>27-January-23</v>
      </c>
      <c r="G6" s="1657" t="str">
        <f>IF(Indice_index!$Z$1=1,"novembro 2022","November 2022")</f>
        <v>November 2022</v>
      </c>
    </row>
    <row r="7" spans="2:26" ht="20.25" customHeight="1">
      <c r="C7" s="365" t="str">
        <f>IF(Indice_index!$Z$1=1,"2 - Conta Consolidada das Administrações Públicas","2 - General Government Consolidated Account")</f>
        <v>2 - General Government Consolidated Account</v>
      </c>
      <c r="E7" s="1656"/>
      <c r="F7" s="1657"/>
      <c r="G7" s="1657"/>
    </row>
    <row r="8" spans="2:26" ht="20.25" customHeight="1">
      <c r="C8" s="600" t="str">
        <f>IF(Indice_index!$Z$1=1,"3 - Impacto orçamental das medidas adotadas no âmbito da COVID-19 pelas Administrações Públicas","3 - Budgetary impact of COVID-19 policy measures by the General Government")</f>
        <v>3 - Budgetary impact of COVID-19 policy measures by the General Government</v>
      </c>
      <c r="E8" s="1656"/>
      <c r="F8" s="1657"/>
      <c r="G8" s="1657"/>
    </row>
    <row r="9" spans="2:26" ht="20.25" customHeight="1">
      <c r="C9" s="600" t="str">
        <f>IF(Indice_index!$Z$1=1,"4 - Impacto orçamental das medidas adotadas no âmbito da COVID-19 por subsetor das Administrações Públicas","4 - Budgetary impact of COVID-19 policy measures by General Government subsector")</f>
        <v>4 - Budgetary impact of COVID-19 policy measures by General Government subsector</v>
      </c>
      <c r="E9" s="1656"/>
      <c r="F9" s="1657"/>
      <c r="G9" s="1657"/>
    </row>
    <row r="10" spans="2:26" ht="20.25" customHeight="1">
      <c r="C10" s="365" t="str">
        <f>IF(Indice_index!$Z$1=1,"5 - Execução Orçamental consolidada da Administração Central e Segurança Social","5 - Central Government and Social Security Consolidated Budget Execution")</f>
        <v>5 - Central Government and Social Security Consolidated Budget Execution</v>
      </c>
      <c r="E10" s="1656"/>
      <c r="F10" s="1657"/>
      <c r="G10" s="1657"/>
    </row>
    <row r="11" spans="2:26" ht="20.25" customHeight="1">
      <c r="C11" s="365" t="str">
        <f>IF(Indice_index!$Z$1=1,"6 - Conta consolidada da Administração Central","6 - Central Government consolidated execution")</f>
        <v>6 - Central Government consolidated execution</v>
      </c>
      <c r="E11" s="1656"/>
      <c r="F11" s="1657"/>
      <c r="G11" s="1657"/>
    </row>
    <row r="12" spans="2:26" ht="20.25" customHeight="1">
      <c r="C12" s="365" t="str">
        <f>IF(Indice_index!$Z$1=1,"7 - Execução Orçamental do Estado","7 - State Budget Execution")</f>
        <v>7 - State Budget Execution</v>
      </c>
      <c r="E12" s="1656"/>
      <c r="F12" s="1657"/>
      <c r="G12" s="1657"/>
      <c r="L12" s="13"/>
    </row>
    <row r="13" spans="2:26" ht="20.25" customHeight="1">
      <c r="C13" s="365" t="str">
        <f>IF(Indice_index!$Z$1=1,"8 - Execução da Receita do Estado","8 - State revenue implementation")</f>
        <v>8 - State revenue implementation</v>
      </c>
      <c r="E13" s="1656"/>
      <c r="F13" s="1657"/>
      <c r="G13" s="1657"/>
    </row>
    <row r="14" spans="2:26" ht="20.25" customHeight="1">
      <c r="C14" s="365" t="str">
        <f>IF(Indice_index!$Z$1=1,"9 - Execução Orçamental dos Serviços e Fundos Autónomos","9 - Autonomous Services and Funds Budget Execution")</f>
        <v>9 - Autonomous Services and Funds Budget Execution</v>
      </c>
      <c r="E14" s="1656"/>
      <c r="F14" s="1657"/>
      <c r="G14" s="1657"/>
    </row>
    <row r="15" spans="2:26" ht="20.25" customHeight="1">
      <c r="C15" s="365" t="str">
        <f>IF(Indice_index!$Z$1=1,"10 - Execução Orçamental das Entidades Públicas Reclassificadas","10 - Reclassified State Owned Enterprises Execution")</f>
        <v>10 - Reclassified State Owned Enterprises Execution</v>
      </c>
      <c r="E15" s="1656"/>
      <c r="F15" s="1657"/>
      <c r="G15" s="1657"/>
    </row>
    <row r="16" spans="2:26" ht="20.25" customHeight="1">
      <c r="C16" s="365" t="str">
        <f>IF(Indice_index!$Z$1=1,"11 - Execução Orçamental da Caixa Geral de Aposentações","11 - Public Servants Social Scheme Budget Execution")</f>
        <v>11 - Public Servants Social Scheme Budget Execution</v>
      </c>
      <c r="E16" s="1656"/>
      <c r="F16" s="1657"/>
      <c r="G16" s="1657"/>
    </row>
    <row r="17" spans="2:7" ht="20.25" customHeight="1">
      <c r="C17" s="365" t="str">
        <f>IF(Indice_index!$Z$1=1,"12 - Execução Orçamental da Segurança Social, por natureza","12 - Social Security Budget Execution by nature")</f>
        <v>12 - Social Security Budget Execution by nature</v>
      </c>
      <c r="E17" s="1656"/>
      <c r="F17" s="1657"/>
      <c r="G17" s="1657"/>
    </row>
    <row r="18" spans="2:7" ht="20.25" customHeight="1">
      <c r="C18" s="365" t="str">
        <f>IF(Indice_index!$Z$1=1,"13 - Execução Orçamental da Segurança Social por classificação económica","13 - Social Security Budget Execution by economic categories")</f>
        <v>13 - Social Security Budget Execution by economic categories</v>
      </c>
      <c r="E18" s="1656"/>
      <c r="F18" s="1657"/>
      <c r="G18" s="1657"/>
    </row>
    <row r="19" spans="2:7" s="15" customFormat="1" ht="20.25" customHeight="1">
      <c r="B19" s="7"/>
      <c r="C19" s="365" t="str">
        <f>IF(Indice_index!$Z$1=1,"14 - Execução Orçamental da Administração Regional","14 - Regional Government")</f>
        <v>14 - Regional Government</v>
      </c>
      <c r="D19" s="14"/>
      <c r="E19" s="1656"/>
      <c r="F19" s="1657"/>
      <c r="G19" s="1657"/>
    </row>
    <row r="20" spans="2:7" ht="20.25" customHeight="1">
      <c r="C20" s="365" t="str">
        <f>IF(Indice_index!$Z$1=1,"15 - Execução Orçamental da Administração Local","15 - Local Government")</f>
        <v>15 - Local Government</v>
      </c>
      <c r="E20" s="1656"/>
      <c r="F20" s="1657"/>
      <c r="G20" s="1657"/>
    </row>
    <row r="21" spans="2:7" ht="20.25" customHeight="1">
      <c r="C21" s="365" t="str">
        <f>IF(Indice_index!$Z$1=1,"16 - Despesa com Ativos Financeiros do Estado","16 - State Financial assets expenditure")</f>
        <v>16 - State Financial assets expenditure</v>
      </c>
      <c r="E21" s="1656"/>
      <c r="F21" s="1657"/>
      <c r="G21" s="1657"/>
    </row>
    <row r="22" spans="2:7" ht="20.25" customHeight="1">
      <c r="C22" s="365" t="str">
        <f>IF(Indice_index!$Z$1=1,"17 - Execução financeira consolidada do Serviço Nacional de Saúde","17 - National Health Service finantial implementation")</f>
        <v>17 - National Health Service finantial implementation</v>
      </c>
      <c r="E22" s="1656"/>
      <c r="F22" s="1657"/>
      <c r="G22" s="1657"/>
    </row>
    <row r="23" spans="2:7" ht="20.25" customHeight="1">
      <c r="B23" s="15"/>
      <c r="C23" s="365" t="str">
        <f>IF(Indice_index!$Z$1=1,"18 - Dívida não Financeira da Administração Pública","18 - General Government non-Financial Debt")</f>
        <v>18 - General Government non-Financial Debt</v>
      </c>
      <c r="E23" s="1656"/>
      <c r="F23" s="1657"/>
      <c r="G23" s="1657"/>
    </row>
    <row r="24" spans="2:7" ht="20.25" customHeight="1">
      <c r="C24" s="365" t="str">
        <f>IF(Indice_index!$Z$1=1,"19 - Indicadores Físicos e Financeiros do Sistema de Proteção Social da Função Pública","19 - Public Servants Social Scheme - Flows")</f>
        <v>19 - Public Servants Social Scheme - Flows</v>
      </c>
      <c r="E24" s="1656"/>
      <c r="F24" s="1657"/>
      <c r="G24" s="1657"/>
    </row>
    <row r="25" spans="2:7" ht="20.25" customHeight="1">
      <c r="C25" s="365" t="str">
        <f>IF(Indice_index!$Z$1=1,"20 - Efeitos temporários/especiais na conta da Administração Central e Segurança Social","20 - Temporary/special effects on the Central Government and Social Security Account")</f>
        <v>20 - Temporary/special effects on the Central Government and Social Security Account</v>
      </c>
      <c r="E25" s="1656"/>
      <c r="F25" s="1657"/>
      <c r="G25" s="1657"/>
    </row>
    <row r="26" spans="2:7" ht="20.25" customHeight="1">
      <c r="C26" s="365" t="str">
        <f>IF(Indice_index!$Z$1=1,"21 - Estimativas de execução consideradas na conta da Administração Central","21 - Estimated amounts in Central Government Account")</f>
        <v>21 - Estimated amounts in Central Government Account</v>
      </c>
      <c r="E26" s="1656"/>
      <c r="F26" s="1657"/>
      <c r="G26" s="1657"/>
    </row>
    <row r="27" spans="2:7" s="411" customFormat="1" ht="20.25" customHeight="1">
      <c r="C27" s="365" t="str">
        <f>IF(Indice_index!$Z$1=1,"22 - Utilização condicionada das dotações orçamentais do OE 2022","22 - Frozen allocations from the 2022 State Budget")</f>
        <v>22 - Frozen allocations from the 2022 State Budget</v>
      </c>
      <c r="D27" s="412"/>
      <c r="E27" s="1656"/>
      <c r="F27" s="1657"/>
      <c r="G27" s="1657"/>
    </row>
    <row r="28" spans="2:7" s="411" customFormat="1" ht="20.25" customHeight="1">
      <c r="C28" s="365" t="str">
        <f>IF(Indice_index!$Z$1=1,"24 - Lista de entidades da Administração Central em 2022","24 - Central Administration's list of entities in 2022")</f>
        <v>24 - Central Administration's list of entities in 2022</v>
      </c>
      <c r="D28" s="412"/>
      <c r="E28" s="1656"/>
      <c r="F28" s="1657"/>
      <c r="G28" s="1657"/>
    </row>
    <row r="30" spans="2:7">
      <c r="C30" s="16"/>
    </row>
    <row r="43" spans="3:3" s="375" customFormat="1">
      <c r="C43" s="326"/>
    </row>
    <row r="44" spans="3:3" s="375" customFormat="1">
      <c r="C44" s="326"/>
    </row>
  </sheetData>
  <mergeCells count="4">
    <mergeCell ref="B1:C1"/>
    <mergeCell ref="E6:E28"/>
    <mergeCell ref="F6:F28"/>
    <mergeCell ref="G6:G28"/>
  </mergeCells>
  <hyperlinks>
    <hyperlink ref="C6" location="'1 - Saldo Global Rec Desp'!B2" display="'1 - Saldo Global Rec Desp'!B2" xr:uid="{00000000-0004-0000-0200-000000000000}"/>
    <hyperlink ref="C7" location="'2 - Conta Consol AP'!B2" display="'2 - Conta Consol AP'!B2" xr:uid="{00000000-0004-0000-0200-000001000000}"/>
    <hyperlink ref="C10" location="'5 - Conta AC + SS'!A1" display="'5 - Conta AC + SS'!A1" xr:uid="{00000000-0004-0000-0200-000002000000}"/>
    <hyperlink ref="C11" location="'6 - Conta AC'!A1" display="'6 - Conta AC'!A1" xr:uid="{00000000-0004-0000-0200-000003000000}"/>
    <hyperlink ref="C12" location="'7 - Estado'!A1" display="'7 - Estado'!A1" xr:uid="{00000000-0004-0000-0200-000004000000}"/>
    <hyperlink ref="C13" location="'8 - R_Est'!A1" display="'8 - R_Est'!A1" xr:uid="{00000000-0004-0000-0200-000005000000}"/>
    <hyperlink ref="C14" location="'9 - SFA'!A1" display="'9 - SFA'!A1" xr:uid="{00000000-0004-0000-0200-000006000000}"/>
    <hyperlink ref="C15" location="'10 - EPR'!A1" display="'10 - EPR'!A1" xr:uid="{00000000-0004-0000-0200-000007000000}"/>
    <hyperlink ref="C16" location="'11 - CGA'!A1" display="'11 - CGA'!A1" xr:uid="{00000000-0004-0000-0200-000008000000}"/>
    <hyperlink ref="C17" location="'12 - SS'!A1" display="'12 - SS'!A1" xr:uid="{00000000-0004-0000-0200-000009000000}"/>
    <hyperlink ref="C18" location="'13 - SS Eco'!A1" display="'13 - SS Eco'!A1" xr:uid="{00000000-0004-0000-0200-00000A000000}"/>
    <hyperlink ref="C19" location="'14 - Adm R'!A1" display="'14 - Adm R'!A1" xr:uid="{00000000-0004-0000-0200-00000B000000}"/>
    <hyperlink ref="C20" location="'15 - Adm Loc'!A1" display="'15 - Adm Loc'!A1" xr:uid="{00000000-0004-0000-0200-00000C000000}"/>
    <hyperlink ref="C21" location="'16 - Despesa Ativos '!A1" display="'16 - Despesa Ativos '!A1" xr:uid="{00000000-0004-0000-0200-00000D000000}"/>
    <hyperlink ref="C22" location="'17 - SNS exec fin'!A1" display="'17 - SNS exec fin'!A1" xr:uid="{00000000-0004-0000-0200-00000E000000}"/>
    <hyperlink ref="C23" location="'18 - Dív não Fin'!A1" display="'18 - Dív não Fin'!A1" xr:uid="{00000000-0004-0000-0200-00000F000000}"/>
    <hyperlink ref="C24" location="'19 - CGA Ind'!A1" display="'19 - CGA Ind'!A1" xr:uid="{00000000-0004-0000-0200-000010000000}"/>
    <hyperlink ref="C25" location="'20 - Ef Temp AC+SS'!A1" display="'20 - Ef Temp AC+SS'!A1" xr:uid="{00000000-0004-0000-0200-000011000000}"/>
    <hyperlink ref="C26" location="'21 - Estimativas'!A1" display="'21 - Estimativas'!A1" xr:uid="{00000000-0004-0000-0200-000012000000}"/>
    <hyperlink ref="C9" location="'4 - Medidas Covid-19 Subsetores'!A1" display="'4 - Medidas Covid-19 Subsetores'!A1" xr:uid="{00000000-0004-0000-0200-000014000000}"/>
    <hyperlink ref="C8" location="'3 - Medidas Covid-19 AP'!A1" display="'3 - Medidas Covid-19 AP'!A1" xr:uid="{00000000-0004-0000-0200-000015000000}"/>
    <hyperlink ref="C28" location="'24 - Lista Entidades AC 2022'!A1" display="'24 - Lista Entidades AC 2022'!A1" xr:uid="{0D49A08C-90F1-46DE-B02C-DCCDCE71443B}"/>
    <hyperlink ref="C27" location="'22 - Util. Cond. Dot. Orç'!A1" display="'22 - Util. Cond. Dot. Orç'!A1" xr:uid="{CED17D24-1765-4F1C-8A64-122F0BAA6A74}"/>
  </hyperlinks>
  <printOptions horizontalCentered="1"/>
  <pageMargins left="0.70866141732283472" right="0.70866141732283472" top="0.74803149606299213" bottom="0.74803149606299213" header="0.74803149606299213" footer="0.35433070866141736"/>
  <pageSetup paperSize="9" scale="48" orientation="portrait" r:id="rId1"/>
  <headerFooter differentOddEven="1">
    <oddFooter>&amp;R&amp;G</oddFooter>
    <evenFooter>&amp;L&amp;G</evenFooter>
  </headerFooter>
  <rowBreaks count="1" manualBreakCount="1">
    <brk id="60" min="1" max="6" man="1"/>
  </rowBreaks>
  <ignoredErrors>
    <ignoredError sqref="E5:F5 E27:F27 E28:F28 E6:F26" twoDigitTextYear="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3" r:id="rId5" name="Drop Down 1">
              <controlPr defaultSize="0" autoLine="0" autoPict="0">
                <anchor moveWithCells="1">
                  <from>
                    <xdr:col>2</xdr:col>
                    <xdr:colOff>2813050</xdr:colOff>
                    <xdr:row>0</xdr:row>
                    <xdr:rowOff>298450</xdr:rowOff>
                  </from>
                  <to>
                    <xdr:col>2</xdr:col>
                    <xdr:colOff>5410200</xdr:colOff>
                    <xdr:row>1</xdr:row>
                    <xdr:rowOff>31750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0"/>
  <dimension ref="A1:S75"/>
  <sheetViews>
    <sheetView showGridLines="0" zoomScaleNormal="100" zoomScaleSheetLayoutView="100" workbookViewId="0">
      <selection activeCell="B2" sqref="B2"/>
    </sheetView>
  </sheetViews>
  <sheetFormatPr defaultColWidth="9.1796875" defaultRowHeight="13"/>
  <cols>
    <col min="1" max="1" width="1.54296875" style="388" customWidth="1"/>
    <col min="2" max="2" width="4.453125" style="388" customWidth="1"/>
    <col min="3" max="3" width="44.54296875" style="388" customWidth="1"/>
    <col min="4" max="5" width="9.453125" style="388" customWidth="1"/>
    <col min="6" max="6" width="1.1796875" style="388" customWidth="1"/>
    <col min="7" max="8" width="9.453125" style="388" customWidth="1"/>
    <col min="9" max="9" width="1.1796875" style="388" customWidth="1"/>
    <col min="10" max="11" width="9.453125" style="388" customWidth="1"/>
    <col min="12" max="17" width="8.54296875" style="388" customWidth="1"/>
    <col min="18" max="16384" width="9.1796875" style="388"/>
  </cols>
  <sheetData>
    <row r="1" spans="1:19" ht="15" customHeight="1"/>
    <row r="2" spans="1:19" ht="24" customHeight="1">
      <c r="B2" s="8"/>
      <c r="C2" s="331" t="str">
        <f>IF(Indice_index!$Z$1=1,"16 - Despesa com Ativos Financeiros do Estado","16 - State Financial assets expenditure")</f>
        <v>16 - State Financial assets expenditure</v>
      </c>
      <c r="D2" s="331"/>
      <c r="E2" s="331"/>
      <c r="F2" s="331"/>
      <c r="G2" s="331"/>
      <c r="H2" s="331"/>
      <c r="I2" s="331"/>
      <c r="J2" s="331"/>
      <c r="K2" s="331"/>
    </row>
    <row r="3" spans="1:19" ht="15" customHeight="1"/>
    <row r="4" spans="1:19" ht="15" customHeight="1">
      <c r="D4" s="680"/>
      <c r="E4" s="680"/>
      <c r="F4" s="680"/>
      <c r="G4" s="680"/>
      <c r="H4" s="680"/>
      <c r="I4" s="680"/>
      <c r="J4" s="680"/>
      <c r="K4" s="680"/>
    </row>
    <row r="5" spans="1:19" s="389" customFormat="1" ht="15" customHeight="1">
      <c r="C5" s="866" t="str">
        <f>+'5 - Conta AC + SS'!C5</f>
        <v>Period: January to November</v>
      </c>
      <c r="D5" s="866"/>
      <c r="E5" s="866"/>
      <c r="F5" s="388"/>
      <c r="G5" s="866"/>
      <c r="I5" s="388"/>
      <c r="J5" s="1437"/>
      <c r="K5" s="1437" t="str">
        <f>IF(Indice_index!$Z$1=1,"€ Milhões","€ Millions")</f>
        <v>€ Millions</v>
      </c>
    </row>
    <row r="6" spans="1:19" ht="21">
      <c r="C6" s="1422"/>
      <c r="D6" s="1423" t="str">
        <f>IF(Indice_index!$Z$1=1,"CGE","Final execution")</f>
        <v>Final execution</v>
      </c>
      <c r="E6" s="1423" t="str">
        <f>IF(Indice_index!$Z$1=1,"Orçamento Inicial","Budget")</f>
        <v>Budget</v>
      </c>
      <c r="G6" s="1755" t="str">
        <f>IF(Indice_index!$Z$1=1,"Execução","Execution")</f>
        <v>Execution</v>
      </c>
      <c r="H6" s="1755"/>
      <c r="J6" s="1438" t="str">
        <f>IF(Indice_index!$Z$1=1,"Execução Acumulada","Accumulated Execution")</f>
        <v>Accumulated Execution</v>
      </c>
      <c r="K6" s="1756" t="str">
        <f>IF(Indice_index!$Z$1=1,"Grau de Execução (%)","Execution Dregree (%)")</f>
        <v>Execution Dregree (%)</v>
      </c>
      <c r="L6" s="390"/>
      <c r="M6" s="390"/>
      <c r="N6" s="390"/>
      <c r="O6" s="390"/>
      <c r="P6" s="390"/>
      <c r="Q6" s="390"/>
      <c r="R6" s="391"/>
      <c r="S6" s="391"/>
    </row>
    <row r="7" spans="1:19" ht="21.75" customHeight="1">
      <c r="C7" s="1424"/>
      <c r="D7" s="1425" t="s">
        <v>67</v>
      </c>
      <c r="E7" s="1426" t="s">
        <v>73</v>
      </c>
      <c r="G7" s="1439" t="str">
        <f>IF(Indice_index!$Z$1=1,"out-22","oct-22")</f>
        <v>oct-22</v>
      </c>
      <c r="H7" s="1439" t="str">
        <f>IF(Indice_index!$Z$1=1,"nov-22","nov-22")</f>
        <v>nov-22</v>
      </c>
      <c r="J7" s="1425" t="s">
        <v>73</v>
      </c>
      <c r="K7" s="1757"/>
      <c r="L7" s="392"/>
      <c r="M7" s="393"/>
      <c r="N7" s="387"/>
      <c r="O7" s="387"/>
      <c r="P7" s="394"/>
      <c r="Q7" s="395"/>
      <c r="R7" s="391"/>
      <c r="S7" s="391"/>
    </row>
    <row r="8" spans="1:19" s="396" customFormat="1" ht="4.5" customHeight="1">
      <c r="A8" s="388"/>
      <c r="C8" s="1427"/>
      <c r="D8" s="1427"/>
      <c r="E8" s="1427"/>
      <c r="F8" s="388"/>
      <c r="G8" s="397"/>
      <c r="H8" s="397"/>
      <c r="I8" s="388"/>
      <c r="J8" s="397"/>
      <c r="K8" s="397"/>
      <c r="L8" s="397"/>
      <c r="N8" s="397"/>
      <c r="P8" s="368"/>
    </row>
    <row r="9" spans="1:19" s="389" customFormat="1" ht="15" customHeight="1">
      <c r="C9" s="1428" t="str">
        <f>IF(Indice_index!$Z$1=1,"Empréstimos a curto prazo","Short term loans")</f>
        <v>Short term loans</v>
      </c>
      <c r="D9" s="1429">
        <v>19.559999999999999</v>
      </c>
      <c r="E9" s="1429">
        <v>10</v>
      </c>
      <c r="F9" s="388"/>
      <c r="G9" s="1429">
        <v>11.770465999999999</v>
      </c>
      <c r="H9" s="1429">
        <v>0</v>
      </c>
      <c r="I9" s="388"/>
      <c r="J9" s="1429">
        <v>98.068162000000001</v>
      </c>
      <c r="K9" s="1440" t="s">
        <v>2</v>
      </c>
      <c r="L9" s="399"/>
      <c r="M9" s="400"/>
      <c r="N9" s="399"/>
      <c r="O9" s="399"/>
      <c r="P9" s="399"/>
      <c r="Q9" s="401"/>
      <c r="R9" s="401"/>
    </row>
    <row r="10" spans="1:19" s="389" customFormat="1" ht="15" customHeight="1">
      <c r="C10" s="1428" t="str">
        <f>IF(Indice_index!$Z$1=1,"Empréstimos a médio e longo prazo","Medium-long term loans")</f>
        <v>Medium-long term loans</v>
      </c>
      <c r="D10" s="1429">
        <v>911.41391612999985</v>
      </c>
      <c r="E10" s="1429">
        <v>7018.2399129999994</v>
      </c>
      <c r="F10" s="388"/>
      <c r="G10" s="1429">
        <v>32.173570199999979</v>
      </c>
      <c r="H10" s="1429">
        <v>111.55476758000005</v>
      </c>
      <c r="I10" s="388"/>
      <c r="J10" s="1429">
        <v>411.65174784999999</v>
      </c>
      <c r="K10" s="1429">
        <v>5.8654556263813493</v>
      </c>
      <c r="L10" s="399"/>
      <c r="M10" s="400"/>
      <c r="N10" s="694"/>
      <c r="O10" s="399"/>
      <c r="P10" s="399"/>
      <c r="Q10" s="401"/>
      <c r="R10" s="401"/>
    </row>
    <row r="11" spans="1:19" ht="15" customHeight="1">
      <c r="C11" s="1430" t="str">
        <f>IF(Indice_index!$Z$1=1,"Entidades públicas","Public entities")</f>
        <v>Public entities</v>
      </c>
      <c r="D11" s="387">
        <v>0.85635249000000002</v>
      </c>
      <c r="E11" s="387">
        <v>2650</v>
      </c>
      <c r="G11" s="387">
        <v>0</v>
      </c>
      <c r="H11" s="387">
        <v>0</v>
      </c>
      <c r="J11" s="387">
        <v>0</v>
      </c>
      <c r="K11" s="387">
        <v>0</v>
      </c>
      <c r="L11" s="399"/>
      <c r="M11" s="400"/>
      <c r="N11" s="694"/>
      <c r="O11" s="402"/>
      <c r="P11" s="402"/>
      <c r="Q11" s="387"/>
      <c r="R11" s="387"/>
    </row>
    <row r="12" spans="1:19" ht="15" customHeight="1">
      <c r="C12" s="1430" t="str">
        <f>IF(Indice_index!$Z$1=1,"Serviços e Fundos Autónomos","Autonomous Services and Funds ")</f>
        <v xml:space="preserve">Autonomous Services and Funds </v>
      </c>
      <c r="D12" s="387">
        <v>0</v>
      </c>
      <c r="E12" s="387">
        <v>1058</v>
      </c>
      <c r="G12" s="387">
        <v>0</v>
      </c>
      <c r="H12" s="387">
        <v>0</v>
      </c>
      <c r="J12" s="387">
        <v>0</v>
      </c>
      <c r="K12" s="387">
        <v>0</v>
      </c>
      <c r="L12" s="399"/>
      <c r="M12" s="400"/>
      <c r="N12" s="694"/>
      <c r="O12" s="402"/>
      <c r="P12" s="402"/>
      <c r="Q12" s="387"/>
      <c r="R12" s="387"/>
    </row>
    <row r="13" spans="1:19" ht="15" customHeight="1">
      <c r="C13" s="1430" t="str">
        <f>IF(Indice_index!$Z$1=1,"Entidades públicas reclassificadas","Reclassified public entities")</f>
        <v>Reclassified public entities</v>
      </c>
      <c r="D13" s="387">
        <v>823.68396933999986</v>
      </c>
      <c r="E13" s="387">
        <v>1996.7760220000002</v>
      </c>
      <c r="G13" s="387">
        <v>31.892585409999981</v>
      </c>
      <c r="H13" s="387">
        <v>100.00000000000003</v>
      </c>
      <c r="J13" s="387">
        <v>322.41068537000001</v>
      </c>
      <c r="K13" s="387">
        <v>16.146562349395037</v>
      </c>
      <c r="L13" s="399"/>
      <c r="M13" s="400"/>
      <c r="N13" s="694"/>
      <c r="O13" s="402"/>
      <c r="P13" s="402"/>
      <c r="Q13" s="387"/>
      <c r="R13" s="387"/>
    </row>
    <row r="14" spans="1:19" ht="15" customHeight="1">
      <c r="C14" s="1430" t="str">
        <f>IF(Indice_index!$Z$1=1,"Administração Local - Continente Incêndios","Local Government - Continent Fires")</f>
        <v>Local Government - Continent Fires</v>
      </c>
      <c r="D14" s="387">
        <v>0.28353600000000001</v>
      </c>
      <c r="E14" s="387">
        <v>0</v>
      </c>
      <c r="G14" s="387">
        <v>0</v>
      </c>
      <c r="H14" s="387">
        <v>0</v>
      </c>
      <c r="J14" s="387">
        <v>0</v>
      </c>
      <c r="K14" s="1441">
        <v>0</v>
      </c>
      <c r="L14" s="399"/>
      <c r="M14" s="400"/>
      <c r="N14" s="694"/>
      <c r="O14" s="402"/>
      <c r="P14" s="402"/>
      <c r="Q14" s="387"/>
      <c r="R14" s="387"/>
    </row>
    <row r="15" spans="1:19" ht="15" customHeight="1">
      <c r="C15" s="1431" t="str">
        <f>IF(Indice_index!$Z$1=1,"Países terceiros","Other countries")</f>
        <v>Other countries</v>
      </c>
      <c r="D15" s="387">
        <v>0</v>
      </c>
      <c r="E15" s="387">
        <v>5</v>
      </c>
      <c r="G15" s="387">
        <v>0</v>
      </c>
      <c r="H15" s="387">
        <v>0</v>
      </c>
      <c r="J15" s="387">
        <v>0</v>
      </c>
      <c r="K15" s="387">
        <v>0</v>
      </c>
      <c r="L15" s="399"/>
      <c r="M15" s="400"/>
      <c r="N15" s="694"/>
      <c r="O15" s="402"/>
      <c r="P15" s="402"/>
      <c r="Q15" s="387"/>
      <c r="R15" s="387"/>
    </row>
    <row r="16" spans="1:19" ht="15" customHeight="1">
      <c r="C16" s="1430" t="str">
        <f>IF(Indice_index!$Z$1=1,"Fundo de Resolução Europeu","European Resolution Fund")</f>
        <v>European Resolution Fund</v>
      </c>
      <c r="D16" s="387">
        <v>0</v>
      </c>
      <c r="E16" s="387">
        <v>852.5</v>
      </c>
      <c r="G16" s="387">
        <v>0</v>
      </c>
      <c r="H16" s="387">
        <v>0</v>
      </c>
      <c r="J16" s="387">
        <v>0</v>
      </c>
      <c r="K16" s="387">
        <v>0</v>
      </c>
      <c r="L16" s="399"/>
      <c r="M16" s="400"/>
      <c r="N16" s="694"/>
      <c r="O16" s="402"/>
      <c r="P16" s="402"/>
      <c r="Q16" s="387"/>
      <c r="R16" s="387"/>
    </row>
    <row r="17" spans="3:19" ht="15" customHeight="1">
      <c r="C17" s="1430" t="str">
        <f>IF(Indice_index!$Z$1=1,"Portugal 2020","Portugal 2020")</f>
        <v>Portugal 2020</v>
      </c>
      <c r="D17" s="387">
        <v>50.279335079999996</v>
      </c>
      <c r="E17" s="387">
        <v>90</v>
      </c>
      <c r="G17" s="387">
        <v>0</v>
      </c>
      <c r="H17" s="387">
        <v>0</v>
      </c>
      <c r="J17" s="387">
        <v>14</v>
      </c>
      <c r="K17" s="387">
        <v>15.555555555555555</v>
      </c>
      <c r="L17" s="399"/>
      <c r="M17" s="400"/>
      <c r="N17" s="694"/>
      <c r="O17" s="402"/>
      <c r="P17" s="402"/>
      <c r="Q17" s="387"/>
      <c r="R17" s="387"/>
    </row>
    <row r="18" spans="3:19" ht="15" customHeight="1">
      <c r="C18" s="1430" t="str">
        <f>IF(Indice_index!$Z$1=1,"Fundos públicos","Public Funds")</f>
        <v>Public Funds</v>
      </c>
      <c r="D18" s="387">
        <v>36.31072322</v>
      </c>
      <c r="E18" s="387">
        <v>365.96389099999993</v>
      </c>
      <c r="G18" s="387">
        <v>0.28098478999999799</v>
      </c>
      <c r="H18" s="387">
        <v>11.554767580000018</v>
      </c>
      <c r="J18" s="387">
        <v>75.241062480000011</v>
      </c>
      <c r="K18" s="387">
        <v>20.559695732385801</v>
      </c>
      <c r="L18" s="399"/>
      <c r="M18" s="400"/>
      <c r="N18" s="694"/>
      <c r="O18" s="402"/>
      <c r="P18" s="402"/>
      <c r="Q18" s="387"/>
      <c r="R18" s="387"/>
    </row>
    <row r="19" spans="3:19" s="389" customFormat="1" ht="15" customHeight="1">
      <c r="C19" s="1428" t="str">
        <f>IF(Indice_index!$Z$1=1,"Dotações de capital","Capital injections")</f>
        <v>Capital injections</v>
      </c>
      <c r="D19" s="1429">
        <v>3997.8044726200001</v>
      </c>
      <c r="E19" s="1429">
        <v>4109.166639</v>
      </c>
      <c r="F19" s="388"/>
      <c r="G19" s="1429">
        <v>0</v>
      </c>
      <c r="H19" s="1429">
        <v>264.33427358999973</v>
      </c>
      <c r="I19" s="388"/>
      <c r="J19" s="1429">
        <v>1360.1838245099998</v>
      </c>
      <c r="K19" s="1429">
        <v>33.101208687925393</v>
      </c>
      <c r="L19" s="399"/>
      <c r="M19" s="400"/>
      <c r="N19" s="694"/>
      <c r="O19" s="399"/>
      <c r="P19" s="399"/>
      <c r="Q19" s="401"/>
      <c r="R19" s="401"/>
    </row>
    <row r="20" spans="3:19" ht="15" customHeight="1">
      <c r="C20" s="1430" t="str">
        <f>IF(Indice_index!$Z$1=1,"Empresas públicas não financeiras","Non financial public enterprises")</f>
        <v>Non financial public enterprises</v>
      </c>
      <c r="D20" s="387">
        <v>998.5</v>
      </c>
      <c r="E20" s="387">
        <v>991.68418299999996</v>
      </c>
      <c r="G20" s="387">
        <v>0</v>
      </c>
      <c r="H20" s="387">
        <v>9.9</v>
      </c>
      <c r="J20" s="387">
        <v>9.9</v>
      </c>
      <c r="K20" s="387">
        <v>0.99830169419975523</v>
      </c>
      <c r="L20" s="399"/>
      <c r="M20" s="400"/>
      <c r="N20" s="694"/>
      <c r="O20" s="402"/>
      <c r="P20" s="402"/>
      <c r="Q20" s="387"/>
      <c r="R20" s="387"/>
    </row>
    <row r="21" spans="3:19" ht="15" customHeight="1">
      <c r="C21" s="1430" t="str">
        <f>IF(Indice_index!$Z$1=1,"Empresas públicas reclassificadas","Reclassified public entities")</f>
        <v>Reclassified public entities</v>
      </c>
      <c r="D21" s="387">
        <v>2999.1892240000002</v>
      </c>
      <c r="E21" s="387">
        <v>3110.9284349999998</v>
      </c>
      <c r="G21" s="387">
        <v>0</v>
      </c>
      <c r="H21" s="387">
        <v>254.38171899999975</v>
      </c>
      <c r="J21" s="387">
        <v>1350.1785269999998</v>
      </c>
      <c r="K21" s="387">
        <v>43.401143909631593</v>
      </c>
      <c r="L21" s="399"/>
      <c r="M21" s="400"/>
      <c r="N21" s="694"/>
      <c r="O21" s="402"/>
      <c r="P21" s="402"/>
      <c r="Q21" s="387"/>
      <c r="R21" s="387"/>
    </row>
    <row r="22" spans="3:19" ht="15" customHeight="1">
      <c r="C22" s="1430" t="str">
        <f>IF(Indice_index!$Z$1=1,"Fundos Públicos","Public Funds")</f>
        <v>Public Funds</v>
      </c>
      <c r="D22" s="387">
        <v>0.11524862</v>
      </c>
      <c r="E22" s="387">
        <v>6.5540209999999997</v>
      </c>
      <c r="G22" s="387">
        <v>0</v>
      </c>
      <c r="H22" s="387">
        <v>5.2554589999999998E-2</v>
      </c>
      <c r="J22" s="387">
        <v>0.10529751</v>
      </c>
      <c r="K22" s="387">
        <v>1.6066092861161112</v>
      </c>
      <c r="L22" s="399"/>
      <c r="M22" s="400"/>
      <c r="N22" s="694"/>
      <c r="O22" s="402"/>
      <c r="P22" s="402"/>
      <c r="Q22" s="387"/>
      <c r="R22" s="387"/>
    </row>
    <row r="23" spans="3:19" s="389" customFormat="1" ht="15" customHeight="1">
      <c r="C23" s="1428" t="str">
        <f>IF(Indice_index!$Z$1=1,"Aquisição de Participações","Acquisition of Shares")</f>
        <v>Acquisition of Shares</v>
      </c>
      <c r="D23" s="1429">
        <v>9.9999999999999995E-7</v>
      </c>
      <c r="E23" s="1429">
        <v>0</v>
      </c>
      <c r="F23" s="388"/>
      <c r="G23" s="1429">
        <v>0</v>
      </c>
      <c r="H23" s="1429">
        <v>0</v>
      </c>
      <c r="I23" s="388"/>
      <c r="J23" s="1429">
        <v>0</v>
      </c>
      <c r="K23" s="1440">
        <v>0</v>
      </c>
      <c r="L23" s="399"/>
      <c r="M23" s="400"/>
      <c r="N23" s="694"/>
      <c r="O23" s="399"/>
      <c r="P23" s="399"/>
      <c r="Q23" s="401"/>
      <c r="R23" s="401"/>
    </row>
    <row r="24" spans="3:19" s="389" customFormat="1" ht="15" customHeight="1">
      <c r="C24" s="1428" t="str">
        <f>IF(Indice_index!$Z$1=1,"Aquisição de Créditos","Credit acquisition")</f>
        <v>Credit acquisition</v>
      </c>
      <c r="D24" s="1429">
        <v>0</v>
      </c>
      <c r="E24" s="1429">
        <v>0</v>
      </c>
      <c r="F24" s="388"/>
      <c r="G24" s="1429">
        <v>0</v>
      </c>
      <c r="H24" s="1429">
        <v>0</v>
      </c>
      <c r="I24" s="388"/>
      <c r="J24" s="1429">
        <v>0</v>
      </c>
      <c r="K24" s="1440">
        <v>0</v>
      </c>
      <c r="L24" s="399"/>
      <c r="M24" s="400"/>
      <c r="N24" s="694"/>
      <c r="O24" s="399"/>
      <c r="P24" s="399"/>
      <c r="Q24" s="401"/>
      <c r="R24" s="401"/>
    </row>
    <row r="25" spans="3:19" s="389" customFormat="1" ht="15" customHeight="1">
      <c r="C25" s="1428" t="str">
        <f>IF(Indice_index!$Z$1=1,"Títulos de Curto Prazo","Short Term Bonds")</f>
        <v>Short Term Bonds</v>
      </c>
      <c r="D25" s="1429">
        <v>0</v>
      </c>
      <c r="E25" s="1429">
        <v>0</v>
      </c>
      <c r="F25" s="388"/>
      <c r="G25" s="1429">
        <v>0</v>
      </c>
      <c r="H25" s="1429">
        <v>0</v>
      </c>
      <c r="I25" s="388"/>
      <c r="J25" s="1429">
        <v>0</v>
      </c>
      <c r="K25" s="1440">
        <v>0</v>
      </c>
      <c r="L25" s="399"/>
      <c r="M25" s="400"/>
      <c r="N25" s="694"/>
      <c r="O25" s="399"/>
      <c r="P25" s="399"/>
      <c r="Q25" s="401"/>
      <c r="R25" s="401"/>
    </row>
    <row r="26" spans="3:19" s="389" customFormat="1" ht="15" customHeight="1">
      <c r="C26" s="1428" t="str">
        <f>IF(Indice_index!$Z$1=1,"Execução de garantias","Guarantees executions")</f>
        <v>Guarantees executions</v>
      </c>
      <c r="D26" s="1429">
        <v>14.31235051</v>
      </c>
      <c r="E26" s="1429">
        <v>127.97064899999999</v>
      </c>
      <c r="F26" s="388"/>
      <c r="G26" s="1429">
        <v>0.13871250000000002</v>
      </c>
      <c r="H26" s="1429">
        <v>9.1258310399999996</v>
      </c>
      <c r="I26" s="388"/>
      <c r="J26" s="1429">
        <v>10.351136650000001</v>
      </c>
      <c r="K26" s="1429">
        <v>8.088680280116419</v>
      </c>
      <c r="L26" s="399"/>
      <c r="M26" s="400"/>
      <c r="N26" s="694"/>
      <c r="O26" s="399"/>
      <c r="P26" s="399"/>
      <c r="Q26" s="401"/>
      <c r="R26" s="401"/>
    </row>
    <row r="27" spans="3:19" s="389" customFormat="1" ht="15" customHeight="1">
      <c r="C27" s="1428" t="str">
        <f>IF(Indice_index!$Z$1=1,"Expropriações","Expropriations")</f>
        <v>Expropriations</v>
      </c>
      <c r="D27" s="1429">
        <v>0</v>
      </c>
      <c r="E27" s="1429">
        <v>1</v>
      </c>
      <c r="F27" s="388"/>
      <c r="G27" s="1429">
        <v>0</v>
      </c>
      <c r="H27" s="1429">
        <v>0</v>
      </c>
      <c r="I27" s="388"/>
      <c r="J27" s="1429">
        <v>0</v>
      </c>
      <c r="K27" s="1429">
        <v>0</v>
      </c>
      <c r="L27" s="399"/>
      <c r="M27" s="400"/>
      <c r="N27" s="694"/>
      <c r="O27" s="399"/>
      <c r="P27" s="399"/>
      <c r="Q27" s="401"/>
      <c r="R27" s="401"/>
    </row>
    <row r="28" spans="3:19" s="389" customFormat="1" ht="15" customHeight="1">
      <c r="C28" s="1428" t="str">
        <f>IF(Indice_index!$Z$1=1,"Participações em organizações internacionais","International Organizations membership")</f>
        <v>International Organizations membership</v>
      </c>
      <c r="D28" s="1429">
        <v>1.8977506899999999</v>
      </c>
      <c r="E28" s="1429">
        <v>14.185141</v>
      </c>
      <c r="F28" s="388"/>
      <c r="G28" s="1429">
        <v>0.18500000000000005</v>
      </c>
      <c r="H28" s="1429">
        <v>-5.8033700000001964E-3</v>
      </c>
      <c r="I28" s="388"/>
      <c r="J28" s="1429">
        <v>1.9801667299999999</v>
      </c>
      <c r="K28" s="1429">
        <v>13.959443406308051</v>
      </c>
      <c r="L28" s="399"/>
      <c r="M28" s="400"/>
      <c r="N28" s="694"/>
      <c r="O28" s="399"/>
      <c r="P28" s="399"/>
      <c r="Q28" s="401"/>
      <c r="R28" s="401"/>
    </row>
    <row r="29" spans="3:19" s="389" customFormat="1" ht="15" customHeight="1">
      <c r="C29" s="1428" t="str">
        <f>IF(Indice_index!$Z$1=1,"Outros ativos","Others")</f>
        <v>Others</v>
      </c>
      <c r="D29" s="1429">
        <v>0</v>
      </c>
      <c r="E29" s="1429">
        <v>37.676518000000002</v>
      </c>
      <c r="F29" s="388"/>
      <c r="G29" s="1429">
        <v>0</v>
      </c>
      <c r="H29" s="1429">
        <v>0</v>
      </c>
      <c r="I29" s="388"/>
      <c r="J29" s="1429">
        <v>0</v>
      </c>
      <c r="K29" s="1429">
        <v>0</v>
      </c>
      <c r="L29" s="399"/>
      <c r="M29" s="400"/>
      <c r="N29" s="694"/>
      <c r="O29" s="399"/>
      <c r="P29" s="399"/>
      <c r="Q29" s="401"/>
      <c r="R29" s="401"/>
    </row>
    <row r="30" spans="3:19" s="389" customFormat="1" ht="4.5" customHeight="1">
      <c r="C30" s="1432"/>
      <c r="D30" s="1432"/>
      <c r="E30" s="1432"/>
      <c r="F30" s="388"/>
      <c r="G30" s="1432"/>
      <c r="H30" s="1432"/>
      <c r="I30" s="388"/>
      <c r="J30" s="1432"/>
      <c r="K30" s="1432"/>
      <c r="L30" s="399"/>
      <c r="M30" s="400"/>
      <c r="N30" s="694"/>
      <c r="O30" s="399"/>
      <c r="P30" s="399"/>
      <c r="Q30" s="401"/>
      <c r="R30" s="401"/>
      <c r="S30" s="403"/>
    </row>
    <row r="31" spans="3:19" s="389" customFormat="1" ht="15" customHeight="1">
      <c r="C31" s="1433" t="str">
        <f>IF(Indice_index!$Z$1=1,"Total dos ativos financeiros","Financial Assets - Total")</f>
        <v>Financial Assets - Total</v>
      </c>
      <c r="D31" s="1434">
        <v>4944.9884909500006</v>
      </c>
      <c r="E31" s="1434">
        <v>11318.238860000001</v>
      </c>
      <c r="F31" s="388"/>
      <c r="G31" s="1434">
        <v>44.267748699999977</v>
      </c>
      <c r="H31" s="1434">
        <v>385.00906883999971</v>
      </c>
      <c r="I31" s="388"/>
      <c r="J31" s="1434">
        <v>1882.2350377399998</v>
      </c>
      <c r="K31" s="1434">
        <v>16.630105275406777</v>
      </c>
      <c r="L31" s="399"/>
      <c r="M31" s="400"/>
      <c r="N31" s="694"/>
      <c r="O31" s="399"/>
      <c r="P31" s="399"/>
      <c r="Q31" s="401"/>
      <c r="R31" s="401"/>
      <c r="S31" s="401"/>
    </row>
    <row r="32" spans="3:19" ht="4.5" customHeight="1">
      <c r="C32" s="1435"/>
      <c r="D32" s="398"/>
      <c r="E32" s="398"/>
      <c r="G32" s="398"/>
      <c r="H32" s="398"/>
      <c r="J32" s="398"/>
      <c r="K32" s="398"/>
      <c r="L32" s="399"/>
      <c r="M32" s="400"/>
      <c r="N32" s="694"/>
      <c r="O32" s="398"/>
      <c r="P32" s="398"/>
      <c r="Q32" s="398"/>
      <c r="R32" s="398"/>
    </row>
    <row r="33" spans="3:16" ht="15" customHeight="1">
      <c r="C33" s="1436" t="str">
        <f>IF(Indice_index!$Z$1=1,"Fonte: Ministério das Finanças","Source: Ministry of Finance")</f>
        <v>Source: Ministry of Finance</v>
      </c>
      <c r="D33" s="137"/>
      <c r="E33" s="137"/>
      <c r="G33" s="330"/>
      <c r="H33" s="330"/>
      <c r="J33" s="330"/>
      <c r="K33" s="330"/>
      <c r="L33" s="404"/>
      <c r="M33" s="404"/>
      <c r="N33" s="694"/>
      <c r="O33" s="404"/>
      <c r="P33" s="404"/>
    </row>
    <row r="34" spans="3:16">
      <c r="C34" s="137"/>
      <c r="D34" s="137"/>
      <c r="E34" s="137"/>
      <c r="F34" s="406"/>
      <c r="G34" s="137"/>
      <c r="H34" s="137"/>
      <c r="I34" s="406"/>
      <c r="J34" s="137"/>
      <c r="K34" s="137"/>
      <c r="L34" s="404"/>
      <c r="M34" s="404"/>
      <c r="N34" s="405"/>
      <c r="O34" s="404"/>
      <c r="P34" s="404"/>
    </row>
    <row r="35" spans="3:16">
      <c r="C35" s="137"/>
      <c r="D35" s="137"/>
      <c r="E35" s="137"/>
      <c r="F35" s="406"/>
      <c r="G35" s="137"/>
      <c r="H35" s="137"/>
      <c r="I35" s="406"/>
      <c r="J35" s="137"/>
      <c r="K35" s="137"/>
      <c r="L35" s="404"/>
      <c r="M35" s="404"/>
      <c r="N35" s="405"/>
      <c r="O35" s="404"/>
      <c r="P35" s="404"/>
    </row>
    <row r="36" spans="3:16">
      <c r="C36" s="137"/>
      <c r="D36" s="137"/>
      <c r="E36" s="137"/>
      <c r="F36" s="406"/>
      <c r="G36" s="137"/>
      <c r="H36" s="137"/>
      <c r="I36" s="406"/>
      <c r="J36" s="137"/>
      <c r="K36" s="137"/>
      <c r="L36" s="404"/>
      <c r="M36" s="404"/>
      <c r="N36" s="407"/>
      <c r="O36" s="404"/>
      <c r="P36" s="404"/>
    </row>
    <row r="37" spans="3:16">
      <c r="C37" s="137"/>
      <c r="D37" s="137"/>
      <c r="E37" s="137"/>
      <c r="F37" s="406"/>
      <c r="G37" s="137"/>
      <c r="H37" s="137"/>
      <c r="I37" s="406"/>
      <c r="J37" s="137"/>
      <c r="K37" s="137"/>
      <c r="L37" s="398"/>
      <c r="M37" s="398"/>
      <c r="N37" s="398"/>
      <c r="O37" s="398"/>
      <c r="P37" s="398"/>
    </row>
    <row r="38" spans="3:16">
      <c r="C38" s="137"/>
      <c r="D38" s="137"/>
      <c r="E38" s="137"/>
      <c r="F38" s="406"/>
      <c r="G38" s="137"/>
      <c r="H38" s="137"/>
      <c r="I38" s="406"/>
      <c r="J38" s="137"/>
      <c r="K38" s="137"/>
      <c r="L38" s="404"/>
      <c r="M38" s="404"/>
      <c r="N38" s="408"/>
      <c r="O38" s="404"/>
      <c r="P38" s="404"/>
    </row>
    <row r="39" spans="3:16">
      <c r="F39" s="406"/>
      <c r="I39" s="406"/>
      <c r="L39" s="404"/>
      <c r="M39" s="404"/>
      <c r="N39" s="404"/>
      <c r="O39" s="404"/>
      <c r="P39" s="404"/>
    </row>
    <row r="40" spans="3:16">
      <c r="F40" s="406"/>
      <c r="I40" s="406"/>
      <c r="L40" s="404"/>
      <c r="M40" s="404"/>
      <c r="N40" s="407"/>
      <c r="O40" s="404"/>
      <c r="P40" s="404"/>
    </row>
    <row r="41" spans="3:16">
      <c r="F41" s="406"/>
      <c r="I41" s="406"/>
      <c r="L41" s="404"/>
      <c r="M41" s="404"/>
      <c r="N41" s="407"/>
      <c r="O41" s="404"/>
      <c r="P41" s="404"/>
    </row>
    <row r="42" spans="3:16">
      <c r="F42" s="406"/>
      <c r="I42" s="406"/>
      <c r="L42" s="404"/>
      <c r="M42" s="404"/>
      <c r="N42" s="407"/>
      <c r="O42" s="404"/>
      <c r="P42" s="404"/>
    </row>
    <row r="43" spans="3:16">
      <c r="F43" s="406"/>
      <c r="I43" s="406"/>
      <c r="L43" s="404"/>
      <c r="M43" s="404"/>
      <c r="N43" s="408"/>
      <c r="O43" s="404"/>
      <c r="P43" s="404"/>
    </row>
    <row r="44" spans="3:16">
      <c r="F44" s="406"/>
      <c r="I44" s="406"/>
      <c r="L44" s="404"/>
      <c r="M44" s="404"/>
      <c r="N44" s="408"/>
      <c r="O44" s="404"/>
      <c r="P44" s="404"/>
    </row>
    <row r="45" spans="3:16">
      <c r="F45" s="406"/>
      <c r="I45" s="406"/>
      <c r="L45" s="404"/>
      <c r="M45" s="404"/>
      <c r="N45" s="404"/>
      <c r="O45" s="404"/>
      <c r="P45" s="404"/>
    </row>
    <row r="46" spans="3:16">
      <c r="F46" s="406"/>
      <c r="I46" s="406"/>
      <c r="L46" s="404"/>
      <c r="M46" s="404"/>
      <c r="N46" s="408"/>
      <c r="O46" s="404"/>
      <c r="P46" s="404"/>
    </row>
    <row r="47" spans="3:16">
      <c r="F47" s="406"/>
      <c r="I47" s="406"/>
      <c r="L47" s="404"/>
      <c r="M47" s="404"/>
      <c r="N47" s="408"/>
      <c r="O47" s="404"/>
      <c r="P47" s="404"/>
    </row>
    <row r="48" spans="3:16">
      <c r="F48" s="406"/>
      <c r="I48" s="406"/>
      <c r="L48" s="404"/>
      <c r="M48" s="404"/>
      <c r="N48" s="408"/>
      <c r="O48" s="404"/>
      <c r="P48" s="404"/>
    </row>
    <row r="49" spans="6:18">
      <c r="F49" s="406"/>
      <c r="I49" s="406"/>
      <c r="L49" s="404"/>
      <c r="M49" s="404"/>
      <c r="N49" s="408"/>
      <c r="O49" s="404"/>
      <c r="P49" s="404"/>
    </row>
    <row r="50" spans="6:18">
      <c r="F50" s="406"/>
      <c r="I50" s="406"/>
      <c r="L50" s="404"/>
      <c r="M50" s="404"/>
      <c r="N50" s="408"/>
      <c r="O50" s="404"/>
      <c r="P50" s="404"/>
    </row>
    <row r="51" spans="6:18">
      <c r="F51" s="406"/>
      <c r="I51" s="406"/>
      <c r="L51" s="404"/>
      <c r="M51" s="404"/>
      <c r="N51" s="408"/>
      <c r="O51" s="404"/>
      <c r="P51" s="404"/>
    </row>
    <row r="52" spans="6:18">
      <c r="L52" s="404"/>
      <c r="M52" s="404"/>
      <c r="N52" s="408"/>
      <c r="O52" s="404"/>
      <c r="P52" s="404"/>
    </row>
    <row r="53" spans="6:18">
      <c r="F53" s="406"/>
      <c r="G53" s="409"/>
      <c r="H53" s="409"/>
      <c r="I53" s="406"/>
      <c r="J53" s="409"/>
      <c r="K53" s="409"/>
      <c r="L53" s="404"/>
      <c r="M53" s="404"/>
      <c r="N53" s="408"/>
      <c r="O53" s="404"/>
      <c r="P53" s="404"/>
    </row>
    <row r="54" spans="6:18">
      <c r="F54" s="406"/>
      <c r="I54" s="406"/>
      <c r="L54" s="404"/>
      <c r="M54" s="404"/>
      <c r="N54" s="408"/>
      <c r="O54" s="404"/>
      <c r="P54" s="404"/>
    </row>
    <row r="55" spans="6:18">
      <c r="F55" s="406"/>
      <c r="I55" s="406"/>
      <c r="L55" s="404"/>
      <c r="M55" s="404"/>
      <c r="N55" s="408"/>
      <c r="O55" s="404"/>
      <c r="P55" s="404"/>
    </row>
    <row r="56" spans="6:18">
      <c r="F56" s="406"/>
      <c r="I56" s="406"/>
      <c r="L56" s="398"/>
      <c r="M56" s="398"/>
      <c r="N56" s="398"/>
      <c r="O56" s="398"/>
      <c r="P56" s="398"/>
    </row>
    <row r="57" spans="6:18">
      <c r="F57" s="406"/>
      <c r="I57" s="406"/>
      <c r="L57" s="404"/>
      <c r="M57" s="404"/>
      <c r="N57" s="408"/>
      <c r="O57" s="404"/>
      <c r="P57" s="404"/>
    </row>
    <row r="58" spans="6:18">
      <c r="F58" s="406"/>
      <c r="I58" s="406"/>
      <c r="L58" s="404"/>
      <c r="M58" s="404"/>
      <c r="N58" s="408"/>
      <c r="O58" s="404"/>
      <c r="P58" s="404"/>
    </row>
    <row r="59" spans="6:18">
      <c r="F59" s="406"/>
      <c r="I59" s="406"/>
      <c r="L59" s="398"/>
      <c r="M59" s="398"/>
      <c r="N59" s="398"/>
      <c r="O59" s="398"/>
      <c r="P59" s="398"/>
    </row>
    <row r="60" spans="6:18">
      <c r="F60" s="406"/>
      <c r="I60" s="406"/>
      <c r="L60" s="404"/>
      <c r="M60" s="404"/>
      <c r="N60" s="407"/>
      <c r="O60" s="404"/>
      <c r="P60" s="404"/>
    </row>
    <row r="61" spans="6:18">
      <c r="F61" s="406"/>
      <c r="I61" s="406"/>
      <c r="L61" s="137"/>
      <c r="M61" s="137"/>
      <c r="N61" s="137"/>
      <c r="O61" s="137"/>
      <c r="P61" s="137"/>
      <c r="Q61" s="137"/>
      <c r="R61" s="137"/>
    </row>
    <row r="62" spans="6:18">
      <c r="F62" s="406"/>
      <c r="I62" s="406"/>
      <c r="L62" s="137"/>
      <c r="M62" s="137"/>
      <c r="N62" s="137"/>
      <c r="O62" s="137"/>
      <c r="P62" s="137"/>
      <c r="Q62" s="137"/>
      <c r="R62" s="137"/>
    </row>
    <row r="63" spans="6:18">
      <c r="F63" s="406"/>
      <c r="I63" s="406"/>
      <c r="L63" s="137"/>
      <c r="M63" s="137"/>
      <c r="N63" s="137"/>
      <c r="O63" s="137"/>
      <c r="P63" s="137"/>
      <c r="Q63" s="137"/>
      <c r="R63" s="137"/>
    </row>
    <row r="64" spans="6:18">
      <c r="F64" s="406"/>
      <c r="I64" s="406"/>
      <c r="L64" s="137"/>
      <c r="M64" s="137"/>
      <c r="N64" s="137"/>
      <c r="O64" s="137"/>
      <c r="P64" s="137"/>
      <c r="Q64" s="137"/>
      <c r="R64" s="137"/>
    </row>
    <row r="65" spans="6:18">
      <c r="F65" s="406"/>
      <c r="I65" s="406"/>
      <c r="L65" s="137"/>
      <c r="M65" s="137"/>
      <c r="N65" s="137"/>
      <c r="O65" s="137"/>
      <c r="P65" s="137"/>
      <c r="Q65" s="137"/>
      <c r="R65" s="137"/>
    </row>
    <row r="66" spans="6:18">
      <c r="F66" s="406"/>
      <c r="I66" s="406"/>
      <c r="L66" s="137"/>
      <c r="M66" s="137"/>
      <c r="N66" s="137"/>
      <c r="O66" s="137"/>
      <c r="P66" s="137"/>
      <c r="Q66" s="137"/>
      <c r="R66" s="137"/>
    </row>
    <row r="67" spans="6:18">
      <c r="F67" s="406"/>
      <c r="I67" s="406"/>
      <c r="L67" s="137"/>
      <c r="M67" s="137"/>
      <c r="N67" s="137"/>
      <c r="O67" s="137"/>
      <c r="P67" s="137"/>
      <c r="Q67" s="137"/>
      <c r="R67" s="137"/>
    </row>
    <row r="68" spans="6:18">
      <c r="F68" s="406"/>
      <c r="I68" s="406"/>
      <c r="L68" s="137"/>
      <c r="M68" s="137"/>
      <c r="N68" s="137"/>
      <c r="O68" s="137"/>
      <c r="P68" s="137"/>
      <c r="Q68" s="137"/>
      <c r="R68" s="137"/>
    </row>
    <row r="69" spans="6:18">
      <c r="F69" s="406"/>
      <c r="I69" s="406"/>
      <c r="L69" s="137"/>
      <c r="M69" s="137"/>
      <c r="N69" s="137"/>
      <c r="O69" s="137"/>
      <c r="P69" s="137"/>
      <c r="Q69" s="137"/>
      <c r="R69" s="137"/>
    </row>
    <row r="70" spans="6:18">
      <c r="F70" s="406"/>
      <c r="I70" s="406"/>
      <c r="L70" s="137"/>
      <c r="M70" s="137"/>
      <c r="N70" s="137"/>
      <c r="O70" s="137"/>
      <c r="P70" s="137"/>
      <c r="Q70" s="137"/>
      <c r="R70" s="137"/>
    </row>
    <row r="71" spans="6:18">
      <c r="F71" s="406"/>
      <c r="I71" s="406"/>
    </row>
    <row r="72" spans="6:18">
      <c r="F72" s="406"/>
      <c r="I72" s="406"/>
    </row>
    <row r="73" spans="6:18">
      <c r="F73" s="406"/>
      <c r="I73" s="406"/>
    </row>
    <row r="74" spans="6:18">
      <c r="F74" s="406"/>
      <c r="I74" s="406"/>
    </row>
    <row r="75" spans="6:18">
      <c r="F75" s="406"/>
      <c r="I75" s="406"/>
    </row>
  </sheetData>
  <mergeCells count="2">
    <mergeCell ref="G6:H6"/>
    <mergeCell ref="K6:K7"/>
  </mergeCells>
  <conditionalFormatting sqref="O24:P31 L9:P9 N10:P10 O11:P22 N11:N33 L10:M32">
    <cfRule type="cellIs" dxfId="116" priority="14" operator="notEqual">
      <formula>0</formula>
    </cfRule>
  </conditionalFormatting>
  <conditionalFormatting sqref="O23:P23">
    <cfRule type="cellIs" dxfId="115" priority="11" operator="notEqual">
      <formula>0</formula>
    </cfRule>
  </conditionalFormatting>
  <conditionalFormatting sqref="I53:I75">
    <cfRule type="cellIs" dxfId="114" priority="6" operator="notEqual">
      <formula>0</formula>
    </cfRule>
  </conditionalFormatting>
  <conditionalFormatting sqref="I34:I51">
    <cfRule type="cellIs" dxfId="113" priority="5" operator="notEqual">
      <formula>0</formula>
    </cfRule>
  </conditionalFormatting>
  <conditionalFormatting sqref="F53:F75">
    <cfRule type="cellIs" dxfId="112" priority="2" operator="notEqual">
      <formula>0</formula>
    </cfRule>
  </conditionalFormatting>
  <conditionalFormatting sqref="F34:F51">
    <cfRule type="cellIs" dxfId="111" priority="1" operator="notEqual">
      <formula>0</formula>
    </cfRule>
  </conditionalFormatting>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F7 J7" numberStoredAsText="1"/>
    <ignoredError sqref="D6:E6" unlockedFormula="1"/>
    <ignoredError sqref="D7:E7" numberStoredAsText="1" unlockedFormula="1"/>
  </ignoredError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1"/>
  <dimension ref="B1:Z269"/>
  <sheetViews>
    <sheetView showGridLines="0" zoomScaleNormal="100" zoomScaleSheetLayoutView="100" workbookViewId="0">
      <selection activeCell="B2" sqref="B2"/>
    </sheetView>
  </sheetViews>
  <sheetFormatPr defaultColWidth="9.1796875" defaultRowHeight="10.5"/>
  <cols>
    <col min="1" max="1" width="2.453125" style="426" customWidth="1"/>
    <col min="2" max="2" width="4.453125" style="426" customWidth="1"/>
    <col min="3" max="3" width="56.54296875" style="426" customWidth="1"/>
    <col min="4" max="7" width="9.54296875" style="426" customWidth="1"/>
    <col min="8" max="14" width="8.54296875" style="426" customWidth="1"/>
    <col min="15" max="16384" width="9.1796875" style="426"/>
  </cols>
  <sheetData>
    <row r="1" spans="2:18" s="4" customFormat="1" ht="15" customHeight="1">
      <c r="B1" s="427"/>
      <c r="H1" s="428"/>
      <c r="I1" s="428"/>
    </row>
    <row r="2" spans="2:18" ht="24" customHeight="1">
      <c r="B2" s="8"/>
      <c r="C2" s="331" t="str">
        <f>IF(Indice_index!$Z$1=1,"17 - Execução Financeira Consolidada do Serviço Nacional de Saúde","17 - National Health Service Consolidated Financial Execution")</f>
        <v>17 - National Health Service Consolidated Financial Execution</v>
      </c>
      <c r="D2" s="331"/>
      <c r="E2" s="658"/>
      <c r="F2" s="331"/>
      <c r="G2" s="331"/>
      <c r="H2" s="331"/>
      <c r="I2" s="331"/>
    </row>
    <row r="3" spans="2:18" s="424" customFormat="1" ht="15" customHeight="1">
      <c r="B3" s="428"/>
      <c r="C3" s="429"/>
      <c r="H3" s="428"/>
      <c r="I3" s="428"/>
    </row>
    <row r="4" spans="2:18" s="424" customFormat="1" ht="15" customHeight="1">
      <c r="B4" s="428"/>
      <c r="C4" s="430"/>
      <c r="H4" s="428"/>
      <c r="I4" s="428"/>
    </row>
    <row r="5" spans="2:18" s="432" customFormat="1" ht="15" customHeight="1">
      <c r="B5" s="431"/>
      <c r="C5" s="866" t="str">
        <f>+'5 - Conta AC + SS'!C5</f>
        <v>Period: January to November</v>
      </c>
      <c r="D5" s="1621"/>
      <c r="E5" s="425"/>
      <c r="F5" s="1621"/>
      <c r="G5" s="1621"/>
      <c r="H5" s="1622"/>
      <c r="I5" s="1623" t="str">
        <f>IF(Indice_index!$Z$1=1,"€ Milhões","€ Millions")</f>
        <v>€ Millions</v>
      </c>
    </row>
    <row r="6" spans="2:18" s="424" customFormat="1" ht="27.75" customHeight="1">
      <c r="B6" s="428"/>
      <c r="C6" s="1624"/>
      <c r="D6" s="1625" t="str">
        <f>IF(Indice_index!$Z$1=1,"Execução Provisória","Provisional execution")</f>
        <v>Provisional execution</v>
      </c>
      <c r="E6" s="1626" t="str">
        <f>IF(Indice_index!$Z$1=1,"Orçamento Inicial","Budget")</f>
        <v>Budget</v>
      </c>
      <c r="F6" s="1758" t="str">
        <f>IF(Indice_index!$Z$1=1,"Execução Acumulada","Accumulated Execution")</f>
        <v>Accumulated Execution</v>
      </c>
      <c r="G6" s="1758"/>
      <c r="H6" s="1759" t="str">
        <f>IF(Indice_index!$Z$1=1,"Variação Homóloga Acumulada","YOY Change Rate")</f>
        <v>YOY Change Rate</v>
      </c>
      <c r="I6" s="1760"/>
      <c r="K6" s="137"/>
      <c r="L6" s="137"/>
      <c r="M6" s="137"/>
    </row>
    <row r="7" spans="2:18" s="424" customFormat="1" ht="21">
      <c r="B7" s="428"/>
      <c r="C7" s="1627"/>
      <c r="D7" s="1628">
        <v>2021</v>
      </c>
      <c r="E7" s="1629">
        <v>2022</v>
      </c>
      <c r="F7" s="1628">
        <v>2021</v>
      </c>
      <c r="G7" s="1628">
        <v>2022</v>
      </c>
      <c r="H7" s="1630" t="str">
        <f>IF(Indice_index!$Z$1=1,"TVH (%)","YOY Change Rate (%)")</f>
        <v>YOY Change Rate (%)</v>
      </c>
      <c r="I7" s="1631" t="str">
        <f>IF(Indice_index!$Z$1=1,"Contributo VH (p.p.)","YOY Change Contrib. (p.p.)")</f>
        <v>YOY Change Contrib. (p.p.)</v>
      </c>
      <c r="K7" s="137"/>
      <c r="L7" s="137"/>
      <c r="M7" s="137"/>
    </row>
    <row r="8" spans="2:18" s="396" customFormat="1" ht="4.5" customHeight="1">
      <c r="C8" s="1427"/>
      <c r="D8" s="397"/>
      <c r="E8" s="397"/>
      <c r="F8" s="397"/>
      <c r="H8" s="4"/>
      <c r="J8" s="459"/>
    </row>
    <row r="9" spans="2:18" s="432" customFormat="1" ht="15" customHeight="1">
      <c r="B9" s="431"/>
      <c r="C9" s="1632" t="str">
        <f>IF(Indice_index!$Z$1=1,"Receita corrente","Current revenue")</f>
        <v>Current revenue</v>
      </c>
      <c r="D9" s="1612">
        <v>11210.546105580001</v>
      </c>
      <c r="E9" s="1633">
        <v>12010.199999999999</v>
      </c>
      <c r="F9" s="1612">
        <v>10445.246105579999</v>
      </c>
      <c r="G9" s="1612">
        <v>11279.839085690001</v>
      </c>
      <c r="H9" s="1634">
        <f t="shared" ref="H9:H15" si="0">IF(F9=0,"-",((G9/F9)-1)*100)</f>
        <v>7.9901705682563939</v>
      </c>
      <c r="I9" s="1634">
        <f t="shared" ref="I9:I15" si="1">IFERROR((G9-F9)/$F$17*100,"-")</f>
        <v>7.9511957829833877</v>
      </c>
      <c r="J9" s="433"/>
      <c r="K9" s="433"/>
      <c r="L9" s="433"/>
      <c r="M9" s="433"/>
      <c r="N9" s="433"/>
      <c r="O9" s="433"/>
      <c r="P9" s="433"/>
      <c r="Q9" s="433"/>
      <c r="R9" s="433"/>
    </row>
    <row r="10" spans="2:18" s="424" customFormat="1" ht="15" customHeight="1">
      <c r="B10" s="428"/>
      <c r="C10" s="1635" t="str">
        <f>IF(Indice_index!$Z$1=1,"Receita fiscal","Tax")</f>
        <v>Tax</v>
      </c>
      <c r="D10" s="1613">
        <v>105.4</v>
      </c>
      <c r="E10" s="1613">
        <v>110.6</v>
      </c>
      <c r="F10" s="1613">
        <v>103</v>
      </c>
      <c r="G10" s="1613">
        <v>135.9</v>
      </c>
      <c r="H10" s="1636">
        <f t="shared" si="0"/>
        <v>31.941747572815537</v>
      </c>
      <c r="I10" s="1637">
        <f t="shared" si="1"/>
        <v>0.31343942196311647</v>
      </c>
      <c r="J10" s="434"/>
      <c r="K10" s="434"/>
      <c r="L10" s="434"/>
      <c r="M10" s="434"/>
      <c r="N10" s="434"/>
      <c r="O10" s="434"/>
      <c r="P10" s="434"/>
      <c r="Q10" s="434"/>
      <c r="R10" s="434"/>
    </row>
    <row r="11" spans="2:18" s="424" customFormat="1" ht="15" customHeight="1">
      <c r="B11" s="428"/>
      <c r="C11" s="1638" t="str">
        <f>IF(Indice_index!$Z$1=1,"Impostos diretos","Direct taxes")</f>
        <v>Direct taxes</v>
      </c>
      <c r="D11" s="1613">
        <v>0</v>
      </c>
      <c r="E11" s="1613">
        <v>0</v>
      </c>
      <c r="F11" s="1613">
        <v>0</v>
      </c>
      <c r="G11" s="1613">
        <v>0</v>
      </c>
      <c r="H11" s="1636" t="str">
        <f t="shared" si="0"/>
        <v>-</v>
      </c>
      <c r="I11" s="1637">
        <f t="shared" si="1"/>
        <v>0</v>
      </c>
      <c r="J11" s="434"/>
      <c r="K11" s="434"/>
      <c r="L11" s="434"/>
      <c r="M11" s="434"/>
      <c r="N11" s="434"/>
      <c r="O11" s="434"/>
      <c r="P11" s="434"/>
      <c r="Q11" s="434"/>
      <c r="R11" s="434"/>
    </row>
    <row r="12" spans="2:18" s="424" customFormat="1" ht="15" customHeight="1">
      <c r="B12" s="428"/>
      <c r="C12" s="1638" t="str">
        <f>IF(Indice_index!$Z$1=1,"Impostos indiretos","Indirect taxes")</f>
        <v>Indirect taxes</v>
      </c>
      <c r="D12" s="1613">
        <v>105.4</v>
      </c>
      <c r="E12" s="1613">
        <v>110.6</v>
      </c>
      <c r="F12" s="1613">
        <v>103</v>
      </c>
      <c r="G12" s="1613">
        <v>135.9</v>
      </c>
      <c r="H12" s="1636">
        <f t="shared" si="0"/>
        <v>31.941747572815537</v>
      </c>
      <c r="I12" s="1637">
        <f t="shared" si="1"/>
        <v>0.31343942196311647</v>
      </c>
      <c r="J12" s="434"/>
      <c r="K12" s="434"/>
      <c r="L12" s="434"/>
      <c r="M12" s="434"/>
      <c r="N12" s="434"/>
      <c r="O12" s="434"/>
      <c r="P12" s="434"/>
      <c r="Q12" s="434"/>
      <c r="R12" s="434"/>
    </row>
    <row r="13" spans="2:18" s="424" customFormat="1" ht="15" customHeight="1">
      <c r="B13" s="428"/>
      <c r="C13" s="1639" t="str">
        <f>IF(Indice_index!$Z$1=1,"Contribuições de Segurança Social","Social security contributions")</f>
        <v>Social security contributions</v>
      </c>
      <c r="D13" s="1614">
        <v>0</v>
      </c>
      <c r="E13" s="1614">
        <v>0</v>
      </c>
      <c r="F13" s="1614">
        <v>0</v>
      </c>
      <c r="G13" s="1614">
        <v>0</v>
      </c>
      <c r="H13" s="1636" t="str">
        <f t="shared" si="0"/>
        <v>-</v>
      </c>
      <c r="I13" s="1637">
        <f t="shared" si="1"/>
        <v>0</v>
      </c>
      <c r="J13" s="434"/>
      <c r="K13" s="434"/>
      <c r="L13" s="434"/>
      <c r="M13" s="434"/>
      <c r="N13" s="434"/>
      <c r="O13" s="434"/>
      <c r="P13" s="434"/>
      <c r="Q13" s="434"/>
      <c r="R13" s="434"/>
    </row>
    <row r="14" spans="2:18" s="424" customFormat="1" ht="15" customHeight="1">
      <c r="B14" s="428"/>
      <c r="C14" s="1639" t="str">
        <f>IF(Indice_index!$Z$1=1,"Outras receitas correntes","Other current revenue")</f>
        <v>Other current revenue</v>
      </c>
      <c r="D14" s="1613">
        <v>11105.146105580001</v>
      </c>
      <c r="E14" s="1613">
        <v>11899.599999999999</v>
      </c>
      <c r="F14" s="1613">
        <v>10342.246105579999</v>
      </c>
      <c r="G14" s="1613">
        <v>11143.939085690001</v>
      </c>
      <c r="H14" s="1637">
        <f t="shared" si="0"/>
        <v>7.7516331745138167</v>
      </c>
      <c r="I14" s="1637">
        <f t="shared" si="1"/>
        <v>7.6377563610202746</v>
      </c>
      <c r="J14" s="434"/>
      <c r="K14" s="434"/>
      <c r="L14" s="434"/>
      <c r="M14" s="434"/>
      <c r="N14" s="434"/>
      <c r="O14" s="434"/>
      <c r="P14" s="434"/>
      <c r="Q14" s="434"/>
      <c r="R14" s="434"/>
    </row>
    <row r="15" spans="2:18" s="432" customFormat="1" ht="15" customHeight="1">
      <c r="B15" s="431"/>
      <c r="C15" s="1632" t="str">
        <f>IF(Indice_index!$Z$1=1,"Receita de capital","Capital revenue")</f>
        <v>Capital revenue</v>
      </c>
      <c r="D15" s="1615">
        <v>76.199999999999989</v>
      </c>
      <c r="E15" s="1640">
        <v>281.17613014</v>
      </c>
      <c r="F15" s="1615">
        <v>51.199999999999996</v>
      </c>
      <c r="G15" s="1615">
        <v>57.199999999999996</v>
      </c>
      <c r="H15" s="1641">
        <f t="shared" si="0"/>
        <v>11.71875</v>
      </c>
      <c r="I15" s="1634">
        <f t="shared" si="1"/>
        <v>5.7162204613334308E-2</v>
      </c>
      <c r="J15" s="433"/>
      <c r="K15" s="433"/>
      <c r="L15" s="433"/>
      <c r="M15" s="433"/>
      <c r="N15" s="433"/>
      <c r="O15" s="433"/>
      <c r="P15" s="433"/>
      <c r="Q15" s="433"/>
      <c r="R15" s="433"/>
    </row>
    <row r="16" spans="2:18" s="424" customFormat="1" ht="4.5" customHeight="1">
      <c r="B16" s="428"/>
      <c r="C16" s="1642"/>
      <c r="D16" s="1613"/>
      <c r="E16" s="1613"/>
      <c r="F16" s="1613"/>
      <c r="G16" s="1613"/>
      <c r="H16" s="1634"/>
      <c r="I16" s="1634"/>
      <c r="J16" s="434"/>
      <c r="K16" s="434"/>
      <c r="L16" s="434"/>
      <c r="M16" s="434"/>
      <c r="N16" s="434"/>
      <c r="O16" s="434"/>
      <c r="P16" s="434"/>
      <c r="Q16" s="434"/>
      <c r="R16" s="434"/>
    </row>
    <row r="17" spans="2:18" s="432" customFormat="1" ht="15" customHeight="1">
      <c r="B17" s="431"/>
      <c r="C17" s="1632" t="str">
        <f>IF(Indice_index!$Z$1=1,"Receita efetiva","Effective revenue")</f>
        <v>Effective revenue</v>
      </c>
      <c r="D17" s="1615">
        <v>11286.746105580001</v>
      </c>
      <c r="E17" s="1640">
        <v>12291.376130139999</v>
      </c>
      <c r="F17" s="1615">
        <v>10496.44610558</v>
      </c>
      <c r="G17" s="1615">
        <v>11337.039085690001</v>
      </c>
      <c r="H17" s="1634">
        <f>IF(F17=0,"-",((G17/F17)-1)*100)</f>
        <v>8.0083579875967139</v>
      </c>
      <c r="I17" s="1634"/>
      <c r="J17" s="433"/>
      <c r="K17" s="433"/>
      <c r="L17" s="433"/>
      <c r="M17" s="433"/>
      <c r="N17" s="433"/>
      <c r="O17" s="433"/>
      <c r="P17" s="433"/>
      <c r="Q17" s="433"/>
      <c r="R17" s="433"/>
    </row>
    <row r="18" spans="2:18" s="424" customFormat="1" ht="4.5" customHeight="1">
      <c r="B18" s="428"/>
      <c r="C18" s="1643"/>
      <c r="D18" s="1612"/>
      <c r="E18" s="1633"/>
      <c r="F18" s="1612"/>
      <c r="G18" s="1612"/>
      <c r="H18" s="1637"/>
      <c r="I18" s="1637"/>
      <c r="J18" s="434"/>
      <c r="K18" s="434"/>
      <c r="L18" s="434"/>
      <c r="M18" s="434"/>
      <c r="N18" s="434"/>
      <c r="O18" s="434"/>
      <c r="P18" s="434"/>
      <c r="Q18" s="434"/>
      <c r="R18" s="434"/>
    </row>
    <row r="19" spans="2:18" s="432" customFormat="1" ht="15" customHeight="1">
      <c r="B19" s="431"/>
      <c r="C19" s="1632" t="str">
        <f>IF(Indice_index!$Z$1=1,"Despesa corrente","Current expenditure")</f>
        <v>Current expenditure</v>
      </c>
      <c r="D19" s="1615">
        <v>12153.800000000001</v>
      </c>
      <c r="E19" s="1640">
        <v>12996.800000000001</v>
      </c>
      <c r="F19" s="1615">
        <v>10951</v>
      </c>
      <c r="G19" s="1615">
        <v>11587.800000000001</v>
      </c>
      <c r="H19" s="1634">
        <f t="shared" ref="H19:H36" si="2">IF(F19=0,"-",((G19/F19)-1)*100)</f>
        <v>5.8149940644690146</v>
      </c>
      <c r="I19" s="1634">
        <f>IFERROR((G19-F19)/$F$38*100,"-")</f>
        <v>5.7245080500894554</v>
      </c>
      <c r="J19" s="433"/>
      <c r="K19" s="433"/>
      <c r="L19" s="433"/>
      <c r="M19" s="433"/>
      <c r="N19" s="433"/>
      <c r="O19" s="433"/>
      <c r="P19" s="433"/>
      <c r="Q19" s="433"/>
      <c r="R19" s="433"/>
    </row>
    <row r="20" spans="2:18" s="424" customFormat="1" ht="15" customHeight="1">
      <c r="B20" s="428"/>
      <c r="C20" s="1639" t="str">
        <f>IF(Indice_index!$Z$1=1,"Despesas com o pessoal","Employees")</f>
        <v>Employees</v>
      </c>
      <c r="D20" s="1613">
        <v>5060.4000000000005</v>
      </c>
      <c r="E20" s="1613">
        <v>5247.9</v>
      </c>
      <c r="F20" s="1613">
        <v>4611</v>
      </c>
      <c r="G20" s="1613">
        <v>4809.6000000000004</v>
      </c>
      <c r="H20" s="1637">
        <f t="shared" si="2"/>
        <v>4.3070917371502926</v>
      </c>
      <c r="I20" s="1637">
        <f>IFERROR((G20-F20)/$F$38*100,"-")</f>
        <v>1.7853129691390797</v>
      </c>
      <c r="J20" s="434"/>
      <c r="K20" s="434"/>
      <c r="L20" s="434"/>
      <c r="M20" s="434"/>
      <c r="N20" s="434"/>
      <c r="O20" s="434"/>
      <c r="P20" s="434"/>
      <c r="Q20" s="434"/>
      <c r="R20" s="434"/>
    </row>
    <row r="21" spans="2:18" s="424" customFormat="1" ht="15" customHeight="1">
      <c r="B21" s="428"/>
      <c r="C21" s="1644" t="str">
        <f>IF(Indice_index!$Z$1=1,"Remunerações Certas e Permanentes","Certain and permanent wages")</f>
        <v>Certain and permanent wages</v>
      </c>
      <c r="D21" s="1616">
        <v>3284.1</v>
      </c>
      <c r="E21" s="1616">
        <v>3431.7999999999997</v>
      </c>
      <c r="F21" s="1616">
        <v>2998.1000000000004</v>
      </c>
      <c r="G21" s="1616">
        <v>3144.5</v>
      </c>
      <c r="H21" s="1637">
        <f t="shared" si="2"/>
        <v>4.883092625329355</v>
      </c>
      <c r="I21" s="1637">
        <f t="shared" ref="I21:I32" si="3">IFERROR((G21-F21)/$F$38*100,"-")</f>
        <v>1.3160615240783491</v>
      </c>
      <c r="J21" s="434"/>
      <c r="K21" s="434"/>
      <c r="L21" s="434"/>
      <c r="M21" s="434"/>
      <c r="N21" s="434"/>
      <c r="O21" s="434"/>
      <c r="P21" s="434"/>
      <c r="Q21" s="434"/>
      <c r="R21" s="434"/>
    </row>
    <row r="22" spans="2:18" s="424" customFormat="1" ht="15" customHeight="1">
      <c r="B22" s="428"/>
      <c r="C22" s="1644" t="str">
        <f>IF(Indice_index!$Z$1=1,"Abonos Variáveis ou Eventuais","Variable or contingent bonuses")</f>
        <v>Variable or contingent bonuses</v>
      </c>
      <c r="D22" s="1613">
        <v>843.5</v>
      </c>
      <c r="E22" s="1616">
        <v>869.90000000000009</v>
      </c>
      <c r="F22" s="1613">
        <v>770.4</v>
      </c>
      <c r="G22" s="1613">
        <v>777.40000000000009</v>
      </c>
      <c r="H22" s="1637">
        <f t="shared" si="2"/>
        <v>0.90861889927311701</v>
      </c>
      <c r="I22" s="1637">
        <f t="shared" si="3"/>
        <v>6.2926438992818412E-2</v>
      </c>
      <c r="J22" s="434"/>
      <c r="K22" s="434"/>
      <c r="L22" s="434"/>
      <c r="M22" s="434"/>
      <c r="N22" s="434"/>
      <c r="O22" s="434"/>
      <c r="P22" s="434"/>
      <c r="Q22" s="434"/>
      <c r="R22" s="434"/>
    </row>
    <row r="23" spans="2:18" s="424" customFormat="1" ht="15" customHeight="1">
      <c r="B23" s="428"/>
      <c r="C23" s="1644" t="str">
        <f>IF(Indice_index!$Z$1=1,"Segurança social","Social security")</f>
        <v>Social security</v>
      </c>
      <c r="D23" s="1613">
        <v>932.8</v>
      </c>
      <c r="E23" s="1616">
        <v>946.2</v>
      </c>
      <c r="F23" s="1613">
        <v>842.5</v>
      </c>
      <c r="G23" s="1613">
        <v>887.7</v>
      </c>
      <c r="H23" s="1637">
        <f t="shared" si="2"/>
        <v>5.3649851632047607</v>
      </c>
      <c r="I23" s="1637">
        <f t="shared" si="3"/>
        <v>0.406325006067907</v>
      </c>
      <c r="J23" s="434"/>
      <c r="K23" s="434"/>
      <c r="L23" s="434"/>
      <c r="M23" s="434"/>
      <c r="N23" s="434"/>
      <c r="O23" s="434"/>
      <c r="P23" s="434"/>
      <c r="Q23" s="434"/>
      <c r="R23" s="434"/>
    </row>
    <row r="24" spans="2:18" s="424" customFormat="1" ht="15" customHeight="1">
      <c r="B24" s="428"/>
      <c r="C24" s="1639" t="str">
        <f>IF(Indice_index!$Z$1=1,"Aquisição de bens e serviços","Purchase of goods and services")</f>
        <v>Purchase of goods and services</v>
      </c>
      <c r="D24" s="1613">
        <v>6960.0999999999995</v>
      </c>
      <c r="E24" s="1613">
        <v>7520.7000000000016</v>
      </c>
      <c r="F24" s="1613">
        <v>6220.5</v>
      </c>
      <c r="G24" s="1613">
        <v>6712.7999999999993</v>
      </c>
      <c r="H24" s="1637">
        <f t="shared" si="2"/>
        <v>7.9141548107065196</v>
      </c>
      <c r="I24" s="1637">
        <f t="shared" si="3"/>
        <v>4.4255265594519946</v>
      </c>
      <c r="J24" s="434"/>
      <c r="K24" s="434"/>
      <c r="L24" s="434"/>
      <c r="M24" s="434"/>
      <c r="N24" s="434"/>
      <c r="O24" s="434"/>
      <c r="P24" s="434"/>
      <c r="Q24" s="434"/>
      <c r="R24" s="434"/>
    </row>
    <row r="25" spans="2:18" s="424" customFormat="1" ht="15" customHeight="1">
      <c r="B25" s="428"/>
      <c r="C25" s="1638" t="str">
        <f>IF(Indice_index!$Z$1=1,"Produtos vendidos em farmácias","Medicines")</f>
        <v>Medicines</v>
      </c>
      <c r="D25" s="1613">
        <v>1516.6</v>
      </c>
      <c r="E25" s="1613">
        <v>1701.8000000000002</v>
      </c>
      <c r="F25" s="1613">
        <v>1381.1</v>
      </c>
      <c r="G25" s="1613">
        <v>1585.6999999999998</v>
      </c>
      <c r="H25" s="1637">
        <f t="shared" si="2"/>
        <v>14.814278473680398</v>
      </c>
      <c r="I25" s="1637">
        <f t="shared" si="3"/>
        <v>1.839249916847205</v>
      </c>
      <c r="J25" s="434"/>
      <c r="K25" s="434"/>
      <c r="L25" s="434"/>
      <c r="M25" s="434"/>
      <c r="N25" s="434"/>
      <c r="O25" s="434"/>
      <c r="P25" s="434"/>
      <c r="Q25" s="434"/>
      <c r="R25" s="434"/>
    </row>
    <row r="26" spans="2:18" s="424" customFormat="1" ht="15" customHeight="1">
      <c r="B26" s="428"/>
      <c r="C26" s="1638" t="str">
        <f>IF(Indice_index!$Z$1=1,"Meios complementares de diagnóstico e terapêutica e outros subcontratos","Complementary diagnosis and therapeutic means and other subcontracts")</f>
        <v>Complementary diagnosis and therapeutic means and other subcontracts</v>
      </c>
      <c r="D26" s="1613">
        <v>1718.7999999999997</v>
      </c>
      <c r="E26" s="1613">
        <v>1954.7000000000007</v>
      </c>
      <c r="F26" s="1613">
        <v>1568.7</v>
      </c>
      <c r="G26" s="1613">
        <v>1647.1</v>
      </c>
      <c r="H26" s="1637">
        <f t="shared" si="2"/>
        <v>4.9977688531905207</v>
      </c>
      <c r="I26" s="1637">
        <f t="shared" si="3"/>
        <v>0.70477611671955354</v>
      </c>
      <c r="J26" s="434"/>
      <c r="K26" s="434"/>
      <c r="L26" s="434"/>
      <c r="M26" s="434"/>
      <c r="N26" s="434"/>
      <c r="O26" s="434"/>
      <c r="P26" s="434"/>
      <c r="Q26" s="434"/>
      <c r="R26" s="434"/>
    </row>
    <row r="27" spans="2:18" s="424" customFormat="1" ht="15" customHeight="1">
      <c r="B27" s="428"/>
      <c r="C27" s="1638" t="str">
        <f>IF(Indice_index!$Z$1=1,"Parcerias público-privadas (PPP)","Public-Private Partnerships (PPP)")</f>
        <v>Public-Private Partnerships (PPP)</v>
      </c>
      <c r="D27" s="1613">
        <v>263.39999999999998</v>
      </c>
      <c r="E27" s="1613">
        <v>134.6</v>
      </c>
      <c r="F27" s="1613">
        <v>242.2</v>
      </c>
      <c r="G27" s="1613">
        <v>121.19999999999999</v>
      </c>
      <c r="H27" s="1637">
        <f t="shared" si="2"/>
        <v>-49.958711808422798</v>
      </c>
      <c r="I27" s="1637">
        <f t="shared" si="3"/>
        <v>-1.087728445447272</v>
      </c>
      <c r="J27" s="434"/>
      <c r="K27" s="434"/>
      <c r="L27" s="434"/>
      <c r="M27" s="434"/>
      <c r="N27" s="434"/>
      <c r="O27" s="434"/>
      <c r="P27" s="434"/>
      <c r="Q27" s="434"/>
      <c r="R27" s="434"/>
    </row>
    <row r="28" spans="2:18" s="424" customFormat="1" ht="15" customHeight="1">
      <c r="B28" s="428"/>
      <c r="C28" s="1638" t="str">
        <f>IF(Indice_index!$Z$1=1,"Aquisição de bens (compras inventários)","Purchase of goods (inventories)")</f>
        <v>Purchase of goods (inventories)</v>
      </c>
      <c r="D28" s="1613">
        <v>2421</v>
      </c>
      <c r="E28" s="1613">
        <v>2575.8000000000002</v>
      </c>
      <c r="F28" s="1613">
        <v>2121.3999999999996</v>
      </c>
      <c r="G28" s="1613">
        <v>2265.2000000000003</v>
      </c>
      <c r="H28" s="1637">
        <f t="shared" si="2"/>
        <v>6.7785424719525089</v>
      </c>
      <c r="I28" s="1637">
        <f t="shared" si="3"/>
        <v>1.2926888467381688</v>
      </c>
      <c r="J28" s="434"/>
      <c r="K28" s="434"/>
      <c r="L28" s="434"/>
      <c r="M28" s="434"/>
      <c r="N28" s="434"/>
      <c r="O28" s="434"/>
      <c r="P28" s="434"/>
      <c r="Q28" s="434"/>
      <c r="R28" s="434"/>
    </row>
    <row r="29" spans="2:18" s="424" customFormat="1" ht="15" customHeight="1">
      <c r="B29" s="428"/>
      <c r="C29" s="1638" t="str">
        <f>IF(Indice_index!$Z$1=1,"Outras aquisições de bens e serviços","Other acquisitions of goods and services")</f>
        <v>Other acquisitions of goods and services</v>
      </c>
      <c r="D29" s="1613">
        <v>1040.3</v>
      </c>
      <c r="E29" s="1613">
        <v>1153.8</v>
      </c>
      <c r="F29" s="1613">
        <v>907.1</v>
      </c>
      <c r="G29" s="1613">
        <v>1093.5999999999999</v>
      </c>
      <c r="H29" s="1637">
        <f t="shared" si="2"/>
        <v>20.560026457942882</v>
      </c>
      <c r="I29" s="1637">
        <f t="shared" si="3"/>
        <v>1.6765401245943481</v>
      </c>
      <c r="J29" s="434"/>
      <c r="K29" s="434"/>
      <c r="L29" s="434"/>
      <c r="M29" s="434"/>
      <c r="N29" s="434"/>
      <c r="O29" s="434"/>
      <c r="P29" s="434"/>
      <c r="Q29" s="434"/>
      <c r="R29" s="434"/>
    </row>
    <row r="30" spans="2:18" s="424" customFormat="1" ht="15" customHeight="1">
      <c r="B30" s="428"/>
      <c r="C30" s="1639" t="str">
        <f>IF(Indice_index!$Z$1=1,"Juros e outros encargos","Interests and other charges")</f>
        <v>Interests and other charges</v>
      </c>
      <c r="D30" s="1613">
        <v>2.2000000000000002</v>
      </c>
      <c r="E30" s="1613">
        <v>0.8</v>
      </c>
      <c r="F30" s="1613">
        <v>1.9</v>
      </c>
      <c r="G30" s="1613">
        <v>1.7</v>
      </c>
      <c r="H30" s="1636">
        <f t="shared" si="2"/>
        <v>-10.526315789473683</v>
      </c>
      <c r="I30" s="1637">
        <f t="shared" si="3"/>
        <v>-1.7978982569376394E-3</v>
      </c>
      <c r="J30" s="434"/>
      <c r="K30" s="434"/>
      <c r="L30" s="434"/>
      <c r="M30" s="434"/>
      <c r="N30" s="434"/>
      <c r="O30" s="434"/>
      <c r="P30" s="434"/>
      <c r="Q30" s="434"/>
      <c r="R30" s="434"/>
    </row>
    <row r="31" spans="2:18" s="424" customFormat="1" ht="15" customHeight="1">
      <c r="B31" s="428"/>
      <c r="C31" s="1639" t="str">
        <f>IF(Indice_index!$Z$1=1,"Transferências correntes","Current transfers")</f>
        <v>Current transfers</v>
      </c>
      <c r="D31" s="1613">
        <v>127.9</v>
      </c>
      <c r="E31" s="1613">
        <v>200.4</v>
      </c>
      <c r="F31" s="1613">
        <v>114.6</v>
      </c>
      <c r="G31" s="1613">
        <v>60.6</v>
      </c>
      <c r="H31" s="1636">
        <f t="shared" si="2"/>
        <v>-47.120418848167532</v>
      </c>
      <c r="I31" s="1637">
        <f t="shared" si="3"/>
        <v>-0.48543252937316272</v>
      </c>
      <c r="J31" s="434"/>
      <c r="K31" s="434"/>
      <c r="L31" s="434"/>
      <c r="M31" s="434"/>
      <c r="N31" s="434"/>
      <c r="O31" s="434"/>
      <c r="P31" s="434"/>
      <c r="Q31" s="434"/>
      <c r="R31" s="434"/>
    </row>
    <row r="32" spans="2:18" s="424" customFormat="1" ht="15" customHeight="1">
      <c r="B32" s="428"/>
      <c r="C32" s="1639" t="str">
        <f>IF(Indice_index!$Z$1=1,"Outras despesas correntes","Other current expenditures")</f>
        <v>Other current expenditures</v>
      </c>
      <c r="D32" s="1613">
        <v>3.2</v>
      </c>
      <c r="E32" s="1613">
        <v>27</v>
      </c>
      <c r="F32" s="1613">
        <v>3</v>
      </c>
      <c r="G32" s="1613">
        <v>3.1</v>
      </c>
      <c r="H32" s="1637">
        <f t="shared" si="2"/>
        <v>3.3333333333333437</v>
      </c>
      <c r="I32" s="1637">
        <f t="shared" si="3"/>
        <v>8.9894912846882067E-4</v>
      </c>
      <c r="J32" s="434"/>
      <c r="K32" s="434"/>
      <c r="L32" s="434"/>
      <c r="M32" s="434"/>
      <c r="N32" s="434"/>
      <c r="O32" s="434"/>
      <c r="P32" s="434"/>
      <c r="Q32" s="434"/>
      <c r="R32" s="434"/>
    </row>
    <row r="33" spans="2:26" s="432" customFormat="1" ht="15" customHeight="1">
      <c r="B33" s="431"/>
      <c r="C33" s="1632" t="str">
        <f>IF(Indice_index!$Z$1=1,"Despesa de capital","Capital expenditure")</f>
        <v>Capital expenditure</v>
      </c>
      <c r="D33" s="1617">
        <v>233</v>
      </c>
      <c r="E33" s="1645">
        <v>555.20000000000005</v>
      </c>
      <c r="F33" s="1617">
        <v>173.1</v>
      </c>
      <c r="G33" s="1617">
        <v>170</v>
      </c>
      <c r="H33" s="1641">
        <f t="shared" si="2"/>
        <v>-1.7908723281340189</v>
      </c>
      <c r="I33" s="1634">
        <f>IFERROR((G33-F33)/$F$38*100,"-")</f>
        <v>-2.7867422982533363E-2</v>
      </c>
      <c r="J33" s="433"/>
      <c r="K33" s="433"/>
      <c r="L33" s="433"/>
      <c r="M33" s="433"/>
      <c r="N33" s="433"/>
      <c r="O33" s="433"/>
      <c r="P33" s="433"/>
      <c r="Q33" s="433"/>
      <c r="R33" s="433"/>
    </row>
    <row r="34" spans="2:26" s="424" customFormat="1" ht="15" customHeight="1">
      <c r="B34" s="428"/>
      <c r="C34" s="1639" t="str">
        <f>IF(Indice_index!$Z$1=1,"Investimentos","Investments")</f>
        <v>Investments</v>
      </c>
      <c r="D34" s="1613">
        <v>232.4</v>
      </c>
      <c r="E34" s="1618">
        <v>509.2</v>
      </c>
      <c r="F34" s="1613">
        <v>172.7</v>
      </c>
      <c r="G34" s="1613">
        <v>168.5</v>
      </c>
      <c r="H34" s="1636">
        <f t="shared" si="2"/>
        <v>-2.431962941517074</v>
      </c>
      <c r="I34" s="1637">
        <f>IFERROR((G34-F34)/$F$38*100,"-")</f>
        <v>-3.7755863395690335E-2</v>
      </c>
      <c r="J34" s="434"/>
      <c r="K34" s="434"/>
      <c r="L34" s="434"/>
      <c r="M34" s="434"/>
      <c r="N34" s="434"/>
      <c r="O34" s="434"/>
      <c r="P34" s="434"/>
      <c r="Q34" s="434"/>
      <c r="R34" s="434"/>
    </row>
    <row r="35" spans="2:26" s="424" customFormat="1" ht="15" customHeight="1">
      <c r="B35" s="435"/>
      <c r="C35" s="1639" t="str">
        <f>IF(Indice_index!$Z$1=1,"Transferências de capital","Capital transfers")</f>
        <v>Capital transfers</v>
      </c>
      <c r="D35" s="1613">
        <v>0.6</v>
      </c>
      <c r="E35" s="1618">
        <v>46</v>
      </c>
      <c r="F35" s="1613">
        <v>0.4</v>
      </c>
      <c r="G35" s="1613">
        <v>1.5</v>
      </c>
      <c r="H35" s="1636">
        <f t="shared" si="2"/>
        <v>275</v>
      </c>
      <c r="I35" s="1637">
        <f t="shared" ref="I35:I36" si="4">IFERROR((G35-F35)/$F$38*100,"-")</f>
        <v>9.8884404131570191E-3</v>
      </c>
      <c r="J35" s="434"/>
      <c r="K35" s="434"/>
      <c r="L35" s="434"/>
      <c r="M35" s="434"/>
      <c r="N35" s="434"/>
      <c r="O35" s="434"/>
      <c r="P35" s="434"/>
      <c r="Q35" s="434"/>
      <c r="R35" s="434"/>
    </row>
    <row r="36" spans="2:26" s="424" customFormat="1" ht="15" customHeight="1">
      <c r="B36" s="428"/>
      <c r="C36" s="1639" t="str">
        <f>IF(Indice_index!$Z$1=1,"Outras despesas de capital","Other capital expenditures")</f>
        <v>Other capital expenditures</v>
      </c>
      <c r="D36" s="1618">
        <v>0</v>
      </c>
      <c r="E36" s="1618">
        <v>0</v>
      </c>
      <c r="F36" s="1618">
        <v>0</v>
      </c>
      <c r="G36" s="1618">
        <v>0</v>
      </c>
      <c r="H36" s="1646" t="str">
        <f t="shared" si="2"/>
        <v>-</v>
      </c>
      <c r="I36" s="1637">
        <f t="shared" si="4"/>
        <v>0</v>
      </c>
      <c r="J36" s="434"/>
      <c r="K36" s="434"/>
      <c r="L36" s="434"/>
      <c r="M36" s="434"/>
      <c r="N36" s="434"/>
      <c r="O36" s="434"/>
      <c r="P36" s="434"/>
      <c r="Q36" s="434"/>
      <c r="R36" s="434"/>
    </row>
    <row r="37" spans="2:26" s="424" customFormat="1" ht="4.5" customHeight="1">
      <c r="B37" s="428"/>
      <c r="C37" s="1647"/>
      <c r="D37" s="1612"/>
      <c r="E37" s="1633"/>
      <c r="F37" s="1612"/>
      <c r="G37" s="1612"/>
      <c r="H37" s="1636"/>
      <c r="I37" s="1636"/>
      <c r="J37" s="434"/>
      <c r="K37" s="434"/>
      <c r="L37" s="434"/>
      <c r="M37" s="434"/>
      <c r="N37" s="434"/>
      <c r="O37" s="434"/>
      <c r="P37" s="434"/>
      <c r="Q37" s="434"/>
      <c r="R37" s="434"/>
    </row>
    <row r="38" spans="2:26" s="432" customFormat="1" ht="15" customHeight="1">
      <c r="B38" s="431"/>
      <c r="C38" s="1632" t="str">
        <f>IF(Indice_index!$Z$1=1,"Despesa efetiva","Effective expenditure")</f>
        <v>Effective expenditure</v>
      </c>
      <c r="D38" s="1619">
        <v>12386.800000000001</v>
      </c>
      <c r="E38" s="1648">
        <v>13552.000000000002</v>
      </c>
      <c r="F38" s="1619">
        <v>11124.1</v>
      </c>
      <c r="G38" s="1619">
        <v>11757.800000000001</v>
      </c>
      <c r="H38" s="1649">
        <f>IF(F38=0,"-",((G38/F38)-1)*100)</f>
        <v>5.6966406271069081</v>
      </c>
      <c r="I38" s="1649"/>
      <c r="J38" s="433"/>
      <c r="K38" s="433"/>
      <c r="L38" s="433"/>
      <c r="M38" s="433"/>
      <c r="N38" s="433"/>
      <c r="O38" s="433"/>
      <c r="P38" s="433"/>
      <c r="Q38" s="433"/>
      <c r="R38" s="433"/>
    </row>
    <row r="39" spans="2:26" s="424" customFormat="1" ht="4.5" customHeight="1">
      <c r="B39" s="428"/>
      <c r="C39" s="1650"/>
      <c r="D39" s="1619"/>
      <c r="E39" s="1648"/>
      <c r="F39" s="1619"/>
      <c r="G39" s="1619"/>
      <c r="H39" s="1649"/>
      <c r="I39" s="1649"/>
      <c r="J39" s="434"/>
      <c r="K39" s="434"/>
      <c r="L39" s="434"/>
      <c r="M39" s="434"/>
      <c r="N39" s="434"/>
      <c r="O39" s="434"/>
      <c r="P39" s="434"/>
      <c r="Q39" s="434"/>
      <c r="R39" s="434"/>
    </row>
    <row r="40" spans="2:26" s="432" customFormat="1" ht="15" customHeight="1">
      <c r="B40" s="431"/>
      <c r="C40" s="1651" t="str">
        <f>IF(Indice_index!$Z$1=1,"Saldo global","Overall balance")</f>
        <v>Overall balance</v>
      </c>
      <c r="D40" s="1620">
        <v>-1100.0538944199998</v>
      </c>
      <c r="E40" s="1652">
        <v>-1260.6238698600027</v>
      </c>
      <c r="F40" s="1620">
        <v>-627.65389442000014</v>
      </c>
      <c r="G40" s="1620">
        <v>-420.76091430999986</v>
      </c>
      <c r="H40" s="1620"/>
      <c r="I40" s="1620"/>
      <c r="J40" s="433"/>
      <c r="K40" s="433"/>
      <c r="L40" s="433"/>
      <c r="M40" s="433"/>
      <c r="N40" s="433"/>
      <c r="O40" s="433"/>
      <c r="P40" s="433"/>
      <c r="Q40" s="433"/>
      <c r="R40" s="433"/>
    </row>
    <row r="41" spans="2:26" s="432" customFormat="1" ht="4.5" customHeight="1">
      <c r="B41" s="431"/>
      <c r="C41" s="1632"/>
      <c r="D41" s="1632"/>
      <c r="E41" s="1643"/>
      <c r="F41" s="1632"/>
      <c r="G41" s="1632"/>
      <c r="H41" s="1632"/>
      <c r="I41" s="1632"/>
      <c r="J41" s="433"/>
      <c r="K41" s="433"/>
      <c r="L41" s="433"/>
      <c r="M41" s="433"/>
      <c r="N41" s="433"/>
      <c r="O41" s="433"/>
      <c r="P41" s="433"/>
      <c r="Q41" s="433"/>
      <c r="R41" s="433"/>
    </row>
    <row r="42" spans="2:26" s="137" customFormat="1" ht="15" customHeight="1">
      <c r="C42" s="428" t="str">
        <f>IF(Indice_index!$Z$1=1,"Fonte: Administração Central do Sistema de Saúde, IP.","Source: Health System Central Administration")</f>
        <v>Source: Health System Central Administration</v>
      </c>
      <c r="D42" s="1653"/>
      <c r="E42" s="1653"/>
      <c r="F42" s="1653"/>
      <c r="G42" s="1653"/>
      <c r="H42" s="367"/>
      <c r="I42" s="367"/>
      <c r="X42" s="4"/>
      <c r="Y42" s="4"/>
      <c r="Z42" s="4"/>
    </row>
    <row r="43" spans="2:26" s="424" customFormat="1" ht="11.25" customHeight="1">
      <c r="C43" s="428"/>
      <c r="D43" s="425"/>
      <c r="E43" s="425"/>
      <c r="F43" s="425"/>
    </row>
    <row r="44" spans="2:26" s="424" customFormat="1">
      <c r="C44" s="456"/>
      <c r="D44" s="425"/>
      <c r="E44" s="425"/>
      <c r="F44" s="425"/>
    </row>
    <row r="45" spans="2:26" s="424" customFormat="1">
      <c r="C45" s="456"/>
      <c r="D45" s="425"/>
      <c r="E45" s="425"/>
      <c r="F45" s="425"/>
    </row>
    <row r="46" spans="2:26" s="424" customFormat="1">
      <c r="C46" s="456"/>
      <c r="D46" s="425"/>
      <c r="E46" s="425"/>
      <c r="F46" s="425"/>
    </row>
    <row r="47" spans="2:26" s="424" customFormat="1">
      <c r="C47" s="368"/>
      <c r="D47" s="368"/>
      <c r="E47" s="368"/>
      <c r="F47" s="368"/>
      <c r="H47" s="436"/>
      <c r="I47" s="436"/>
    </row>
    <row r="48" spans="2:26" s="424" customFormat="1">
      <c r="C48" s="368"/>
      <c r="D48" s="368"/>
      <c r="E48" s="368"/>
      <c r="F48" s="368"/>
      <c r="H48" s="436"/>
      <c r="I48" s="436"/>
    </row>
    <row r="49" spans="8:9" s="424" customFormat="1">
      <c r="H49" s="436"/>
      <c r="I49" s="436"/>
    </row>
    <row r="50" spans="8:9" s="424" customFormat="1">
      <c r="H50" s="436"/>
      <c r="I50" s="436"/>
    </row>
    <row r="51" spans="8:9" s="424" customFormat="1">
      <c r="H51" s="436"/>
      <c r="I51" s="436"/>
    </row>
    <row r="52" spans="8:9" s="424" customFormat="1">
      <c r="H52" s="436"/>
      <c r="I52" s="436"/>
    </row>
    <row r="53" spans="8:9" s="424" customFormat="1">
      <c r="H53" s="436"/>
      <c r="I53" s="436"/>
    </row>
    <row r="54" spans="8:9" s="424" customFormat="1">
      <c r="H54" s="436"/>
      <c r="I54" s="436"/>
    </row>
    <row r="55" spans="8:9" s="424" customFormat="1">
      <c r="H55" s="436"/>
      <c r="I55" s="436"/>
    </row>
    <row r="56" spans="8:9" s="424" customFormat="1">
      <c r="H56" s="436"/>
      <c r="I56" s="436"/>
    </row>
    <row r="57" spans="8:9" s="424" customFormat="1">
      <c r="H57" s="436"/>
      <c r="I57" s="436"/>
    </row>
    <row r="58" spans="8:9" s="424" customFormat="1">
      <c r="H58" s="436"/>
      <c r="I58" s="436"/>
    </row>
    <row r="59" spans="8:9" s="424" customFormat="1">
      <c r="H59" s="436"/>
      <c r="I59" s="436"/>
    </row>
    <row r="60" spans="8:9" s="424" customFormat="1">
      <c r="H60" s="436"/>
      <c r="I60" s="436"/>
    </row>
    <row r="61" spans="8:9" s="424" customFormat="1">
      <c r="H61" s="436"/>
      <c r="I61" s="436"/>
    </row>
    <row r="62" spans="8:9" s="424" customFormat="1">
      <c r="H62" s="436"/>
      <c r="I62" s="436"/>
    </row>
    <row r="63" spans="8:9" s="424" customFormat="1">
      <c r="H63" s="436"/>
      <c r="I63" s="436"/>
    </row>
    <row r="64" spans="8:9" s="424" customFormat="1">
      <c r="H64" s="436"/>
      <c r="I64" s="436"/>
    </row>
    <row r="65" spans="8:9" s="424" customFormat="1">
      <c r="H65" s="436"/>
      <c r="I65" s="436"/>
    </row>
    <row r="66" spans="8:9" s="424" customFormat="1">
      <c r="H66" s="436"/>
      <c r="I66" s="436"/>
    </row>
    <row r="67" spans="8:9" s="424" customFormat="1">
      <c r="H67" s="436"/>
      <c r="I67" s="436"/>
    </row>
    <row r="68" spans="8:9" s="424" customFormat="1">
      <c r="H68" s="436"/>
      <c r="I68" s="436"/>
    </row>
    <row r="69" spans="8:9" s="424" customFormat="1"/>
    <row r="70" spans="8:9" s="424" customFormat="1"/>
    <row r="71" spans="8:9" s="424" customFormat="1"/>
    <row r="72" spans="8:9" s="424" customFormat="1"/>
    <row r="73" spans="8:9" s="424" customFormat="1"/>
    <row r="74" spans="8:9" s="424" customFormat="1"/>
    <row r="75" spans="8:9" s="424" customFormat="1"/>
    <row r="76" spans="8:9" s="424" customFormat="1"/>
    <row r="77" spans="8:9" s="424" customFormat="1"/>
    <row r="78" spans="8:9" s="424" customFormat="1"/>
    <row r="79" spans="8:9" s="424" customFormat="1"/>
    <row r="80" spans="8:9" s="424" customFormat="1"/>
    <row r="81" s="424" customFormat="1"/>
    <row r="82" s="424" customFormat="1"/>
    <row r="83" s="424" customFormat="1"/>
    <row r="84" s="424" customFormat="1"/>
    <row r="85" s="424" customFormat="1"/>
    <row r="86" s="424" customFormat="1"/>
    <row r="87" s="424" customFormat="1"/>
    <row r="88" s="424" customFormat="1"/>
    <row r="89" s="424" customFormat="1"/>
    <row r="90" s="424" customFormat="1"/>
    <row r="91" s="424" customFormat="1"/>
    <row r="92" s="424" customFormat="1"/>
    <row r="93" s="424" customFormat="1"/>
    <row r="94" s="424" customFormat="1"/>
    <row r="95" s="424" customFormat="1"/>
    <row r="96" s="424" customFormat="1"/>
    <row r="97" s="424" customFormat="1"/>
    <row r="98" s="424" customFormat="1"/>
    <row r="99" s="424" customFormat="1"/>
    <row r="100" s="424" customFormat="1"/>
    <row r="101" s="424" customFormat="1"/>
    <row r="102" s="424" customFormat="1"/>
    <row r="103" s="424" customFormat="1"/>
    <row r="104" s="424" customFormat="1"/>
    <row r="105" s="424" customFormat="1"/>
    <row r="106" s="424" customFormat="1"/>
    <row r="107" s="424" customFormat="1"/>
    <row r="108" s="424" customFormat="1"/>
    <row r="109" s="424" customFormat="1"/>
    <row r="110" s="424" customFormat="1"/>
    <row r="111" s="424" customFormat="1"/>
    <row r="112" s="424" customFormat="1"/>
    <row r="113" s="424" customFormat="1"/>
    <row r="114" s="424" customFormat="1" ht="12" customHeight="1"/>
    <row r="115" s="424" customFormat="1"/>
    <row r="116" s="424" customFormat="1"/>
    <row r="117" s="424" customFormat="1"/>
    <row r="118" s="424" customFormat="1"/>
    <row r="119" s="424" customFormat="1"/>
    <row r="120" s="424" customFormat="1"/>
    <row r="121" s="424" customFormat="1"/>
    <row r="122" s="424" customFormat="1"/>
    <row r="123" s="424" customFormat="1"/>
    <row r="124" s="424" customFormat="1"/>
    <row r="125" s="424" customFormat="1"/>
    <row r="126" s="424" customFormat="1"/>
    <row r="127" s="424" customFormat="1"/>
    <row r="128" s="424" customFormat="1"/>
    <row r="129" s="424" customFormat="1"/>
    <row r="130" s="424" customFormat="1"/>
    <row r="131" s="424" customFormat="1"/>
    <row r="132" s="424" customFormat="1"/>
    <row r="133" s="424" customFormat="1"/>
    <row r="134" s="424" customFormat="1"/>
    <row r="135" s="424" customFormat="1"/>
    <row r="136" s="424" customFormat="1"/>
    <row r="137" s="424" customFormat="1"/>
    <row r="138" s="424" customFormat="1"/>
    <row r="139" s="424" customFormat="1"/>
    <row r="140" s="424" customFormat="1"/>
    <row r="141" s="424" customFormat="1"/>
    <row r="142" s="424" customFormat="1"/>
    <row r="143" s="424" customFormat="1"/>
    <row r="144" s="424" customFormat="1"/>
    <row r="145" s="424" customFormat="1"/>
    <row r="146" s="424" customFormat="1"/>
    <row r="147" s="424" customFormat="1"/>
    <row r="148" s="424" customFormat="1"/>
    <row r="149" s="424" customFormat="1"/>
    <row r="150" s="424" customFormat="1"/>
    <row r="151" s="424" customFormat="1"/>
    <row r="152" s="424" customFormat="1"/>
    <row r="153" s="424" customFormat="1"/>
    <row r="154" s="424" customFormat="1"/>
    <row r="155" s="424" customFormat="1"/>
    <row r="156" s="424" customFormat="1"/>
    <row r="157" s="424" customFormat="1"/>
    <row r="158" s="424" customFormat="1"/>
    <row r="159" s="424" customFormat="1"/>
    <row r="160" s="424" customFormat="1"/>
    <row r="161" s="424" customFormat="1"/>
    <row r="162" s="424" customFormat="1"/>
    <row r="163" s="424" customFormat="1"/>
    <row r="164" s="424" customFormat="1"/>
    <row r="165" s="424" customFormat="1"/>
    <row r="166" s="424" customFormat="1"/>
    <row r="167" s="424" customFormat="1"/>
    <row r="168" s="424" customFormat="1"/>
    <row r="169" s="424" customFormat="1"/>
    <row r="170" s="424" customFormat="1"/>
    <row r="171" s="424" customFormat="1"/>
    <row r="172" s="424" customFormat="1"/>
    <row r="173" s="424" customFormat="1"/>
    <row r="174" s="424" customFormat="1"/>
    <row r="175" s="424" customFormat="1"/>
    <row r="176" s="424" customFormat="1"/>
    <row r="177" s="424" customFormat="1"/>
    <row r="178" s="424" customFormat="1"/>
    <row r="179" s="424" customFormat="1"/>
    <row r="180" s="424" customFormat="1"/>
    <row r="181" s="424" customFormat="1"/>
    <row r="182" s="424" customFormat="1"/>
    <row r="183" s="424" customFormat="1"/>
    <row r="184" s="424" customFormat="1"/>
    <row r="185" s="424" customFormat="1"/>
    <row r="186" s="424" customFormat="1"/>
    <row r="187" s="424" customFormat="1"/>
    <row r="188" s="424" customFormat="1"/>
    <row r="189" s="424" customFormat="1"/>
    <row r="190" s="424" customFormat="1"/>
    <row r="191" s="424" customFormat="1"/>
    <row r="192" s="424" customFormat="1"/>
    <row r="193" s="424" customFormat="1"/>
    <row r="194" s="424" customFormat="1"/>
    <row r="195" s="424" customFormat="1"/>
    <row r="196" s="424" customFormat="1"/>
    <row r="197" s="424" customFormat="1"/>
    <row r="198" s="424" customFormat="1"/>
    <row r="199" s="424" customFormat="1"/>
    <row r="200" s="424" customFormat="1"/>
    <row r="201" s="424" customFormat="1"/>
    <row r="202" s="424" customFormat="1"/>
    <row r="203" s="424" customFormat="1"/>
    <row r="204" s="424" customFormat="1"/>
    <row r="205" s="424" customFormat="1"/>
    <row r="206" s="424" customFormat="1"/>
    <row r="207" s="424" customFormat="1"/>
    <row r="208" s="424" customFormat="1"/>
    <row r="209" s="424" customFormat="1"/>
    <row r="210" s="424" customFormat="1"/>
    <row r="211" s="424" customFormat="1"/>
    <row r="212" s="424" customFormat="1"/>
    <row r="213" s="424" customFormat="1"/>
    <row r="214" s="424" customFormat="1"/>
    <row r="215" s="424" customFormat="1"/>
    <row r="216" s="424" customFormat="1"/>
    <row r="217" s="424" customFormat="1"/>
    <row r="218" s="424" customFormat="1"/>
    <row r="219" s="424" customFormat="1"/>
    <row r="220" s="424" customFormat="1"/>
    <row r="221" s="424" customFormat="1"/>
    <row r="222" s="424" customFormat="1"/>
    <row r="223" s="424" customFormat="1"/>
    <row r="224" s="424" customFormat="1"/>
    <row r="225" s="424" customFormat="1"/>
    <row r="226" s="424" customFormat="1"/>
    <row r="227" s="424" customFormat="1"/>
    <row r="228" s="424" customFormat="1"/>
    <row r="229" s="424" customFormat="1"/>
    <row r="230" s="424" customFormat="1"/>
    <row r="231" s="424" customFormat="1"/>
    <row r="232" s="424" customFormat="1"/>
    <row r="233" s="424" customFormat="1"/>
    <row r="234" s="424" customFormat="1"/>
    <row r="235" s="424" customFormat="1"/>
    <row r="236" s="424" customFormat="1"/>
    <row r="237" s="424" customFormat="1"/>
    <row r="238" s="424" customFormat="1"/>
    <row r="239" s="424" customFormat="1"/>
    <row r="240" s="424" customFormat="1"/>
    <row r="241" s="424" customFormat="1"/>
    <row r="242" s="424" customFormat="1"/>
    <row r="243" s="424" customFormat="1"/>
    <row r="244" s="424" customFormat="1"/>
    <row r="245" s="424" customFormat="1"/>
    <row r="246" s="424" customFormat="1"/>
    <row r="247" s="424" customFormat="1"/>
    <row r="248" s="424" customFormat="1"/>
    <row r="249" s="424" customFormat="1"/>
    <row r="250" s="424" customFormat="1"/>
    <row r="251" s="424" customFormat="1"/>
    <row r="252" s="424" customFormat="1"/>
    <row r="253" s="424" customFormat="1"/>
    <row r="254" s="424" customFormat="1"/>
    <row r="255" s="424" customFormat="1"/>
    <row r="256" s="424" customFormat="1"/>
    <row r="257" s="424" customFormat="1"/>
    <row r="258" s="424" customFormat="1"/>
    <row r="259" s="424" customFormat="1"/>
    <row r="260" s="424" customFormat="1"/>
    <row r="261" s="424" customFormat="1"/>
    <row r="262" s="424" customFormat="1"/>
    <row r="263" s="424" customFormat="1"/>
    <row r="264" s="424" customFormat="1"/>
    <row r="265" s="424" customFormat="1"/>
    <row r="266" s="424" customFormat="1"/>
    <row r="267" s="424" customFormat="1"/>
    <row r="268" s="424" customFormat="1"/>
    <row r="269" s="424" customFormat="1"/>
  </sheetData>
  <mergeCells count="2">
    <mergeCell ref="F6:G6"/>
    <mergeCell ref="H6:I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22">
    <pageSetUpPr fitToPage="1"/>
  </sheetPr>
  <dimension ref="A1:AJ61"/>
  <sheetViews>
    <sheetView showGridLines="0" zoomScaleNormal="100" zoomScaleSheetLayoutView="100" workbookViewId="0">
      <selection activeCell="B2" sqref="B2"/>
    </sheetView>
  </sheetViews>
  <sheetFormatPr defaultColWidth="9.1796875" defaultRowHeight="12.5"/>
  <cols>
    <col min="1" max="1" width="3.453125" style="137" customWidth="1"/>
    <col min="2" max="2" width="4.453125" style="137" customWidth="1"/>
    <col min="3" max="3" width="2.1796875" style="137" customWidth="1"/>
    <col min="4" max="4" width="31.54296875" style="137" customWidth="1"/>
    <col min="5" max="11" width="7.453125" style="137" customWidth="1"/>
    <col min="12" max="16" width="7.54296875" style="137" customWidth="1"/>
    <col min="17" max="17" width="6.453125" style="137" customWidth="1"/>
    <col min="18" max="18" width="7.453125" style="137" customWidth="1"/>
    <col min="19" max="19" width="11" style="137" bestFit="1" customWidth="1"/>
    <col min="20" max="20" width="12" style="137" bestFit="1" customWidth="1"/>
    <col min="21" max="27" width="9.1796875" style="137"/>
    <col min="28" max="28" width="12.453125" style="4" hidden="1" customWidth="1"/>
    <col min="29" max="30" width="9.1796875" style="4" hidden="1" customWidth="1"/>
    <col min="31" max="16384" width="9.1796875" style="137"/>
  </cols>
  <sheetData>
    <row r="1" spans="1:36" s="167" customFormat="1" ht="15" customHeight="1">
      <c r="E1" s="137"/>
      <c r="F1" s="137"/>
      <c r="G1" s="137"/>
      <c r="L1" s="137"/>
      <c r="AB1" s="167">
        <v>1</v>
      </c>
      <c r="AC1" s="167" t="s">
        <v>0</v>
      </c>
      <c r="AD1" s="167">
        <v>1</v>
      </c>
    </row>
    <row r="2" spans="1:36" s="167" customFormat="1" ht="24" customHeight="1">
      <c r="B2" s="8"/>
      <c r="C2" s="331" t="str">
        <f>IF(Indice_index!$Z$1=1,"18 - Dívida não Financeira das Administrações Públicas","18 - General Government Non-Financial Debt")</f>
        <v>18 - General Government Non-Financial Debt</v>
      </c>
      <c r="D2" s="331"/>
      <c r="E2" s="331"/>
      <c r="F2" s="331"/>
      <c r="G2" s="331"/>
      <c r="H2" s="331"/>
      <c r="I2" s="331"/>
      <c r="J2" s="331"/>
      <c r="K2" s="331"/>
      <c r="L2" s="331"/>
      <c r="M2" s="332"/>
      <c r="N2" s="332"/>
      <c r="O2" s="332"/>
      <c r="P2" s="332"/>
      <c r="Q2" s="332"/>
      <c r="R2" s="332"/>
      <c r="AB2" s="333">
        <v>2</v>
      </c>
      <c r="AC2" s="4" t="s">
        <v>1</v>
      </c>
      <c r="AD2" s="4"/>
    </row>
    <row r="3" spans="1:36" ht="15" customHeight="1">
      <c r="A3" s="334"/>
      <c r="B3" s="334"/>
      <c r="C3" s="334"/>
      <c r="D3" s="334"/>
      <c r="E3" s="335"/>
      <c r="F3" s="335"/>
      <c r="G3" s="335"/>
      <c r="L3" s="335"/>
    </row>
    <row r="4" spans="1:36" ht="15" customHeight="1">
      <c r="B4" s="96"/>
      <c r="C4" s="96"/>
      <c r="D4" s="96"/>
      <c r="E4" s="96"/>
      <c r="F4" s="96"/>
      <c r="G4" s="96"/>
      <c r="H4" s="96"/>
      <c r="I4" s="96"/>
      <c r="J4" s="96"/>
      <c r="K4" s="96"/>
      <c r="L4" s="96"/>
      <c r="M4" s="96"/>
      <c r="N4" s="96"/>
      <c r="O4" s="96"/>
      <c r="P4" s="96"/>
      <c r="Q4" s="96"/>
      <c r="R4" s="96"/>
      <c r="S4" s="96"/>
    </row>
    <row r="5" spans="1:36" s="315" customFormat="1" ht="15" customHeight="1">
      <c r="B5" s="313"/>
      <c r="C5" s="866" t="str">
        <f>+'5 - Conta AC + SS'!C5</f>
        <v>Period: January to November</v>
      </c>
      <c r="D5" s="867"/>
      <c r="E5" s="868"/>
      <c r="F5" s="868"/>
      <c r="G5" s="868"/>
      <c r="H5" s="868"/>
      <c r="I5" s="868"/>
      <c r="J5" s="868"/>
      <c r="K5" s="868"/>
      <c r="L5" s="868"/>
      <c r="M5" s="868"/>
      <c r="N5" s="868"/>
      <c r="O5" s="868"/>
      <c r="P5" s="868"/>
      <c r="S5" s="313"/>
      <c r="AB5" s="249"/>
      <c r="AC5" s="249"/>
      <c r="AD5" s="249"/>
    </row>
    <row r="6" spans="1:36" s="315" customFormat="1" ht="15" customHeight="1">
      <c r="B6" s="313"/>
      <c r="D6" s="867" t="str">
        <f>IF(Indice_index!$Z$1=1,"Passivo não financeiro das Administrações Públicas  - Stock em fim de período","Non financial Liabilities from General Government - Stock in the end of the period")</f>
        <v>Non financial Liabilities from General Government - Stock in the end of the period</v>
      </c>
      <c r="E6" s="869"/>
      <c r="F6" s="869"/>
      <c r="K6" s="869"/>
      <c r="S6" s="450"/>
      <c r="AB6" s="249"/>
      <c r="AC6" s="249"/>
      <c r="AD6" s="249"/>
    </row>
    <row r="7" spans="1:36" s="315" customFormat="1" ht="13">
      <c r="B7" s="313"/>
      <c r="D7" s="867"/>
      <c r="R7" s="870" t="str">
        <f>IF(Indice_index!$Z$1=1,"€ Milhões","€ Millions")</f>
        <v>€ Millions</v>
      </c>
      <c r="S7" s="450"/>
      <c r="AB7" s="249"/>
      <c r="AC7" s="249"/>
      <c r="AD7" s="249"/>
    </row>
    <row r="8" spans="1:36" s="168" customFormat="1" ht="12.75" customHeight="1">
      <c r="B8" s="111"/>
      <c r="C8" s="1777" t="str">
        <f>IF(Indice_index!$Z$1=1,"Natureza da Dívida","Nature of Debt")</f>
        <v>Nature of Debt</v>
      </c>
      <c r="D8" s="1778"/>
      <c r="E8" s="1771">
        <v>2021</v>
      </c>
      <c r="F8" s="1772"/>
      <c r="G8" s="1773">
        <v>2022</v>
      </c>
      <c r="H8" s="1774"/>
      <c r="I8" s="1774"/>
      <c r="J8" s="1774"/>
      <c r="K8" s="1774"/>
      <c r="L8" s="1774"/>
      <c r="M8" s="1774"/>
      <c r="N8" s="1774"/>
      <c r="O8" s="1774"/>
      <c r="P8" s="1774"/>
      <c r="Q8" s="1772"/>
      <c r="R8" s="1775" t="str">
        <f>IF(Indice_index!$Z$1=1,"variação mensal","monthly variation")</f>
        <v>monthly variation</v>
      </c>
      <c r="S8" s="451"/>
      <c r="AB8" s="18"/>
      <c r="AC8" s="18"/>
      <c r="AD8" s="18"/>
    </row>
    <row r="9" spans="1:36" s="168" customFormat="1" ht="15.75" customHeight="1">
      <c r="B9" s="111"/>
      <c r="C9" s="1779"/>
      <c r="D9" s="1780"/>
      <c r="E9" s="872" t="s">
        <v>583</v>
      </c>
      <c r="F9" s="873" t="str">
        <f>IF(Indice_index!$Z$1=1,"dez*","Dec*")</f>
        <v>Dec*</v>
      </c>
      <c r="G9" s="873" t="s">
        <v>584</v>
      </c>
      <c r="H9" s="874" t="s">
        <v>585</v>
      </c>
      <c r="I9" s="873" t="s">
        <v>586</v>
      </c>
      <c r="J9" s="874" t="s">
        <v>587</v>
      </c>
      <c r="K9" s="874" t="s">
        <v>588</v>
      </c>
      <c r="L9" s="873" t="s">
        <v>589</v>
      </c>
      <c r="M9" s="873" t="s">
        <v>590</v>
      </c>
      <c r="N9" s="871" t="s">
        <v>591</v>
      </c>
      <c r="O9" s="871" t="s">
        <v>581</v>
      </c>
      <c r="P9" s="920" t="s">
        <v>582</v>
      </c>
      <c r="Q9" s="872" t="s">
        <v>583</v>
      </c>
      <c r="R9" s="1776"/>
      <c r="S9" s="111"/>
      <c r="AA9" s="18"/>
      <c r="AB9" s="18"/>
      <c r="AC9" s="18"/>
    </row>
    <row r="10" spans="1:36" s="168" customFormat="1" ht="15" customHeight="1">
      <c r="B10" s="111"/>
      <c r="C10" s="1764" t="str">
        <f>IF(Indice_index!$Z$1=1,"AC","CG")</f>
        <v>CG</v>
      </c>
      <c r="D10" s="875" t="str">
        <f>IF(Indice_index!$Z$1=1,"Aquisição de Bens e Serviços","Goods and Services Acquisition")</f>
        <v>Goods and Services Acquisition</v>
      </c>
      <c r="E10" s="876">
        <v>478.48410772999978</v>
      </c>
      <c r="F10" s="877">
        <v>241.47870801999986</v>
      </c>
      <c r="G10" s="876">
        <v>356.13126904999967</v>
      </c>
      <c r="H10" s="876">
        <v>319.70413650999978</v>
      </c>
      <c r="I10" s="876">
        <v>376.82530436000002</v>
      </c>
      <c r="J10" s="876">
        <v>370.64133442000013</v>
      </c>
      <c r="K10" s="876">
        <v>395.67579400999995</v>
      </c>
      <c r="L10" s="876">
        <v>356.2769544300001</v>
      </c>
      <c r="M10" s="876">
        <v>343.98565667000031</v>
      </c>
      <c r="N10" s="876">
        <v>368.89725168000007</v>
      </c>
      <c r="O10" s="876">
        <v>414.22397548000032</v>
      </c>
      <c r="P10" s="876">
        <v>418.57666877000003</v>
      </c>
      <c r="Q10" s="877">
        <v>438.9462905099997</v>
      </c>
      <c r="R10" s="878">
        <f>Q10-P10</f>
        <v>20.369621739999673</v>
      </c>
      <c r="S10" s="111"/>
      <c r="T10" s="336"/>
      <c r="W10" s="337"/>
      <c r="AA10" s="18"/>
      <c r="AB10" s="18"/>
      <c r="AC10" s="18"/>
    </row>
    <row r="11" spans="1:36" s="168" customFormat="1" ht="15" customHeight="1">
      <c r="B11" s="111"/>
      <c r="C11" s="1765"/>
      <c r="D11" s="875" t="str">
        <f>IF(Indice_index!$Z$1=1,"Aquisição Bens de Capital","Capital Goods Acquisition")</f>
        <v>Capital Goods Acquisition</v>
      </c>
      <c r="E11" s="879">
        <v>35.153274320000016</v>
      </c>
      <c r="F11" s="880">
        <v>9.1747972700000027</v>
      </c>
      <c r="G11" s="879">
        <v>8.8358061800000005</v>
      </c>
      <c r="H11" s="879">
        <v>13.401199199999997</v>
      </c>
      <c r="I11" s="879">
        <v>15.697491220000003</v>
      </c>
      <c r="J11" s="879">
        <v>35.557092700000005</v>
      </c>
      <c r="K11" s="879">
        <v>26.420110500000003</v>
      </c>
      <c r="L11" s="879">
        <v>18.124037280000007</v>
      </c>
      <c r="M11" s="879">
        <v>25.40209239</v>
      </c>
      <c r="N11" s="879">
        <v>32.298413289999999</v>
      </c>
      <c r="O11" s="879">
        <v>25.563527539999999</v>
      </c>
      <c r="P11" s="879">
        <v>47.338828570000025</v>
      </c>
      <c r="Q11" s="880">
        <v>51.065910629999991</v>
      </c>
      <c r="R11" s="881">
        <f>Q11-P11</f>
        <v>3.7270820599999652</v>
      </c>
      <c r="S11" s="452"/>
      <c r="T11" s="169"/>
      <c r="U11" s="169"/>
      <c r="W11" s="337"/>
      <c r="AA11" s="18"/>
      <c r="AB11" s="18"/>
      <c r="AC11" s="18"/>
    </row>
    <row r="12" spans="1:36" s="168" customFormat="1" ht="15" customHeight="1">
      <c r="B12" s="111"/>
      <c r="C12" s="1765"/>
      <c r="D12" s="875" t="str">
        <f>IF(Indice_index!$Z$1=1,"Transferências para AP","Transfers inside GG")</f>
        <v>Transfers inside GG</v>
      </c>
      <c r="E12" s="879">
        <v>33.640002469999999</v>
      </c>
      <c r="F12" s="880">
        <v>28.061637040000001</v>
      </c>
      <c r="G12" s="879">
        <v>27.343643359999998</v>
      </c>
      <c r="H12" s="879">
        <v>83.660342270000001</v>
      </c>
      <c r="I12" s="879">
        <v>35.253705700000005</v>
      </c>
      <c r="J12" s="879">
        <v>41.478623759999998</v>
      </c>
      <c r="K12" s="879">
        <v>41.920345049999995</v>
      </c>
      <c r="L12" s="879">
        <v>51.741150400000009</v>
      </c>
      <c r="M12" s="879">
        <v>58.030122049999996</v>
      </c>
      <c r="N12" s="879">
        <v>58.632723660000003</v>
      </c>
      <c r="O12" s="879">
        <v>60.192730829999995</v>
      </c>
      <c r="P12" s="879">
        <v>42.058109619999996</v>
      </c>
      <c r="Q12" s="880">
        <v>63.991887699999999</v>
      </c>
      <c r="R12" s="881">
        <f>Q12-P12</f>
        <v>21.933778080000003</v>
      </c>
      <c r="S12" s="452"/>
      <c r="T12" s="169"/>
      <c r="U12" s="169"/>
      <c r="W12" s="337"/>
      <c r="AA12" s="18"/>
      <c r="AB12" s="18"/>
      <c r="AC12" s="18"/>
    </row>
    <row r="13" spans="1:36" s="168" customFormat="1" ht="15" customHeight="1">
      <c r="B13" s="111"/>
      <c r="C13" s="1765"/>
      <c r="D13" s="875" t="str">
        <f>IF(Indice_index!$Z$1=1,"Transferências para fora das AP","Transfers outside GG")</f>
        <v>Transfers outside GG</v>
      </c>
      <c r="E13" s="879">
        <v>112.85260206999996</v>
      </c>
      <c r="F13" s="880">
        <v>8.96728594</v>
      </c>
      <c r="G13" s="879">
        <v>5.6498732499999997</v>
      </c>
      <c r="H13" s="879">
        <v>4.5090320999999998</v>
      </c>
      <c r="I13" s="879">
        <v>8.1821649700000023</v>
      </c>
      <c r="J13" s="879">
        <v>11.02926209</v>
      </c>
      <c r="K13" s="879">
        <v>6.9841468700000009</v>
      </c>
      <c r="L13" s="879">
        <v>6.8002172000000005</v>
      </c>
      <c r="M13" s="879">
        <v>30.526591290000002</v>
      </c>
      <c r="N13" s="879">
        <v>42.737193810000001</v>
      </c>
      <c r="O13" s="879">
        <v>45.662171580000006</v>
      </c>
      <c r="P13" s="879">
        <v>34.377025480000007</v>
      </c>
      <c r="Q13" s="880">
        <v>26.687975480000006</v>
      </c>
      <c r="R13" s="881">
        <f>Q13-P13</f>
        <v>-7.6890500000000017</v>
      </c>
      <c r="S13" s="452"/>
      <c r="T13" s="169"/>
      <c r="U13" s="169"/>
      <c r="V13" s="169"/>
      <c r="W13" s="169"/>
      <c r="X13" s="169"/>
      <c r="Y13" s="169"/>
      <c r="Z13" s="169"/>
      <c r="AA13" s="169"/>
      <c r="AB13" s="169"/>
      <c r="AC13" s="169"/>
      <c r="AD13" s="169"/>
      <c r="AE13" s="169"/>
      <c r="AF13" s="169"/>
      <c r="AG13" s="169"/>
      <c r="AH13" s="169"/>
      <c r="AI13" s="169"/>
      <c r="AJ13" s="169"/>
    </row>
    <row r="14" spans="1:36" s="168" customFormat="1" ht="15" customHeight="1">
      <c r="B14" s="111"/>
      <c r="C14" s="1766"/>
      <c r="D14" s="875" t="str">
        <f>IF(Indice_index!$Z$1=1,"Outras","Others")</f>
        <v>Others</v>
      </c>
      <c r="E14" s="879">
        <v>130.8403272499998</v>
      </c>
      <c r="F14" s="880">
        <v>71.634125449999999</v>
      </c>
      <c r="G14" s="879">
        <v>115.21571654999988</v>
      </c>
      <c r="H14" s="879">
        <v>127.49330108999993</v>
      </c>
      <c r="I14" s="879">
        <v>129.75091422999989</v>
      </c>
      <c r="J14" s="879">
        <v>133.41362350999984</v>
      </c>
      <c r="K14" s="879">
        <v>154.39001162000002</v>
      </c>
      <c r="L14" s="879">
        <v>164.1855174800001</v>
      </c>
      <c r="M14" s="882">
        <v>194.95275575999997</v>
      </c>
      <c r="N14" s="879">
        <v>205.31733620000003</v>
      </c>
      <c r="O14" s="882">
        <v>130.92299570000006</v>
      </c>
      <c r="P14" s="879">
        <v>119.72615254999999</v>
      </c>
      <c r="Q14" s="880">
        <v>152.60266345999986</v>
      </c>
      <c r="R14" s="881">
        <f t="shared" ref="R14:R26" si="0">Q14-P14</f>
        <v>32.876510909999865</v>
      </c>
      <c r="S14" s="452"/>
      <c r="T14" s="169"/>
      <c r="U14" s="169"/>
      <c r="V14" s="169"/>
      <c r="W14" s="169"/>
      <c r="X14" s="169"/>
      <c r="Y14" s="169"/>
      <c r="Z14" s="169"/>
      <c r="AA14" s="169"/>
      <c r="AB14" s="169"/>
      <c r="AC14" s="169"/>
      <c r="AD14" s="169"/>
      <c r="AE14" s="169"/>
      <c r="AF14" s="169"/>
      <c r="AG14" s="169"/>
      <c r="AH14" s="169"/>
      <c r="AI14" s="169"/>
      <c r="AJ14" s="169"/>
    </row>
    <row r="15" spans="1:36" s="315" customFormat="1" ht="15" customHeight="1">
      <c r="B15" s="313"/>
      <c r="C15" s="1763" t="str">
        <f>IF(Indice_index!$Z$1=1,"Total da Administração Central","Central Government - Total")</f>
        <v>Central Government - Total</v>
      </c>
      <c r="D15" s="1763"/>
      <c r="E15" s="883">
        <v>790.97031383999956</v>
      </c>
      <c r="F15" s="884">
        <v>359.31655372</v>
      </c>
      <c r="G15" s="883">
        <v>513.17630838999958</v>
      </c>
      <c r="H15" s="883">
        <v>548.76801116999968</v>
      </c>
      <c r="I15" s="883">
        <v>565.70958048</v>
      </c>
      <c r="J15" s="883">
        <v>592.11993647999998</v>
      </c>
      <c r="K15" s="883">
        <v>625.39040805000002</v>
      </c>
      <c r="L15" s="883">
        <v>597.1278767900003</v>
      </c>
      <c r="M15" s="883">
        <v>652.89721816000031</v>
      </c>
      <c r="N15" s="883">
        <v>707.88291864000007</v>
      </c>
      <c r="O15" s="883">
        <v>676.56540113000028</v>
      </c>
      <c r="P15" s="883">
        <v>662.07678499000008</v>
      </c>
      <c r="Q15" s="883">
        <v>733.29472777999945</v>
      </c>
      <c r="R15" s="885">
        <f>Q15-P15</f>
        <v>71.21794278999937</v>
      </c>
      <c r="S15" s="452"/>
      <c r="T15" s="316"/>
      <c r="U15" s="316"/>
      <c r="V15" s="316"/>
      <c r="W15" s="316"/>
      <c r="X15" s="316"/>
      <c r="Y15" s="316"/>
      <c r="Z15" s="316"/>
      <c r="AA15" s="316"/>
      <c r="AB15" s="316"/>
      <c r="AC15" s="316"/>
      <c r="AD15" s="316"/>
      <c r="AE15" s="316"/>
      <c r="AF15" s="316"/>
      <c r="AG15" s="316"/>
      <c r="AH15" s="316"/>
      <c r="AI15" s="316"/>
      <c r="AJ15" s="316"/>
    </row>
    <row r="16" spans="1:36" s="168" customFormat="1" ht="15" customHeight="1">
      <c r="B16" s="111"/>
      <c r="C16" s="1764" t="str">
        <f>IF(Indice_index!$Z$1=1,"AR","RG")</f>
        <v>RG</v>
      </c>
      <c r="D16" s="875" t="str">
        <f>IF(Indice_index!$Z$1=1,"Aquisição de Bens e Serviços","Goods and Services Acquisition")</f>
        <v>Goods and Services Acquisition</v>
      </c>
      <c r="E16" s="879">
        <v>54.366488629999999</v>
      </c>
      <c r="F16" s="880">
        <v>33.975314739999988</v>
      </c>
      <c r="G16" s="879">
        <v>70.18123645</v>
      </c>
      <c r="H16" s="879">
        <v>50.578692529999998</v>
      </c>
      <c r="I16" s="879">
        <v>66.384027709999998</v>
      </c>
      <c r="J16" s="879">
        <v>51.478083580000003</v>
      </c>
      <c r="K16" s="879">
        <v>52.45455604</v>
      </c>
      <c r="L16" s="879">
        <v>58.079234879999987</v>
      </c>
      <c r="M16" s="876">
        <v>83.629821599999985</v>
      </c>
      <c r="N16" s="879">
        <v>49.215650769999996</v>
      </c>
      <c r="O16" s="879">
        <v>69.065606039999977</v>
      </c>
      <c r="P16" s="879">
        <v>66.612099400000005</v>
      </c>
      <c r="Q16" s="880">
        <v>61.696888659999992</v>
      </c>
      <c r="R16" s="881">
        <f t="shared" si="0"/>
        <v>-4.9152107400000133</v>
      </c>
      <c r="S16" s="452"/>
      <c r="T16" s="169"/>
      <c r="U16" s="169"/>
      <c r="V16" s="169"/>
      <c r="W16" s="169"/>
      <c r="X16" s="169"/>
      <c r="Y16" s="169"/>
      <c r="Z16" s="169"/>
      <c r="AA16" s="169"/>
      <c r="AB16" s="169"/>
      <c r="AC16" s="169"/>
      <c r="AD16" s="169"/>
      <c r="AE16" s="169"/>
      <c r="AF16" s="169"/>
      <c r="AG16" s="169"/>
      <c r="AH16" s="169"/>
      <c r="AI16" s="169"/>
      <c r="AJ16" s="169"/>
    </row>
    <row r="17" spans="2:36" s="168" customFormat="1" ht="15" customHeight="1">
      <c r="B17" s="111"/>
      <c r="C17" s="1765"/>
      <c r="D17" s="875" t="str">
        <f>IF(Indice_index!$Z$1=1,"Aquisição Bens de Capital","Capital Goods Acquisition")</f>
        <v>Capital Goods Acquisition</v>
      </c>
      <c r="E17" s="879">
        <v>26.929857900000002</v>
      </c>
      <c r="F17" s="880">
        <v>16.996417340000001</v>
      </c>
      <c r="G17" s="879">
        <v>17.249250880000002</v>
      </c>
      <c r="H17" s="879">
        <v>21.703355250000001</v>
      </c>
      <c r="I17" s="879">
        <v>23.864555509999999</v>
      </c>
      <c r="J17" s="879">
        <v>26.065782939999998</v>
      </c>
      <c r="K17" s="879">
        <v>25.968964500000002</v>
      </c>
      <c r="L17" s="879">
        <v>32.346858690000005</v>
      </c>
      <c r="M17" s="879">
        <v>26.63956065</v>
      </c>
      <c r="N17" s="879">
        <v>27.165790179999998</v>
      </c>
      <c r="O17" s="879">
        <v>22.607583149999996</v>
      </c>
      <c r="P17" s="879">
        <v>30.336373269999996</v>
      </c>
      <c r="Q17" s="880">
        <v>22.613364079999997</v>
      </c>
      <c r="R17" s="881">
        <f t="shared" si="0"/>
        <v>-7.7230091899999991</v>
      </c>
      <c r="S17" s="452"/>
      <c r="T17" s="169"/>
      <c r="U17" s="169"/>
      <c r="V17" s="169"/>
      <c r="W17" s="169"/>
      <c r="X17" s="169"/>
      <c r="Y17" s="169"/>
      <c r="Z17" s="169"/>
      <c r="AA17" s="169"/>
      <c r="AB17" s="169"/>
      <c r="AC17" s="169"/>
      <c r="AD17" s="169"/>
      <c r="AE17" s="169"/>
      <c r="AF17" s="169"/>
      <c r="AG17" s="169"/>
      <c r="AH17" s="169"/>
      <c r="AI17" s="169"/>
      <c r="AJ17" s="169"/>
    </row>
    <row r="18" spans="2:36" s="168" customFormat="1" ht="15" customHeight="1">
      <c r="B18" s="111"/>
      <c r="C18" s="1765"/>
      <c r="D18" s="875" t="str">
        <f>IF(Indice_index!$Z$1=1,"Transferências para AP","Transfers inside GG")</f>
        <v>Transfers inside GG</v>
      </c>
      <c r="E18" s="879">
        <v>14.765662469999999</v>
      </c>
      <c r="F18" s="880">
        <v>1.2026565500000002</v>
      </c>
      <c r="G18" s="879">
        <v>1.3422235199999999</v>
      </c>
      <c r="H18" s="879">
        <v>10.295728699999998</v>
      </c>
      <c r="I18" s="879">
        <v>10.074563479999998</v>
      </c>
      <c r="J18" s="879">
        <v>5.4178420800000007</v>
      </c>
      <c r="K18" s="879">
        <v>9.4951207800000006</v>
      </c>
      <c r="L18" s="879">
        <v>7.2585423699999998</v>
      </c>
      <c r="M18" s="879">
        <v>7.5482161300000001</v>
      </c>
      <c r="N18" s="879">
        <v>3.7159133899999999</v>
      </c>
      <c r="O18" s="879">
        <v>3.9452116900000003</v>
      </c>
      <c r="P18" s="879">
        <v>1.7528206900000001</v>
      </c>
      <c r="Q18" s="880">
        <v>23.230882139999999</v>
      </c>
      <c r="R18" s="881">
        <f t="shared" si="0"/>
        <v>21.478061449999998</v>
      </c>
      <c r="S18" s="452"/>
      <c r="T18" s="169"/>
      <c r="U18" s="169"/>
      <c r="V18" s="169"/>
      <c r="W18" s="169"/>
      <c r="X18" s="169"/>
      <c r="Y18" s="169"/>
      <c r="Z18" s="169"/>
      <c r="AA18" s="169"/>
      <c r="AB18" s="169"/>
      <c r="AC18" s="169"/>
      <c r="AD18" s="169"/>
      <c r="AE18" s="169"/>
      <c r="AF18" s="169"/>
      <c r="AG18" s="169"/>
      <c r="AH18" s="169"/>
      <c r="AI18" s="169"/>
      <c r="AJ18" s="169"/>
    </row>
    <row r="19" spans="2:36" s="168" customFormat="1" ht="15" customHeight="1">
      <c r="B19" s="111"/>
      <c r="C19" s="1765"/>
      <c r="D19" s="875" t="str">
        <f>IF(Indice_index!$Z$1=1,"Transferências para fora das AP","Transfers outside GG")</f>
        <v>Transfers outside GG</v>
      </c>
      <c r="E19" s="879">
        <v>36.069231049999999</v>
      </c>
      <c r="F19" s="880">
        <v>26.773861609999997</v>
      </c>
      <c r="G19" s="879">
        <v>30.441558680000004</v>
      </c>
      <c r="H19" s="879">
        <v>29.211331540000003</v>
      </c>
      <c r="I19" s="879">
        <v>30.801726379999003</v>
      </c>
      <c r="J19" s="879">
        <v>25.891823199999997</v>
      </c>
      <c r="K19" s="879">
        <v>33.591417609998402</v>
      </c>
      <c r="L19" s="879">
        <v>33.090923969998805</v>
      </c>
      <c r="M19" s="879">
        <v>29.763867869999398</v>
      </c>
      <c r="N19" s="879">
        <v>27.9819456199996</v>
      </c>
      <c r="O19" s="879">
        <v>26.886157159999698</v>
      </c>
      <c r="P19" s="879">
        <v>27.032610529999499</v>
      </c>
      <c r="Q19" s="880">
        <v>24.0379294499987</v>
      </c>
      <c r="R19" s="881">
        <f t="shared" si="0"/>
        <v>-2.9946810800007988</v>
      </c>
      <c r="S19" s="452"/>
      <c r="T19" s="169"/>
      <c r="U19" s="169"/>
      <c r="V19" s="169"/>
      <c r="W19" s="169"/>
      <c r="X19" s="169"/>
      <c r="Y19" s="169"/>
      <c r="Z19" s="169"/>
      <c r="AA19" s="169"/>
      <c r="AB19" s="169"/>
      <c r="AC19" s="169"/>
      <c r="AD19" s="169"/>
      <c r="AE19" s="169"/>
      <c r="AF19" s="169"/>
      <c r="AG19" s="169"/>
      <c r="AH19" s="169"/>
      <c r="AI19" s="169"/>
      <c r="AJ19" s="169"/>
    </row>
    <row r="20" spans="2:36" s="168" customFormat="1" ht="15" customHeight="1">
      <c r="B20" s="111"/>
      <c r="C20" s="1766"/>
      <c r="D20" s="875" t="str">
        <f>IF(Indice_index!$Z$1=1,"Outras","Others")</f>
        <v>Others</v>
      </c>
      <c r="E20" s="879">
        <v>40.984817109999994</v>
      </c>
      <c r="F20" s="880">
        <v>5.2648817200000071</v>
      </c>
      <c r="G20" s="879">
        <v>16.167530890000009</v>
      </c>
      <c r="H20" s="879">
        <v>14.933554150000003</v>
      </c>
      <c r="I20" s="879">
        <v>17.058318580000041</v>
      </c>
      <c r="J20" s="879">
        <v>28.182068220000019</v>
      </c>
      <c r="K20" s="879">
        <v>26.928279370000052</v>
      </c>
      <c r="L20" s="879">
        <v>55.16933196999998</v>
      </c>
      <c r="M20" s="879">
        <v>20.869419069999985</v>
      </c>
      <c r="N20" s="879">
        <v>17.579018299999994</v>
      </c>
      <c r="O20" s="882">
        <v>17.181320279999994</v>
      </c>
      <c r="P20" s="879">
        <v>31.96097807000001</v>
      </c>
      <c r="Q20" s="880">
        <v>38.625965219999919</v>
      </c>
      <c r="R20" s="881">
        <f t="shared" si="0"/>
        <v>6.6649871499999094</v>
      </c>
      <c r="S20" s="452"/>
      <c r="T20" s="169"/>
      <c r="U20" s="169"/>
      <c r="V20" s="169"/>
      <c r="W20" s="169"/>
      <c r="X20" s="169"/>
      <c r="Y20" s="169"/>
      <c r="Z20" s="169"/>
      <c r="AA20" s="169"/>
      <c r="AB20" s="169"/>
      <c r="AC20" s="169"/>
      <c r="AD20" s="169"/>
      <c r="AE20" s="169"/>
      <c r="AF20" s="169"/>
      <c r="AG20" s="169"/>
      <c r="AH20" s="169"/>
      <c r="AI20" s="169"/>
      <c r="AJ20" s="169"/>
    </row>
    <row r="21" spans="2:36" s="315" customFormat="1" ht="15" customHeight="1">
      <c r="B21" s="313"/>
      <c r="C21" s="1763" t="str">
        <f>IF(Indice_index!$Z$1=1,"Total da Administração Regional","Regional Government - Total")</f>
        <v>Regional Government - Total</v>
      </c>
      <c r="D21" s="1763"/>
      <c r="E21" s="883">
        <v>173.11605715999997</v>
      </c>
      <c r="F21" s="884">
        <v>84.213131959999998</v>
      </c>
      <c r="G21" s="883">
        <v>135.38180042000002</v>
      </c>
      <c r="H21" s="883">
        <v>126.72266217000001</v>
      </c>
      <c r="I21" s="883">
        <v>148.18319165999904</v>
      </c>
      <c r="J21" s="883">
        <v>137.03560002</v>
      </c>
      <c r="K21" s="883">
        <v>148.43833829999846</v>
      </c>
      <c r="L21" s="883">
        <v>185.94489187999878</v>
      </c>
      <c r="M21" s="883">
        <v>168.45088531999937</v>
      </c>
      <c r="N21" s="883">
        <v>125.65831825999959</v>
      </c>
      <c r="O21" s="883">
        <v>139.68587831999966</v>
      </c>
      <c r="P21" s="883">
        <v>157.69488195999952</v>
      </c>
      <c r="Q21" s="883">
        <v>170.20502954999861</v>
      </c>
      <c r="R21" s="885">
        <f>Q21-P21</f>
        <v>12.510147589999093</v>
      </c>
      <c r="S21" s="452"/>
      <c r="T21" s="316"/>
      <c r="U21" s="316"/>
      <c r="V21" s="316"/>
      <c r="W21" s="316"/>
      <c r="X21" s="316"/>
      <c r="Y21" s="316"/>
      <c r="Z21" s="316"/>
      <c r="AA21" s="316"/>
      <c r="AB21" s="316"/>
      <c r="AC21" s="316"/>
      <c r="AD21" s="316"/>
      <c r="AE21" s="316"/>
      <c r="AF21" s="316"/>
      <c r="AG21" s="316"/>
      <c r="AH21" s="316"/>
      <c r="AI21" s="316"/>
      <c r="AJ21" s="316"/>
    </row>
    <row r="22" spans="2:36" s="168" customFormat="1" ht="15" customHeight="1">
      <c r="B22" s="111"/>
      <c r="C22" s="1764" t="str">
        <f>IF(Indice_index!$Z$1=1,"AL","LG")</f>
        <v>LG</v>
      </c>
      <c r="D22" s="875" t="str">
        <f>IF(Indice_index!$Z$1=1,"Aquisição de Bens e Serviços","Goods and Services Acquisition")</f>
        <v>Goods and Services Acquisition</v>
      </c>
      <c r="E22" s="886">
        <v>388.10950063000001</v>
      </c>
      <c r="F22" s="887">
        <v>388.10950063000001</v>
      </c>
      <c r="G22" s="886">
        <v>388.10950063000001</v>
      </c>
      <c r="H22" s="886">
        <v>388.10950063000001</v>
      </c>
      <c r="I22" s="886">
        <v>388.10950063000001</v>
      </c>
      <c r="J22" s="886">
        <v>388.10950063000001</v>
      </c>
      <c r="K22" s="886">
        <v>388.10950063000001</v>
      </c>
      <c r="L22" s="886">
        <v>388.10950063000001</v>
      </c>
      <c r="M22" s="886">
        <v>388.10950063000001</v>
      </c>
      <c r="N22" s="886">
        <v>388.10950063000001</v>
      </c>
      <c r="O22" s="888">
        <v>388.10950063000001</v>
      </c>
      <c r="P22" s="886">
        <v>388.10950063000001</v>
      </c>
      <c r="Q22" s="887">
        <v>388.10950063000001</v>
      </c>
      <c r="R22" s="881">
        <f t="shared" si="0"/>
        <v>0</v>
      </c>
      <c r="S22" s="452"/>
      <c r="T22" s="169"/>
      <c r="U22" s="169"/>
      <c r="V22" s="169"/>
      <c r="W22" s="169"/>
      <c r="X22" s="169"/>
      <c r="Y22" s="169"/>
      <c r="Z22" s="169"/>
      <c r="AA22" s="169"/>
      <c r="AB22" s="169"/>
      <c r="AC22" s="169"/>
      <c r="AD22" s="169"/>
      <c r="AE22" s="169"/>
      <c r="AF22" s="169"/>
      <c r="AG22" s="169"/>
      <c r="AH22" s="169"/>
      <c r="AI22" s="169"/>
      <c r="AJ22" s="169"/>
    </row>
    <row r="23" spans="2:36" s="168" customFormat="1" ht="15" customHeight="1">
      <c r="B23" s="111"/>
      <c r="C23" s="1765"/>
      <c r="D23" s="875" t="str">
        <f>IF(Indice_index!$Z$1=1,"Aquisição Bens de Capital","Capital Goods Acquisition")</f>
        <v>Capital Goods Acquisition</v>
      </c>
      <c r="E23" s="886">
        <v>168.30329104</v>
      </c>
      <c r="F23" s="887">
        <v>168.30329104</v>
      </c>
      <c r="G23" s="886">
        <v>168.30329104</v>
      </c>
      <c r="H23" s="886">
        <v>168.30329104</v>
      </c>
      <c r="I23" s="886">
        <v>168.30329104</v>
      </c>
      <c r="J23" s="886">
        <v>168.30329104</v>
      </c>
      <c r="K23" s="886">
        <v>168.30329104</v>
      </c>
      <c r="L23" s="886">
        <v>168.30329104</v>
      </c>
      <c r="M23" s="886">
        <v>168.30329104</v>
      </c>
      <c r="N23" s="886">
        <v>168.30329104</v>
      </c>
      <c r="O23" s="886">
        <v>168.30329104</v>
      </c>
      <c r="P23" s="886">
        <v>168.30329104</v>
      </c>
      <c r="Q23" s="887">
        <v>168.30329104</v>
      </c>
      <c r="R23" s="881">
        <f t="shared" si="0"/>
        <v>0</v>
      </c>
      <c r="S23" s="452"/>
      <c r="T23" s="169"/>
      <c r="AA23" s="18"/>
      <c r="AB23" s="18"/>
      <c r="AC23" s="18"/>
    </row>
    <row r="24" spans="2:36" s="168" customFormat="1" ht="15" customHeight="1">
      <c r="B24" s="111"/>
      <c r="C24" s="1765"/>
      <c r="D24" s="875" t="str">
        <f>IF(Indice_index!$Z$1=1,"Transferências para AP","Transfers inside GG")</f>
        <v>Transfers inside GG</v>
      </c>
      <c r="E24" s="886">
        <v>16.80015461</v>
      </c>
      <c r="F24" s="887">
        <v>16.80015461</v>
      </c>
      <c r="G24" s="886">
        <v>16.80015461</v>
      </c>
      <c r="H24" s="886">
        <v>16.80015461</v>
      </c>
      <c r="I24" s="886">
        <v>16.80015461</v>
      </c>
      <c r="J24" s="886">
        <v>16.80015461</v>
      </c>
      <c r="K24" s="886">
        <v>16.80015461</v>
      </c>
      <c r="L24" s="886">
        <v>16.80015461</v>
      </c>
      <c r="M24" s="886">
        <v>16.80015461</v>
      </c>
      <c r="N24" s="886">
        <v>16.80015461</v>
      </c>
      <c r="O24" s="886">
        <v>16.80015461</v>
      </c>
      <c r="P24" s="886">
        <v>16.80015461</v>
      </c>
      <c r="Q24" s="887">
        <v>16.80015461</v>
      </c>
      <c r="R24" s="881">
        <f>Q24-P24</f>
        <v>0</v>
      </c>
      <c r="S24" s="452"/>
      <c r="T24" s="169"/>
      <c r="AA24" s="18"/>
      <c r="AB24" s="18"/>
      <c r="AC24" s="18"/>
    </row>
    <row r="25" spans="2:36" s="168" customFormat="1" ht="15" customHeight="1">
      <c r="B25" s="111"/>
      <c r="C25" s="1765"/>
      <c r="D25" s="875" t="str">
        <f>IF(Indice_index!$Z$1=1,"Transferências para fora das AP","Transfers outside GG")</f>
        <v>Transfers outside GG</v>
      </c>
      <c r="E25" s="886">
        <v>20.146202590000001</v>
      </c>
      <c r="F25" s="887">
        <v>20.146202590000001</v>
      </c>
      <c r="G25" s="886">
        <v>20.146202590000001</v>
      </c>
      <c r="H25" s="886">
        <v>20.146202590000001</v>
      </c>
      <c r="I25" s="886">
        <v>20.146202590000001</v>
      </c>
      <c r="J25" s="886">
        <v>20.146202590000001</v>
      </c>
      <c r="K25" s="886">
        <v>20.146202590000001</v>
      </c>
      <c r="L25" s="886">
        <v>20.146202590000001</v>
      </c>
      <c r="M25" s="886">
        <v>20.146202590000001</v>
      </c>
      <c r="N25" s="886">
        <v>20.146202590000001</v>
      </c>
      <c r="O25" s="886">
        <v>20.146202590000001</v>
      </c>
      <c r="P25" s="886">
        <v>20.146202590000001</v>
      </c>
      <c r="Q25" s="887">
        <v>20.146202590000001</v>
      </c>
      <c r="R25" s="881">
        <f t="shared" si="0"/>
        <v>0</v>
      </c>
      <c r="S25" s="452"/>
      <c r="T25" s="169"/>
      <c r="U25" s="169"/>
      <c r="AA25" s="18"/>
      <c r="AB25" s="18"/>
      <c r="AC25" s="18"/>
    </row>
    <row r="26" spans="2:36" s="168" customFormat="1" ht="15" customHeight="1">
      <c r="B26" s="111"/>
      <c r="C26" s="1766"/>
      <c r="D26" s="875" t="str">
        <f>IF(Indice_index!$Z$1=1,"Outras","Others")</f>
        <v>Others</v>
      </c>
      <c r="E26" s="886">
        <v>309.55365148999999</v>
      </c>
      <c r="F26" s="890">
        <v>309.55365148999999</v>
      </c>
      <c r="G26" s="889">
        <v>309.55365148999999</v>
      </c>
      <c r="H26" s="886">
        <v>309.55365148999999</v>
      </c>
      <c r="I26" s="889">
        <v>309.55365148999999</v>
      </c>
      <c r="J26" s="889">
        <v>309.55365148999999</v>
      </c>
      <c r="K26" s="886">
        <v>309.55365148999999</v>
      </c>
      <c r="L26" s="889">
        <v>309.55365148999999</v>
      </c>
      <c r="M26" s="889">
        <v>309.55365148999999</v>
      </c>
      <c r="N26" s="889">
        <v>309.55365148999999</v>
      </c>
      <c r="O26" s="889">
        <v>309.55365148999999</v>
      </c>
      <c r="P26" s="886">
        <v>309.55365148999999</v>
      </c>
      <c r="Q26" s="887">
        <v>309.55365148999999</v>
      </c>
      <c r="R26" s="881">
        <f t="shared" si="0"/>
        <v>0</v>
      </c>
      <c r="S26" s="452"/>
      <c r="T26" s="169"/>
      <c r="U26" s="169"/>
      <c r="AA26" s="18"/>
      <c r="AB26" s="18"/>
      <c r="AC26" s="18"/>
    </row>
    <row r="27" spans="2:36" s="315" customFormat="1" ht="15" customHeight="1">
      <c r="B27" s="313"/>
      <c r="C27" s="1763" t="str">
        <f>IF(Indice_index!$Z$1=1,"Total da Administração Local","Local Government - Total")</f>
        <v>Local Government - Total</v>
      </c>
      <c r="D27" s="1763"/>
      <c r="E27" s="883">
        <v>902.91280036000012</v>
      </c>
      <c r="F27" s="884">
        <v>902.91280036000012</v>
      </c>
      <c r="G27" s="883">
        <v>902.91280036000012</v>
      </c>
      <c r="H27" s="883">
        <v>902.91280036000012</v>
      </c>
      <c r="I27" s="883">
        <v>902.91280036000012</v>
      </c>
      <c r="J27" s="883">
        <v>902.91280036000012</v>
      </c>
      <c r="K27" s="883">
        <v>902.91280036000012</v>
      </c>
      <c r="L27" s="883">
        <v>902.91280036000012</v>
      </c>
      <c r="M27" s="883">
        <v>902.91280036000012</v>
      </c>
      <c r="N27" s="883">
        <v>902.91280036000012</v>
      </c>
      <c r="O27" s="883">
        <v>902.91280036000012</v>
      </c>
      <c r="P27" s="883">
        <v>902.91280036000012</v>
      </c>
      <c r="Q27" s="883">
        <v>902.91280036000012</v>
      </c>
      <c r="R27" s="885">
        <f>Q27-P27</f>
        <v>0</v>
      </c>
      <c r="S27" s="452"/>
      <c r="T27" s="316"/>
      <c r="U27" s="316"/>
      <c r="AA27" s="249"/>
      <c r="AB27" s="249"/>
      <c r="AC27" s="249"/>
    </row>
    <row r="28" spans="2:36" s="315" customFormat="1" ht="15" customHeight="1">
      <c r="B28" s="313"/>
      <c r="C28" s="1763" t="str">
        <f>IF(Indice_index!$Z$1=1,"Total das Administrações Públicas","General Government - Total")</f>
        <v>General Government - Total</v>
      </c>
      <c r="D28" s="1763"/>
      <c r="E28" s="883">
        <v>1866.9991713599998</v>
      </c>
      <c r="F28" s="884">
        <v>1346.4424860400002</v>
      </c>
      <c r="G28" s="883">
        <v>1551.4709091699997</v>
      </c>
      <c r="H28" s="883">
        <v>1578.4034736999997</v>
      </c>
      <c r="I28" s="883">
        <v>1616.805572499999</v>
      </c>
      <c r="J28" s="883">
        <v>1632.06833686</v>
      </c>
      <c r="K28" s="883">
        <v>1676.7415467099986</v>
      </c>
      <c r="L28" s="883">
        <v>1685.9855690299992</v>
      </c>
      <c r="M28" s="883">
        <v>1724.2609038399996</v>
      </c>
      <c r="N28" s="883">
        <v>1736.4540372599997</v>
      </c>
      <c r="O28" s="883">
        <v>1719.16407981</v>
      </c>
      <c r="P28" s="883">
        <v>1722.6844673099997</v>
      </c>
      <c r="Q28" s="883">
        <v>1806.4125576899983</v>
      </c>
      <c r="R28" s="885">
        <f>Q28-P28</f>
        <v>83.728090379998548</v>
      </c>
      <c r="S28" s="452"/>
      <c r="T28" s="316"/>
      <c r="U28" s="316"/>
      <c r="AA28" s="249"/>
      <c r="AB28" s="249"/>
      <c r="AC28" s="249"/>
    </row>
    <row r="29" spans="2:36" s="315" customFormat="1" ht="4.5" customHeight="1">
      <c r="B29" s="313"/>
      <c r="C29" s="891"/>
      <c r="D29" s="891"/>
      <c r="E29" s="892"/>
      <c r="F29" s="892"/>
      <c r="G29" s="892"/>
      <c r="H29" s="892"/>
      <c r="I29" s="892"/>
      <c r="J29" s="892"/>
      <c r="K29" s="892"/>
      <c r="L29" s="892"/>
      <c r="M29" s="892"/>
      <c r="N29" s="892"/>
      <c r="O29" s="892"/>
      <c r="P29" s="892"/>
      <c r="Q29" s="892"/>
      <c r="R29" s="892"/>
      <c r="S29" s="452"/>
      <c r="T29" s="316"/>
      <c r="U29" s="316"/>
      <c r="AA29" s="249"/>
      <c r="AB29" s="249"/>
      <c r="AC29" s="249"/>
    </row>
    <row r="30" spans="2:36" s="168" customFormat="1" ht="15" customHeight="1">
      <c r="B30" s="644"/>
      <c r="C30" s="893"/>
      <c r="D30" s="894" t="str">
        <f>IF(Indice_index!$Z$1=1,"Notas:","Notes:")</f>
        <v>Notes:</v>
      </c>
      <c r="E30" s="895"/>
      <c r="F30" s="895"/>
      <c r="G30" s="895"/>
      <c r="H30" s="895"/>
      <c r="I30" s="895"/>
      <c r="J30" s="895"/>
      <c r="K30" s="895"/>
      <c r="L30" s="895"/>
      <c r="M30" s="895"/>
      <c r="N30" s="895"/>
      <c r="O30" s="895"/>
      <c r="P30" s="895"/>
      <c r="Q30" s="895"/>
      <c r="S30" s="451"/>
      <c r="T30" s="169"/>
      <c r="U30" s="169"/>
      <c r="V30" s="169"/>
      <c r="AB30" s="18"/>
      <c r="AC30" s="18"/>
      <c r="AD30" s="18"/>
    </row>
    <row r="31" spans="2:36" s="168" customFormat="1" ht="15" customHeight="1">
      <c r="B31" s="644"/>
      <c r="C31" s="893"/>
      <c r="D31" s="896" t="str">
        <f>IF(Indice_index!$Z$1=1,"Conceito de passivo não financeiro no âmbito da Lei de Compromissos e Pagamentos em Atraso (Lei n.º8/2012 de 21 de Fevereiro de 2012).","Definition of non financial liability according to the Law of Commitment and Arrears (Law no. 8/2012 of 21 February).")</f>
        <v>Definition of non financial liability according to the Law of Commitment and Arrears (Law no. 8/2012 of 21 February).</v>
      </c>
      <c r="S31" s="451"/>
      <c r="T31" s="169"/>
      <c r="U31" s="169"/>
      <c r="V31" s="169"/>
      <c r="AB31" s="18"/>
      <c r="AC31" s="18"/>
      <c r="AD31" s="18"/>
    </row>
    <row r="32" spans="2:36" s="168" customFormat="1" ht="15" customHeight="1">
      <c r="B32" s="644"/>
      <c r="C32" s="893"/>
      <c r="D32" s="897" t="str">
        <f>IF(Indice_index!$Z$1=1,"AL(*): Considerou-se o stock de dezembro 2019, para efeitos de análise.","LG(*): December 2019 stock was considered for analysis purposes was considered for the purpose of analysis.")</f>
        <v>LG(*): December 2019 stock was considered for analysis purposes was considered for the purpose of analysis.</v>
      </c>
      <c r="S32" s="451"/>
      <c r="T32" s="169"/>
      <c r="U32" s="169"/>
      <c r="V32" s="169"/>
      <c r="AB32" s="18"/>
      <c r="AC32" s="18"/>
      <c r="AD32" s="18"/>
    </row>
    <row r="33" spans="2:30" s="168" customFormat="1" ht="15" customHeight="1">
      <c r="B33" s="644"/>
      <c r="C33" s="893"/>
      <c r="D33" s="896" t="str">
        <f>IF(Indice_index!$Z$1=1,"AC: Exclui a contribuição financeira para EU, pelo facto de a mesma não ser considerada em dívida ","CG:Excludes financial contribution to EU, as it is not considered to be in debt.")</f>
        <v>CG:Excludes financial contribution to EU, as it is not considered to be in debt.</v>
      </c>
      <c r="S33" s="451"/>
      <c r="T33" s="169"/>
      <c r="U33" s="169"/>
      <c r="V33" s="169"/>
      <c r="AB33" s="18"/>
      <c r="AC33" s="18"/>
      <c r="AD33" s="18"/>
    </row>
    <row r="34" spans="2:30" ht="15" customHeight="1">
      <c r="B34" s="96"/>
      <c r="D34" s="898" t="str">
        <f>IF(Indice_index!$Z$1=1,"Fonte: Direção-Geral do Orçamento, DGAL, DR do Orçamento e Tesouro da Madeira e DR Orçamento e Tesouro dos Açores.","Source: Budget General Directorate, DGAL, Azores Autonomous Region Budget and Treasury Regional Directorate and Madeira Autonomous Region Budget and Treasury Regional Directorate.")</f>
        <v>Source: Budget General Directorate, DGAL, Azores Autonomous Region Budget and Treasury Regional Directorate and Madeira Autonomous Region Budget and Treasury Regional Directorate.</v>
      </c>
      <c r="S34" s="111"/>
      <c r="T34" s="169"/>
      <c r="U34" s="169"/>
      <c r="V34" s="169"/>
      <c r="W34" s="168"/>
      <c r="X34" s="168"/>
      <c r="Y34" s="168"/>
      <c r="Z34" s="168"/>
      <c r="AA34" s="168"/>
      <c r="AB34" s="18"/>
      <c r="AC34" s="18"/>
    </row>
    <row r="35" spans="2:30">
      <c r="B35" s="96"/>
      <c r="D35" s="896"/>
      <c r="S35" s="111"/>
      <c r="T35" s="169"/>
      <c r="U35" s="169"/>
      <c r="V35" s="169"/>
      <c r="W35" s="168"/>
      <c r="X35" s="168"/>
      <c r="Y35" s="168"/>
      <c r="Z35" s="168"/>
      <c r="AA35" s="168"/>
      <c r="AB35" s="18"/>
      <c r="AC35" s="18"/>
    </row>
    <row r="36" spans="2:30" ht="15" customHeight="1">
      <c r="B36" s="96"/>
      <c r="S36" s="111"/>
      <c r="T36" s="1762"/>
      <c r="U36" s="1762"/>
      <c r="V36" s="1762"/>
      <c r="W36" s="1762"/>
      <c r="X36" s="1762"/>
      <c r="Y36" s="1762"/>
      <c r="Z36" s="1762"/>
      <c r="AA36" s="1762"/>
      <c r="AB36" s="1762"/>
      <c r="AC36" s="1762"/>
    </row>
    <row r="37" spans="2:30" ht="15" customHeight="1">
      <c r="B37" s="96"/>
      <c r="D37" s="898"/>
      <c r="S37" s="111"/>
      <c r="T37" s="1762"/>
      <c r="U37" s="1762"/>
      <c r="V37" s="1762"/>
      <c r="W37" s="1762"/>
      <c r="X37" s="1762"/>
      <c r="Y37" s="1762"/>
      <c r="Z37" s="1762"/>
      <c r="AA37" s="1762"/>
      <c r="AB37" s="1762"/>
      <c r="AC37" s="1762"/>
    </row>
    <row r="38" spans="2:30" ht="15" customHeight="1">
      <c r="B38" s="96"/>
      <c r="D38" s="899"/>
      <c r="S38" s="111"/>
      <c r="T38" s="1762"/>
      <c r="U38" s="1762"/>
      <c r="V38" s="1762"/>
      <c r="W38" s="1762"/>
      <c r="X38" s="1762"/>
      <c r="Y38" s="1762"/>
      <c r="Z38" s="1762"/>
      <c r="AA38" s="1762"/>
      <c r="AB38" s="1762"/>
      <c r="AC38" s="1762"/>
    </row>
    <row r="39" spans="2:30" s="251" customFormat="1" ht="15" customHeight="1">
      <c r="B39" s="250"/>
      <c r="D39" s="867" t="str">
        <f>IF(Indice_index!$Z$1=1,"Pagamentos em atraso (dívidas por pagar há mais de 90 dias) - Stock em fim de período (consolidado)","Arrears (overdue for more than 90 days) - Stock in the end of the period (consolidated)")</f>
        <v>Arrears (overdue for more than 90 days) - Stock in the end of the period (consolidated)</v>
      </c>
      <c r="S39" s="453"/>
      <c r="U39" s="315"/>
      <c r="V39" s="315"/>
      <c r="W39" s="315"/>
      <c r="X39" s="315"/>
      <c r="Y39" s="315"/>
    </row>
    <row r="40" spans="2:30" s="241" customFormat="1" ht="15" customHeight="1">
      <c r="B40" s="645"/>
      <c r="D40" s="900"/>
      <c r="R40" s="870" t="str">
        <f>IF(Indice_index!$Z$1=1,"€ Milhões","€ Millions")</f>
        <v>€ Millions</v>
      </c>
      <c r="S40" s="454"/>
      <c r="U40" s="338"/>
      <c r="V40" s="338"/>
      <c r="W40" s="338"/>
      <c r="X40" s="338"/>
      <c r="Y40" s="338"/>
    </row>
    <row r="41" spans="2:30" ht="15.75" customHeight="1">
      <c r="B41" s="96"/>
      <c r="D41" s="1767" t="s">
        <v>9</v>
      </c>
      <c r="E41" s="1771">
        <v>2021</v>
      </c>
      <c r="F41" s="1772"/>
      <c r="G41" s="1773">
        <v>2022</v>
      </c>
      <c r="H41" s="1774"/>
      <c r="I41" s="1774"/>
      <c r="J41" s="1774"/>
      <c r="K41" s="1774"/>
      <c r="L41" s="1774"/>
      <c r="M41" s="1774"/>
      <c r="N41" s="1774"/>
      <c r="O41" s="1774"/>
      <c r="P41" s="1774"/>
      <c r="Q41" s="1772"/>
      <c r="R41" s="1769" t="str">
        <f>IF(Indice_index!$Z$1=1,"variação mensal","monthly variation")</f>
        <v>monthly variation</v>
      </c>
      <c r="S41" s="96"/>
      <c r="W41" s="168"/>
      <c r="AB41" s="137"/>
      <c r="AC41" s="137"/>
      <c r="AD41" s="137"/>
    </row>
    <row r="42" spans="2:30" ht="15" customHeight="1">
      <c r="B42" s="96"/>
      <c r="D42" s="1768"/>
      <c r="E42" s="872" t="s">
        <v>583</v>
      </c>
      <c r="F42" s="873" t="str">
        <f>IF(Indice_index!$Z$1=1,"dez*","Dec*")</f>
        <v>Dec*</v>
      </c>
      <c r="G42" s="873" t="s">
        <v>584</v>
      </c>
      <c r="H42" s="874" t="s">
        <v>585</v>
      </c>
      <c r="I42" s="873" t="s">
        <v>586</v>
      </c>
      <c r="J42" s="874" t="s">
        <v>587</v>
      </c>
      <c r="K42" s="874" t="s">
        <v>588</v>
      </c>
      <c r="L42" s="873" t="s">
        <v>589</v>
      </c>
      <c r="M42" s="873" t="s">
        <v>590</v>
      </c>
      <c r="N42" s="871" t="s">
        <v>591</v>
      </c>
      <c r="O42" s="871" t="s">
        <v>581</v>
      </c>
      <c r="P42" s="920" t="s">
        <v>582</v>
      </c>
      <c r="Q42" s="920" t="s">
        <v>583</v>
      </c>
      <c r="R42" s="1770"/>
      <c r="S42" s="96"/>
      <c r="AB42" s="137"/>
      <c r="AC42" s="137"/>
      <c r="AD42" s="137"/>
    </row>
    <row r="43" spans="2:30" s="251" customFormat="1" ht="15" customHeight="1">
      <c r="B43" s="250"/>
      <c r="D43" s="901" t="str">
        <f>IF(Indice_index!$Z$1=1,"Administrações Públicas","General Government")</f>
        <v>General Government</v>
      </c>
      <c r="E43" s="1359">
        <f t="shared" ref="E43:M43" si="1">SUM(E44:E49)</f>
        <v>890.29381393999995</v>
      </c>
      <c r="F43" s="1360">
        <f t="shared" si="1"/>
        <v>299.45953600000001</v>
      </c>
      <c r="G43" s="1361">
        <f t="shared" si="1"/>
        <v>414.17678900000004</v>
      </c>
      <c r="H43" s="1359">
        <f t="shared" si="1"/>
        <v>459.98346831000003</v>
      </c>
      <c r="I43" s="1359">
        <f t="shared" si="1"/>
        <v>506.87780213999997</v>
      </c>
      <c r="J43" s="1359">
        <f t="shared" si="1"/>
        <v>601.76228319000029</v>
      </c>
      <c r="K43" s="1359">
        <f t="shared" si="1"/>
        <v>699.17713006000008</v>
      </c>
      <c r="L43" s="1359">
        <f t="shared" si="1"/>
        <v>834.73582155999998</v>
      </c>
      <c r="M43" s="1359">
        <f t="shared" si="1"/>
        <v>919.43005994000021</v>
      </c>
      <c r="N43" s="1359">
        <f>SUM(N44:N49)</f>
        <v>777.68669265000005</v>
      </c>
      <c r="O43" s="1359">
        <f>SUM(O44:O49)</f>
        <v>903.7300189</v>
      </c>
      <c r="P43" s="1359">
        <f t="shared" ref="P43:Q43" si="2">SUM(P44:P49)</f>
        <v>978.28952993999997</v>
      </c>
      <c r="Q43" s="908">
        <f t="shared" si="2"/>
        <v>1167.9202177100001</v>
      </c>
      <c r="R43" s="902">
        <f t="shared" ref="R43:R50" si="3">Q43-P43</f>
        <v>189.63068777000012</v>
      </c>
      <c r="S43" s="570"/>
    </row>
    <row r="44" spans="2:30" ht="15" customHeight="1">
      <c r="B44" s="96"/>
      <c r="D44" s="903" t="str">
        <f>IF(Indice_index!$Z$1=1,"Admin. Central excl. Subs. Saúde","Central Government excl. Health Subsector")</f>
        <v>Central Government excl. Health Subsector</v>
      </c>
      <c r="E44" s="1575">
        <v>39.732900179999994</v>
      </c>
      <c r="F44" s="1576">
        <v>28.38489285</v>
      </c>
      <c r="G44" s="1577">
        <v>28.561460530000002</v>
      </c>
      <c r="H44" s="1575">
        <v>29.94680211</v>
      </c>
      <c r="I44" s="1575">
        <v>32.38113551</v>
      </c>
      <c r="J44" s="1575">
        <v>34.539867620000003</v>
      </c>
      <c r="K44" s="1575">
        <v>40.794076220000001</v>
      </c>
      <c r="L44" s="1575">
        <v>42.208514370000003</v>
      </c>
      <c r="M44" s="1575">
        <v>43.652452489999995</v>
      </c>
      <c r="N44" s="1575">
        <v>45.311133529999999</v>
      </c>
      <c r="O44" s="1575">
        <v>96.375580880000001</v>
      </c>
      <c r="P44" s="1575">
        <v>97.764037810000005</v>
      </c>
      <c r="Q44" s="1576">
        <v>83.80296783</v>
      </c>
      <c r="R44" s="904">
        <f t="shared" si="3"/>
        <v>-13.961069980000005</v>
      </c>
      <c r="S44" s="570"/>
      <c r="AB44" s="137"/>
      <c r="AC44" s="137"/>
      <c r="AD44" s="137"/>
    </row>
    <row r="45" spans="2:30" ht="15" customHeight="1">
      <c r="B45" s="96"/>
      <c r="D45" s="903" t="str">
        <f>IF(Indice_index!$Z$1=1,"Subsector da Saúde","Health Subsector")</f>
        <v>Health Subsector</v>
      </c>
      <c r="E45" s="1575">
        <v>6.4107240000000001</v>
      </c>
      <c r="F45" s="1576">
        <v>2.7758071000000006</v>
      </c>
      <c r="G45" s="1577">
        <v>5.6885438100000032</v>
      </c>
      <c r="H45" s="1575">
        <v>4.34703807</v>
      </c>
      <c r="I45" s="1575">
        <v>5.1372461500000002</v>
      </c>
      <c r="J45" s="1575">
        <v>4.0887002799999985</v>
      </c>
      <c r="K45" s="1575">
        <v>5.1863336100000037</v>
      </c>
      <c r="L45" s="1575">
        <v>4.8387099700000071</v>
      </c>
      <c r="M45" s="1575">
        <v>5.7911996400000012</v>
      </c>
      <c r="N45" s="1575">
        <v>4.7460636599999955</v>
      </c>
      <c r="O45" s="1575">
        <v>4.6405532199999877</v>
      </c>
      <c r="P45" s="1575">
        <v>2.5627289400000173</v>
      </c>
      <c r="Q45" s="1578">
        <v>3.3545743600000026</v>
      </c>
      <c r="R45" s="904">
        <f t="shared" si="3"/>
        <v>0.79184541999998537</v>
      </c>
      <c r="S45" s="570"/>
      <c r="AB45" s="137"/>
      <c r="AC45" s="137"/>
      <c r="AD45" s="137"/>
    </row>
    <row r="46" spans="2:30" ht="15" customHeight="1">
      <c r="B46" s="96"/>
      <c r="D46" s="903" t="str">
        <f>IF(Indice_index!$Z$1=1,"Hospitais EPE","HNS - EPE Hospitals")</f>
        <v>HNS - EPE Hospitals</v>
      </c>
      <c r="E46" s="1575">
        <v>668.15637400000003</v>
      </c>
      <c r="F46" s="1576">
        <v>107.16077557000001</v>
      </c>
      <c r="G46" s="1577">
        <v>210.44059844</v>
      </c>
      <c r="H46" s="1575">
        <v>253.03455969999999</v>
      </c>
      <c r="I46" s="1575">
        <v>303.91595169999994</v>
      </c>
      <c r="J46" s="1575">
        <v>390.4383427599999</v>
      </c>
      <c r="K46" s="1575">
        <v>469.09213459000006</v>
      </c>
      <c r="L46" s="1575">
        <v>606.73740510999994</v>
      </c>
      <c r="M46" s="1575">
        <v>687.73517439000022</v>
      </c>
      <c r="N46" s="1575">
        <v>542.72080005999999</v>
      </c>
      <c r="O46" s="1575">
        <v>613.28299371999992</v>
      </c>
      <c r="P46" s="1575">
        <v>690.75226739999994</v>
      </c>
      <c r="Q46" s="1578">
        <v>871.13599467000006</v>
      </c>
      <c r="R46" s="904">
        <f t="shared" si="3"/>
        <v>180.38372727000012</v>
      </c>
      <c r="S46" s="570"/>
      <c r="AB46" s="137"/>
      <c r="AC46" s="137"/>
      <c r="AD46" s="137"/>
    </row>
    <row r="47" spans="2:30" ht="15" customHeight="1">
      <c r="B47" s="96"/>
      <c r="D47" s="903" t="str">
        <f>IF(Indice_index!$Z$1=1,"Empresas Públicas Reclassificadas","Reclassified Public Enterprises")</f>
        <v>Reclassified Public Enterprises</v>
      </c>
      <c r="E47" s="1575">
        <v>22.96524037999999</v>
      </c>
      <c r="F47" s="1576">
        <v>12.762309</v>
      </c>
      <c r="G47" s="1577">
        <v>12.762309</v>
      </c>
      <c r="H47" s="1575">
        <v>12.762309</v>
      </c>
      <c r="I47" s="1575">
        <v>12.762309</v>
      </c>
      <c r="J47" s="1575">
        <v>14.36457812000002</v>
      </c>
      <c r="K47" s="1575">
        <v>16.55391013000002</v>
      </c>
      <c r="L47" s="1575">
        <v>21.921374740000022</v>
      </c>
      <c r="M47" s="1575">
        <v>17.186012840000021</v>
      </c>
      <c r="N47" s="1575">
        <v>16.870665190000022</v>
      </c>
      <c r="O47" s="1575">
        <v>16.45877809000002</v>
      </c>
      <c r="P47" s="1575">
        <v>13.284105030000022</v>
      </c>
      <c r="Q47" s="1576">
        <v>27.276488330000021</v>
      </c>
      <c r="R47" s="904">
        <f t="shared" si="3"/>
        <v>13.992383299999998</v>
      </c>
      <c r="S47" s="570"/>
      <c r="AB47" s="137"/>
      <c r="AC47" s="137"/>
      <c r="AD47" s="137"/>
    </row>
    <row r="48" spans="2:30" ht="15" customHeight="1">
      <c r="B48" s="96"/>
      <c r="D48" s="903" t="str">
        <f>IF(Indice_index!$Z$1=1,"Administração Local","Local Government")</f>
        <v>Local Government</v>
      </c>
      <c r="E48" s="1579">
        <v>56.810747100000007</v>
      </c>
      <c r="F48" s="1580">
        <v>56.810747100000007</v>
      </c>
      <c r="G48" s="1581">
        <v>56.810747100000007</v>
      </c>
      <c r="H48" s="1579">
        <v>56.810747100000007</v>
      </c>
      <c r="I48" s="1579">
        <v>56.810747100000007</v>
      </c>
      <c r="J48" s="1579">
        <v>56.810747100000007</v>
      </c>
      <c r="K48" s="1579">
        <v>56.810747100000007</v>
      </c>
      <c r="L48" s="1579">
        <v>56.810747100000007</v>
      </c>
      <c r="M48" s="1579">
        <v>56.810747100000007</v>
      </c>
      <c r="N48" s="1579">
        <v>56.810747100000007</v>
      </c>
      <c r="O48" s="1579">
        <v>56.810747100000007</v>
      </c>
      <c r="P48" s="1579">
        <v>56.810747100000007</v>
      </c>
      <c r="Q48" s="1580">
        <v>56.810747100000007</v>
      </c>
      <c r="R48" s="905">
        <f t="shared" si="3"/>
        <v>0</v>
      </c>
      <c r="S48" s="570"/>
      <c r="AB48" s="137"/>
      <c r="AC48" s="137"/>
      <c r="AD48" s="137"/>
    </row>
    <row r="49" spans="2:30" ht="15" customHeight="1">
      <c r="B49" s="96"/>
      <c r="D49" s="903" t="str">
        <f>IF(Indice_index!$Z$1=1,"Administração Regional","Regional Government")</f>
        <v>Regional Government</v>
      </c>
      <c r="E49" s="1575">
        <v>96.217828280000006</v>
      </c>
      <c r="F49" s="1576">
        <v>91.565004379999991</v>
      </c>
      <c r="G49" s="1577">
        <v>99.913130120000005</v>
      </c>
      <c r="H49" s="1575">
        <v>103.08201233000001</v>
      </c>
      <c r="I49" s="1575">
        <v>95.870412680000044</v>
      </c>
      <c r="J49" s="1575">
        <v>101.52004731000035</v>
      </c>
      <c r="K49" s="1575">
        <v>110.73992841000005</v>
      </c>
      <c r="L49" s="1575">
        <v>102.21907027000003</v>
      </c>
      <c r="M49" s="1575">
        <v>108.25447348000002</v>
      </c>
      <c r="N49" s="1575">
        <v>111.22728311</v>
      </c>
      <c r="O49" s="1575">
        <v>116.16136589000003</v>
      </c>
      <c r="P49" s="1575">
        <v>117.11564366000005</v>
      </c>
      <c r="Q49" s="1576">
        <v>125.53944542000001</v>
      </c>
      <c r="R49" s="905">
        <f t="shared" si="3"/>
        <v>8.4238017599999608</v>
      </c>
      <c r="S49" s="570"/>
      <c r="AB49" s="137"/>
      <c r="AC49" s="137"/>
      <c r="AD49" s="137"/>
    </row>
    <row r="50" spans="2:30" s="251" customFormat="1" ht="15" customHeight="1">
      <c r="B50" s="250"/>
      <c r="D50" s="906" t="str">
        <f>IF(Indice_index!$Z$1=1,"Outras Entidades","Other Entities")</f>
        <v>Other Entities</v>
      </c>
      <c r="E50" s="907">
        <v>0.44664528999999997</v>
      </c>
      <c r="F50" s="921">
        <v>0.44664528999999997</v>
      </c>
      <c r="G50" s="923">
        <v>0.44664528999999997</v>
      </c>
      <c r="H50" s="907">
        <v>0.44664528999999997</v>
      </c>
      <c r="I50" s="907">
        <v>0.44664528999999997</v>
      </c>
      <c r="J50" s="907">
        <v>0.44664528999999997</v>
      </c>
      <c r="K50" s="907">
        <v>0.44664528999999997</v>
      </c>
      <c r="L50" s="907">
        <v>0.44664528999999997</v>
      </c>
      <c r="M50" s="907">
        <v>0.44664528999999997</v>
      </c>
      <c r="N50" s="907">
        <v>0.44664528999999997</v>
      </c>
      <c r="O50" s="907">
        <v>0.44664528999999997</v>
      </c>
      <c r="P50" s="907">
        <v>0.44664528999999997</v>
      </c>
      <c r="Q50" s="908">
        <v>0.44664528999999997</v>
      </c>
      <c r="R50" s="909">
        <f t="shared" si="3"/>
        <v>0</v>
      </c>
      <c r="S50" s="570"/>
    </row>
    <row r="51" spans="2:30" ht="15" customHeight="1">
      <c r="B51" s="96"/>
      <c r="D51" s="903" t="str">
        <f>IF(Indice_index!$Z$1=1,"Empr. Públicas Não Reclassificadas","Non-reclassified Public Enterprises")</f>
        <v>Non-reclassified Public Enterprises</v>
      </c>
      <c r="E51" s="910">
        <v>0.44664528999999997</v>
      </c>
      <c r="F51" s="922">
        <v>0.44664528999999997</v>
      </c>
      <c r="G51" s="924">
        <v>0.44664528999999997</v>
      </c>
      <c r="H51" s="911">
        <v>0.44664528999999997</v>
      </c>
      <c r="I51" s="910">
        <v>0.44664528999999997</v>
      </c>
      <c r="J51" s="910">
        <v>0.44664528999999997</v>
      </c>
      <c r="K51" s="911">
        <v>0.44664528999999997</v>
      </c>
      <c r="L51" s="911">
        <v>0.44664528999999997</v>
      </c>
      <c r="M51" s="910">
        <v>0.44664528999999997</v>
      </c>
      <c r="N51" s="910">
        <v>0.44664528999999997</v>
      </c>
      <c r="O51" s="910">
        <v>0.44664528999999997</v>
      </c>
      <c r="P51" s="910">
        <v>0.44664528999999997</v>
      </c>
      <c r="Q51" s="912">
        <v>0.44664528999999997</v>
      </c>
      <c r="R51" s="913">
        <f>Q51-P51</f>
        <v>0</v>
      </c>
      <c r="S51" s="570"/>
      <c r="AB51" s="137"/>
      <c r="AC51" s="137"/>
      <c r="AD51" s="137"/>
    </row>
    <row r="52" spans="2:30" s="251" customFormat="1" ht="15" customHeight="1">
      <c r="B52" s="250"/>
      <c r="D52" s="914" t="str">
        <f>IF(Indice_index!$Z$1=1,"Total","Total")</f>
        <v>Total</v>
      </c>
      <c r="E52" s="1362">
        <f>E50+E43</f>
        <v>890.74045922999994</v>
      </c>
      <c r="F52" s="1362">
        <f t="shared" ref="F52:O52" si="4">F50+F43</f>
        <v>299.90618129000001</v>
      </c>
      <c r="G52" s="1362">
        <f t="shared" si="4"/>
        <v>414.62343429000003</v>
      </c>
      <c r="H52" s="1363">
        <f t="shared" si="4"/>
        <v>460.43011360000003</v>
      </c>
      <c r="I52" s="1362">
        <f t="shared" si="4"/>
        <v>507.32444742999996</v>
      </c>
      <c r="J52" s="1362">
        <f t="shared" si="4"/>
        <v>602.20892848000028</v>
      </c>
      <c r="K52" s="1362">
        <f t="shared" si="4"/>
        <v>699.62377535000007</v>
      </c>
      <c r="L52" s="1362">
        <f t="shared" si="4"/>
        <v>835.18246684999997</v>
      </c>
      <c r="M52" s="1362">
        <f t="shared" si="4"/>
        <v>919.8767052300002</v>
      </c>
      <c r="N52" s="1362">
        <f>N50+N43</f>
        <v>778.13333794000005</v>
      </c>
      <c r="O52" s="1362">
        <f t="shared" si="4"/>
        <v>904.17666419</v>
      </c>
      <c r="P52" s="1362">
        <f>P50+P43</f>
        <v>978.73617522999996</v>
      </c>
      <c r="Q52" s="1364">
        <f>Q50+Q43</f>
        <v>1168.3668630000002</v>
      </c>
      <c r="R52" s="915">
        <f>Q52-P52</f>
        <v>189.63068777000024</v>
      </c>
      <c r="S52" s="570"/>
      <c r="U52" s="315"/>
    </row>
    <row r="53" spans="2:30" s="251" customFormat="1" ht="4.5" customHeight="1">
      <c r="B53" s="250"/>
      <c r="D53" s="916"/>
      <c r="E53" s="917"/>
      <c r="F53" s="917"/>
      <c r="G53" s="917"/>
      <c r="H53" s="917"/>
      <c r="I53" s="917"/>
      <c r="J53" s="917"/>
      <c r="K53" s="917"/>
      <c r="L53" s="917"/>
      <c r="M53" s="917"/>
      <c r="N53" s="917"/>
      <c r="O53" s="917"/>
      <c r="P53" s="917"/>
      <c r="Q53" s="917"/>
      <c r="R53" s="917"/>
      <c r="S53" s="250"/>
      <c r="U53" s="315"/>
    </row>
    <row r="54" spans="2:30" ht="15" customHeight="1">
      <c r="B54" s="96"/>
      <c r="D54" s="918" t="str">
        <f>IF(Indice_index!$Z$1=1,"Notas:","Notes:")</f>
        <v>Notes:</v>
      </c>
      <c r="E54" s="919"/>
      <c r="F54" s="919"/>
      <c r="K54" s="919"/>
      <c r="R54" s="919"/>
      <c r="S54" s="96"/>
      <c r="U54" s="168"/>
      <c r="AB54" s="137"/>
      <c r="AC54" s="137"/>
      <c r="AD54" s="137"/>
    </row>
    <row r="55" spans="2:30" ht="15" customHeight="1">
      <c r="B55" s="96"/>
      <c r="D55" s="919" t="str">
        <f>IF(Indice_index!$Z$1=1,"Conceito de pagamentos em atraso no âmbito da Lei de Compromissos e Pagamentos em Atraso (Lei n.º8/2012 de 21 de Fevereiro de 2012).","Definition of arrears according to the Law of Commitment and Arrears (Law no. 8/2012 of 21 February).")</f>
        <v>Definition of arrears according to the Law of Commitment and Arrears (Law no. 8/2012 of 21 February).</v>
      </c>
      <c r="E55" s="919"/>
      <c r="F55" s="919"/>
      <c r="K55" s="919"/>
      <c r="R55" s="919"/>
      <c r="S55" s="96"/>
      <c r="U55" s="168"/>
      <c r="AB55" s="137"/>
      <c r="AC55" s="137"/>
      <c r="AD55" s="137"/>
    </row>
    <row r="56" spans="2:30" ht="15" customHeight="1">
      <c r="B56" s="96"/>
      <c r="D56" s="897" t="str">
        <f>IF(Indice_index!$Z$1=1,"AL(*): Considerou-se o stock de dezembro 2019, para efeitos de análise.","LG(*): December 2019 stock was considered for analysis purposes was considered for the purpose of analysis.")</f>
        <v>LG(*): December 2019 stock was considered for analysis purposes was considered for the purpose of analysis.</v>
      </c>
      <c r="E56" s="919"/>
      <c r="F56" s="919"/>
      <c r="G56" s="919"/>
      <c r="L56" s="919"/>
      <c r="R56" s="919"/>
      <c r="S56" s="96"/>
      <c r="U56" s="168"/>
      <c r="AB56" s="137"/>
      <c r="AC56" s="137"/>
      <c r="AD56" s="137"/>
    </row>
    <row r="57" spans="2:30" ht="15" customHeight="1">
      <c r="B57" s="96"/>
      <c r="D57" s="1761" t="str">
        <f>IF(Indice_index!$Z$1=1,"Fonte: Compilado pela DGO sobre os dados recolhidos pela ACSS, DGAL, DGO, DGTF, DR Orçamento e Tesouro da Madeira e DR Orçamento e Tesouro dos Açores.","Source: Compiled by DGO on data collected by DGAL, DGO,  Azores Autonomous Region Budget and Treasury Regional Directorate and Madeira Autonomous Region Budget and Treasury Regional Directorate.")</f>
        <v>Source: Compiled by DGO on data collected by DGAL, DGO,  Azores Autonomous Region Budget and Treasury Regional Directorate and Madeira Autonomous Region Budget and Treasury Regional Directorate.</v>
      </c>
      <c r="E57" s="1761"/>
      <c r="F57" s="1761"/>
      <c r="G57" s="1761"/>
      <c r="H57" s="1761"/>
      <c r="I57" s="1761"/>
      <c r="J57" s="1761"/>
      <c r="K57" s="1761"/>
      <c r="L57" s="1761"/>
      <c r="M57" s="1761"/>
      <c r="N57" s="1761"/>
      <c r="O57" s="1761"/>
      <c r="P57" s="1761"/>
      <c r="Q57" s="1761"/>
      <c r="R57" s="1761"/>
      <c r="S57" s="96"/>
    </row>
    <row r="58" spans="2:30">
      <c r="B58" s="96"/>
      <c r="C58" s="96"/>
      <c r="D58" s="96"/>
      <c r="E58" s="96"/>
      <c r="F58" s="96"/>
      <c r="G58" s="96"/>
      <c r="H58" s="96"/>
      <c r="I58" s="96"/>
      <c r="J58" s="96"/>
      <c r="K58" s="96"/>
      <c r="L58" s="96"/>
      <c r="M58" s="96"/>
      <c r="N58" s="96"/>
      <c r="O58" s="96"/>
      <c r="P58" s="96"/>
      <c r="Q58" s="96"/>
      <c r="R58" s="96"/>
      <c r="S58" s="96"/>
    </row>
    <row r="59" spans="2:30">
      <c r="B59" s="96"/>
      <c r="C59" s="96"/>
      <c r="D59" s="96"/>
      <c r="E59" s="96"/>
      <c r="F59" s="96"/>
      <c r="G59" s="96"/>
      <c r="H59" s="96"/>
      <c r="I59" s="96"/>
      <c r="J59" s="96"/>
      <c r="K59" s="96"/>
      <c r="L59" s="96"/>
      <c r="M59" s="96"/>
      <c r="N59" s="96"/>
      <c r="O59" s="96"/>
      <c r="P59" s="96"/>
      <c r="Q59" s="96"/>
      <c r="R59" s="96"/>
      <c r="S59" s="96"/>
    </row>
    <row r="60" spans="2:30">
      <c r="C60" s="96"/>
      <c r="D60" s="96"/>
      <c r="E60" s="653"/>
      <c r="F60" s="653"/>
      <c r="G60" s="653"/>
      <c r="H60" s="653"/>
      <c r="I60" s="653"/>
      <c r="J60" s="653"/>
      <c r="K60" s="653"/>
      <c r="L60" s="653"/>
      <c r="M60" s="653"/>
      <c r="N60" s="653"/>
      <c r="O60" s="653"/>
      <c r="P60" s="653"/>
      <c r="Q60" s="96"/>
      <c r="R60" s="96"/>
    </row>
    <row r="61" spans="2:30">
      <c r="E61" s="330"/>
      <c r="F61" s="330"/>
      <c r="G61" s="330"/>
      <c r="H61" s="330"/>
      <c r="I61" s="330"/>
      <c r="J61" s="330"/>
      <c r="K61" s="330"/>
      <c r="L61" s="330"/>
      <c r="M61" s="330"/>
      <c r="N61" s="330"/>
      <c r="O61" s="330"/>
    </row>
  </sheetData>
  <mergeCells count="17">
    <mergeCell ref="R8:R9"/>
    <mergeCell ref="C8:D9"/>
    <mergeCell ref="C10:C14"/>
    <mergeCell ref="C15:D15"/>
    <mergeCell ref="C16:C20"/>
    <mergeCell ref="E8:F8"/>
    <mergeCell ref="G8:Q8"/>
    <mergeCell ref="D57:R57"/>
    <mergeCell ref="T36:AC38"/>
    <mergeCell ref="C21:D21"/>
    <mergeCell ref="C22:C26"/>
    <mergeCell ref="C27:D27"/>
    <mergeCell ref="C28:D28"/>
    <mergeCell ref="D41:D42"/>
    <mergeCell ref="R41:R42"/>
    <mergeCell ref="E41:F41"/>
    <mergeCell ref="G41:Q41"/>
  </mergeCells>
  <printOptions horizontalCentered="1"/>
  <pageMargins left="0.70866141732283472" right="0.70866141732283472" top="0.74803149606299213" bottom="0.74803149606299213" header="0.74803149606299213" footer="0.35433070866141736"/>
  <pageSetup paperSize="9" scale="55" orientation="portrait" r:id="rId1"/>
  <headerFooter differentOddEven="1">
    <oddFooter>&amp;R&amp;G</oddFooter>
    <evenFooter>&amp;L&amp;G</evenFooter>
  </headerFooter>
  <ignoredErrors>
    <ignoredError sqref="E43:Q43" formulaRange="1"/>
  </ignoredErrors>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3"/>
  <dimension ref="B1:AP598"/>
  <sheetViews>
    <sheetView showGridLines="0" zoomScaleNormal="100" zoomScaleSheetLayoutView="100" workbookViewId="0">
      <selection activeCell="B2" sqref="B2"/>
    </sheetView>
  </sheetViews>
  <sheetFormatPr defaultColWidth="6.54296875" defaultRowHeight="12"/>
  <cols>
    <col min="1" max="1" width="2.54296875" style="229" customWidth="1"/>
    <col min="2" max="2" width="4.453125" style="229" customWidth="1"/>
    <col min="3" max="3" width="5.453125" style="229" customWidth="1"/>
    <col min="4" max="4" width="9.54296875" style="229" customWidth="1"/>
    <col min="5" max="5" width="11" style="229" customWidth="1"/>
    <col min="6" max="6" width="9.453125" style="229" customWidth="1"/>
    <col min="7" max="7" width="11" style="229" customWidth="1"/>
    <col min="8" max="8" width="9.54296875" style="229" customWidth="1"/>
    <col min="9" max="9" width="10.81640625" style="229" customWidth="1"/>
    <col min="10" max="10" width="9.81640625" style="229" customWidth="1"/>
    <col min="11" max="11" width="9.453125" style="229" customWidth="1"/>
    <col min="12" max="12" width="10.1796875" style="171" customWidth="1"/>
    <col min="13" max="13" width="9.453125" style="171" customWidth="1"/>
    <col min="14" max="14" width="9.54296875" style="171" customWidth="1"/>
    <col min="15" max="15" width="10" style="171" customWidth="1"/>
    <col min="16" max="16" width="10.453125" style="171" customWidth="1"/>
    <col min="17" max="17" width="13" style="229" customWidth="1"/>
    <col min="18" max="18" width="8.54296875" style="229" customWidth="1"/>
    <col min="19" max="19" width="7.54296875" style="229" customWidth="1"/>
    <col min="20" max="20" width="8.81640625" style="229" customWidth="1"/>
    <col min="21" max="21" width="11.54296875" style="229" customWidth="1"/>
    <col min="22" max="22" width="8.1796875" style="229" customWidth="1"/>
    <col min="23" max="23" width="13" style="229" customWidth="1"/>
    <col min="24" max="24" width="9.1796875" style="50" customWidth="1"/>
    <col min="25" max="25" width="10.81640625" style="50" customWidth="1"/>
    <col min="26" max="26" width="9.1796875" style="50" customWidth="1"/>
    <col min="27" max="27" width="9.1796875" style="170" customWidth="1"/>
    <col min="28" max="29" width="6.54296875" style="229"/>
    <col min="30" max="30" width="7" style="229" bestFit="1" customWidth="1"/>
    <col min="31" max="31" width="6.54296875" style="229" bestFit="1" customWidth="1"/>
    <col min="32" max="34" width="7" style="229" bestFit="1" customWidth="1"/>
    <col min="35" max="35" width="6.54296875" style="229" bestFit="1" customWidth="1"/>
    <col min="36" max="37" width="7" style="229" bestFit="1" customWidth="1"/>
    <col min="38" max="38" width="6.54296875" style="229" bestFit="1" customWidth="1"/>
    <col min="39" max="41" width="7" style="229" bestFit="1" customWidth="1"/>
    <col min="42" max="16384" width="6.54296875" style="229"/>
  </cols>
  <sheetData>
    <row r="1" spans="2:34" s="50" customFormat="1" ht="15" customHeight="1">
      <c r="B1" s="49"/>
      <c r="H1" s="155"/>
      <c r="I1" s="155"/>
    </row>
    <row r="2" spans="2:34" ht="24" customHeight="1">
      <c r="B2" s="50"/>
      <c r="C2" s="51" t="str">
        <f>IF(Indice_index!$Z$1=1,"19 - Indicadores Físicos e Financeiros do Sistema de Proteção Social da Função Pública","19 - Public Servants Social Scheme - Flows")</f>
        <v>19 - Public Servants Social Scheme - Flows</v>
      </c>
      <c r="D2" s="51"/>
      <c r="E2" s="51"/>
      <c r="F2" s="51"/>
      <c r="G2" s="51"/>
      <c r="H2" s="51"/>
      <c r="I2" s="51"/>
      <c r="J2" s="51"/>
      <c r="K2" s="51"/>
      <c r="L2" s="51"/>
      <c r="M2" s="51"/>
      <c r="N2" s="51"/>
      <c r="O2" s="51"/>
      <c r="P2" s="51"/>
      <c r="X2" s="80"/>
      <c r="Z2" s="80"/>
    </row>
    <row r="3" spans="2:34" ht="15" customHeight="1">
      <c r="X3" s="80"/>
    </row>
    <row r="4" spans="2:34" ht="15" customHeight="1"/>
    <row r="5" spans="2:34" s="242" customFormat="1" ht="15" customHeight="1">
      <c r="C5" s="1354" t="str">
        <f>IF(Indice_index!$Z$1=1,"Pensionistas","Pensioners")</f>
        <v>Pensioners</v>
      </c>
      <c r="D5" s="443"/>
      <c r="E5" s="443"/>
      <c r="F5" s="443"/>
      <c r="G5" s="443"/>
      <c r="H5" s="1349"/>
      <c r="I5" s="1349"/>
      <c r="J5" s="1349"/>
      <c r="K5" s="1348" t="str">
        <f>IF(Indice_index!$Z$1=1,"Subscritores","Subscribers")</f>
        <v>Subscribers</v>
      </c>
      <c r="L5" s="1349"/>
      <c r="M5" s="1349"/>
      <c r="N5" s="1349"/>
      <c r="O5" s="1349"/>
      <c r="P5" s="1349"/>
      <c r="Q5" s="443"/>
      <c r="X5" s="240"/>
      <c r="Y5" s="240"/>
      <c r="Z5" s="240"/>
      <c r="AA5" s="243"/>
    </row>
    <row r="6" spans="2:34" ht="11.25" customHeight="1">
      <c r="C6" s="1347"/>
      <c r="D6" s="1346"/>
      <c r="E6" s="1781" t="str">
        <f>IF(Indice_index!$Z$1=1,"Número","Number")</f>
        <v>Number</v>
      </c>
      <c r="F6" s="1781"/>
      <c r="G6" s="1781"/>
      <c r="H6" s="1781"/>
      <c r="I6" s="1782" t="str">
        <f>IF(Indice_index!$Z$1=1,"Valor médio pago por pensionista (€)","Average Value paid per Pensioner (€)")</f>
        <v>Average Value paid per Pensioner (€)</v>
      </c>
      <c r="K6" s="1783" t="str">
        <f>IF(Indice_index!$Z$1=1,"Número","Number")</f>
        <v>Number</v>
      </c>
      <c r="L6" s="229"/>
      <c r="M6" s="229"/>
      <c r="N6" s="229"/>
      <c r="O6" s="229"/>
      <c r="P6" s="229"/>
      <c r="R6" s="50"/>
      <c r="S6" s="50"/>
      <c r="T6" s="50"/>
      <c r="U6" s="170"/>
      <c r="X6" s="229"/>
      <c r="Y6" s="229"/>
      <c r="Z6" s="229"/>
      <c r="AA6" s="229"/>
    </row>
    <row r="7" spans="2:34" ht="21">
      <c r="C7" s="1345"/>
      <c r="D7" s="1344"/>
      <c r="E7" s="1343" t="str">
        <f>IF(Indice_index!$Z$1=1,"Velhice e Outros Motivos","Old age and other Reasons")</f>
        <v>Old age and other Reasons</v>
      </c>
      <c r="F7" s="1342" t="str">
        <f>IF(Indice_index!$Z$1=1,"Invalidez","Disability")</f>
        <v>Disability</v>
      </c>
      <c r="G7" s="1343" t="str">
        <f>IF(Indice_index!$Z$1=1,"Sobrevivência e Outros","Survival and Others")</f>
        <v>Survival and Others</v>
      </c>
      <c r="H7" s="1343" t="str">
        <f>IF(Indice_index!$Z$1=1,"Total de Pensionistas","Total of Pensioners")</f>
        <v>Total of Pensioners</v>
      </c>
      <c r="I7" s="1782"/>
      <c r="K7" s="1784"/>
      <c r="L7" s="229"/>
      <c r="M7" s="229"/>
      <c r="N7" s="229"/>
      <c r="O7" s="229"/>
      <c r="P7" s="229"/>
      <c r="R7" s="50"/>
      <c r="S7" s="50"/>
      <c r="T7" s="50"/>
      <c r="U7" s="170"/>
      <c r="X7" s="229"/>
      <c r="Y7" s="229"/>
      <c r="Z7" s="229"/>
      <c r="AA7" s="229"/>
    </row>
    <row r="8" spans="2:34" hidden="1">
      <c r="C8" s="1341" t="s">
        <v>10</v>
      </c>
      <c r="D8" s="644"/>
      <c r="E8" s="172"/>
      <c r="F8" s="172"/>
      <c r="G8" s="172"/>
      <c r="H8" s="172"/>
      <c r="I8" s="171"/>
      <c r="K8" s="171"/>
      <c r="L8" s="229"/>
      <c r="M8" s="229"/>
      <c r="N8" s="229"/>
      <c r="O8" s="229"/>
      <c r="P8" s="229"/>
      <c r="R8" s="50"/>
      <c r="S8" s="50"/>
      <c r="T8" s="50"/>
      <c r="U8" s="170"/>
      <c r="V8" s="170"/>
      <c r="W8" s="170"/>
      <c r="X8" s="170"/>
      <c r="Y8" s="170"/>
      <c r="Z8" s="170"/>
      <c r="AB8" s="170"/>
      <c r="AC8" s="170"/>
      <c r="AD8" s="170"/>
      <c r="AE8" s="170"/>
      <c r="AF8" s="170"/>
      <c r="AG8" s="170"/>
      <c r="AH8" s="170"/>
    </row>
    <row r="9" spans="2:34" hidden="1">
      <c r="C9" s="1341"/>
      <c r="D9" s="172" t="str">
        <f>IF(Indice_index!$Z$1=1,"janeiro","January")</f>
        <v>January</v>
      </c>
      <c r="E9" s="172">
        <v>378477</v>
      </c>
      <c r="F9" s="172">
        <v>75381</v>
      </c>
      <c r="G9" s="172">
        <v>138644</v>
      </c>
      <c r="H9" s="172">
        <v>592502</v>
      </c>
      <c r="I9" s="171">
        <v>1074.8</v>
      </c>
      <c r="K9" s="172">
        <v>556738</v>
      </c>
      <c r="L9" s="229"/>
      <c r="M9" s="229"/>
      <c r="N9" s="229"/>
      <c r="O9" s="229"/>
      <c r="P9" s="229"/>
      <c r="R9" s="50"/>
      <c r="S9" s="50"/>
      <c r="T9" s="50"/>
      <c r="U9" s="170"/>
      <c r="V9" s="170"/>
      <c r="W9" s="170"/>
      <c r="X9" s="170"/>
      <c r="Y9" s="170"/>
      <c r="Z9" s="170"/>
      <c r="AB9" s="170"/>
      <c r="AC9" s="170"/>
      <c r="AD9" s="170"/>
      <c r="AE9" s="170"/>
      <c r="AF9" s="170"/>
      <c r="AG9" s="170"/>
      <c r="AH9" s="170"/>
    </row>
    <row r="10" spans="2:34" hidden="1">
      <c r="C10" s="1341"/>
      <c r="D10" s="172" t="str">
        <f>IF(Indice_index!$Z$1=1,"fevereiro","February")</f>
        <v>February</v>
      </c>
      <c r="E10" s="172">
        <v>379557</v>
      </c>
      <c r="F10" s="172">
        <v>75384</v>
      </c>
      <c r="G10" s="172">
        <v>138827</v>
      </c>
      <c r="H10" s="172">
        <v>593768</v>
      </c>
      <c r="I10" s="171">
        <v>1080.9000000000001</v>
      </c>
      <c r="K10" s="172">
        <v>555064</v>
      </c>
      <c r="L10" s="229"/>
      <c r="M10" s="229"/>
      <c r="N10" s="229"/>
      <c r="O10" s="229"/>
      <c r="P10" s="229"/>
      <c r="R10" s="50"/>
      <c r="S10" s="50"/>
      <c r="T10" s="50"/>
      <c r="U10" s="170"/>
      <c r="V10" s="170"/>
      <c r="W10" s="170"/>
      <c r="X10" s="170"/>
      <c r="Y10" s="170"/>
      <c r="Z10" s="170"/>
      <c r="AB10" s="170"/>
      <c r="AC10" s="170"/>
      <c r="AD10" s="170"/>
      <c r="AE10" s="170"/>
      <c r="AF10" s="170"/>
      <c r="AG10" s="170"/>
      <c r="AH10" s="170"/>
    </row>
    <row r="11" spans="2:34" hidden="1">
      <c r="C11" s="1341"/>
      <c r="D11" s="172" t="str">
        <f>IF(Indice_index!$Z$1=1,"março","March")</f>
        <v>March</v>
      </c>
      <c r="E11" s="172">
        <v>380009</v>
      </c>
      <c r="F11" s="172">
        <v>75439</v>
      </c>
      <c r="G11" s="172">
        <v>139183</v>
      </c>
      <c r="H11" s="172">
        <v>594631</v>
      </c>
      <c r="I11" s="171">
        <v>1083.2</v>
      </c>
      <c r="K11" s="172">
        <v>550279</v>
      </c>
      <c r="L11" s="229"/>
      <c r="M11" s="229"/>
      <c r="N11" s="229"/>
      <c r="O11" s="229"/>
      <c r="P11" s="229"/>
      <c r="R11" s="50"/>
      <c r="S11" s="50"/>
      <c r="T11" s="50"/>
      <c r="U11" s="170"/>
      <c r="V11" s="170"/>
      <c r="W11" s="170"/>
      <c r="X11" s="170"/>
      <c r="Y11" s="170"/>
      <c r="Z11" s="170"/>
      <c r="AB11" s="170"/>
      <c r="AC11" s="170"/>
      <c r="AD11" s="170"/>
      <c r="AE11" s="170"/>
      <c r="AF11" s="170"/>
      <c r="AG11" s="170"/>
      <c r="AH11" s="170"/>
    </row>
    <row r="12" spans="2:34" hidden="1">
      <c r="C12" s="1341"/>
      <c r="D12" s="172" t="str">
        <f>IF(Indice_index!$Z$1=1,"abril","April")</f>
        <v>April</v>
      </c>
      <c r="E12" s="172">
        <v>380486</v>
      </c>
      <c r="F12" s="172">
        <v>75467</v>
      </c>
      <c r="G12" s="172">
        <v>139319</v>
      </c>
      <c r="H12" s="172">
        <v>595272</v>
      </c>
      <c r="I12" s="171">
        <v>1078.8</v>
      </c>
      <c r="K12" s="172">
        <v>548983</v>
      </c>
      <c r="L12" s="229"/>
      <c r="M12" s="229"/>
      <c r="N12" s="229"/>
      <c r="O12" s="229"/>
      <c r="P12" s="229"/>
      <c r="R12" s="50"/>
      <c r="S12" s="50"/>
      <c r="T12" s="50"/>
      <c r="U12" s="170"/>
      <c r="V12" s="170"/>
      <c r="W12" s="170"/>
      <c r="X12" s="170"/>
      <c r="Y12" s="170"/>
      <c r="Z12" s="170"/>
      <c r="AB12" s="170"/>
      <c r="AC12" s="170"/>
      <c r="AD12" s="170"/>
      <c r="AE12" s="170"/>
      <c r="AF12" s="170"/>
      <c r="AG12" s="170"/>
      <c r="AH12" s="170"/>
    </row>
    <row r="13" spans="2:34" hidden="1">
      <c r="C13" s="1341"/>
      <c r="D13" s="172" t="str">
        <f>IF(Indice_index!$Z$1=1,"maio","May")</f>
        <v>May</v>
      </c>
      <c r="E13" s="172">
        <v>381329</v>
      </c>
      <c r="F13" s="172">
        <v>75435</v>
      </c>
      <c r="G13" s="172">
        <v>139536</v>
      </c>
      <c r="H13" s="172">
        <v>596300</v>
      </c>
      <c r="I13" s="171">
        <v>1078.8</v>
      </c>
      <c r="K13" s="172">
        <v>547338</v>
      </c>
      <c r="L13" s="229"/>
      <c r="M13" s="229"/>
      <c r="N13" s="229"/>
      <c r="O13" s="229"/>
      <c r="P13" s="229"/>
      <c r="R13" s="50"/>
      <c r="S13" s="50"/>
      <c r="T13" s="50"/>
      <c r="U13" s="170"/>
      <c r="V13" s="170"/>
      <c r="W13" s="170"/>
      <c r="X13" s="170"/>
      <c r="Y13" s="170"/>
      <c r="Z13" s="170"/>
      <c r="AB13" s="170"/>
      <c r="AC13" s="170"/>
      <c r="AD13" s="170"/>
      <c r="AE13" s="170"/>
      <c r="AF13" s="170"/>
      <c r="AG13" s="170"/>
      <c r="AH13" s="170"/>
    </row>
    <row r="14" spans="2:34" hidden="1">
      <c r="C14" s="1341"/>
      <c r="D14" s="172" t="str">
        <f>IF(Indice_index!$Z$1=1,"junho","June")</f>
        <v>June</v>
      </c>
      <c r="E14" s="172">
        <v>382265</v>
      </c>
      <c r="F14" s="172">
        <v>75476</v>
      </c>
      <c r="G14" s="172">
        <v>139869</v>
      </c>
      <c r="H14" s="172">
        <v>597610</v>
      </c>
      <c r="I14" s="171">
        <v>1080.4000000000001</v>
      </c>
      <c r="K14" s="172">
        <v>545729</v>
      </c>
      <c r="L14" s="229"/>
      <c r="M14" s="229"/>
      <c r="N14" s="229"/>
      <c r="O14" s="229"/>
      <c r="P14" s="229"/>
      <c r="R14" s="50"/>
      <c r="S14" s="50"/>
      <c r="T14" s="50"/>
      <c r="U14" s="170"/>
      <c r="V14" s="170"/>
      <c r="W14" s="170"/>
      <c r="X14" s="170"/>
      <c r="Y14" s="170"/>
      <c r="Z14" s="170"/>
      <c r="AB14" s="170"/>
      <c r="AC14" s="170"/>
      <c r="AD14" s="170"/>
      <c r="AE14" s="170"/>
      <c r="AF14" s="170"/>
      <c r="AG14" s="170"/>
      <c r="AH14" s="170"/>
    </row>
    <row r="15" spans="2:34" hidden="1">
      <c r="C15" s="1341"/>
      <c r="D15" s="172" t="str">
        <f>IF(Indice_index!$Z$1=1,"julho","July")</f>
        <v>July</v>
      </c>
      <c r="E15" s="172">
        <v>383153</v>
      </c>
      <c r="F15" s="172">
        <v>75502</v>
      </c>
      <c r="G15" s="172">
        <v>140055</v>
      </c>
      <c r="H15" s="172">
        <v>598710</v>
      </c>
      <c r="I15" s="171">
        <v>1269.3</v>
      </c>
      <c r="K15" s="172">
        <v>544153</v>
      </c>
      <c r="L15" s="229"/>
      <c r="M15" s="229"/>
      <c r="N15" s="229"/>
      <c r="O15" s="229"/>
      <c r="P15" s="229"/>
      <c r="R15" s="50"/>
      <c r="S15" s="50"/>
      <c r="T15" s="50"/>
      <c r="U15" s="170"/>
      <c r="V15" s="170"/>
      <c r="W15" s="170"/>
      <c r="X15" s="170"/>
      <c r="Y15" s="170"/>
      <c r="Z15" s="170"/>
      <c r="AB15" s="170"/>
      <c r="AC15" s="170"/>
      <c r="AD15" s="170"/>
      <c r="AE15" s="170"/>
      <c r="AF15" s="170"/>
      <c r="AG15" s="170"/>
      <c r="AH15" s="170"/>
    </row>
    <row r="16" spans="2:34" hidden="1">
      <c r="C16" s="1341"/>
      <c r="D16" s="172" t="str">
        <f>IF(Indice_index!$Z$1=1,"agosto","August")</f>
        <v>August</v>
      </c>
      <c r="E16" s="172">
        <v>384236</v>
      </c>
      <c r="F16" s="172">
        <v>75505</v>
      </c>
      <c r="G16" s="172">
        <v>140413</v>
      </c>
      <c r="H16" s="172">
        <v>600154</v>
      </c>
      <c r="I16" s="171">
        <v>1077.3</v>
      </c>
      <c r="K16" s="172">
        <v>542325</v>
      </c>
      <c r="L16" s="229"/>
      <c r="M16" s="229"/>
      <c r="N16" s="229"/>
      <c r="O16" s="229"/>
      <c r="P16" s="229"/>
      <c r="R16" s="50"/>
      <c r="S16" s="50"/>
      <c r="T16" s="50"/>
      <c r="U16" s="170"/>
      <c r="V16" s="170"/>
      <c r="W16" s="170"/>
      <c r="X16" s="170"/>
      <c r="Y16" s="170"/>
      <c r="Z16" s="170"/>
      <c r="AB16" s="170"/>
      <c r="AC16" s="170"/>
      <c r="AD16" s="170"/>
      <c r="AE16" s="170"/>
      <c r="AF16" s="170"/>
      <c r="AG16" s="170"/>
      <c r="AH16" s="170"/>
    </row>
    <row r="17" spans="3:34" hidden="1">
      <c r="C17" s="1341"/>
      <c r="D17" s="172" t="str">
        <f>IF(Indice_index!$Z$1=1,"setembro","September")</f>
        <v>September</v>
      </c>
      <c r="E17" s="172">
        <v>385392</v>
      </c>
      <c r="F17" s="172">
        <v>75465</v>
      </c>
      <c r="G17" s="172">
        <v>140308</v>
      </c>
      <c r="H17" s="172">
        <v>601165</v>
      </c>
      <c r="I17" s="171">
        <v>1076.2</v>
      </c>
      <c r="K17" s="172">
        <v>537842</v>
      </c>
      <c r="L17" s="229"/>
      <c r="M17" s="229"/>
      <c r="N17" s="229"/>
      <c r="O17" s="229"/>
      <c r="P17" s="229"/>
      <c r="R17" s="50"/>
      <c r="S17" s="50"/>
      <c r="T17" s="50"/>
      <c r="U17" s="170"/>
      <c r="V17" s="170"/>
      <c r="W17" s="170"/>
      <c r="X17" s="170"/>
      <c r="Y17" s="170"/>
      <c r="Z17" s="170"/>
      <c r="AB17" s="170"/>
      <c r="AC17" s="170"/>
      <c r="AD17" s="170"/>
      <c r="AE17" s="170"/>
      <c r="AF17" s="170"/>
      <c r="AG17" s="170"/>
      <c r="AH17" s="170"/>
    </row>
    <row r="18" spans="3:34" hidden="1">
      <c r="C18" s="1341"/>
      <c r="D18" s="172" t="str">
        <f>IF(Indice_index!$Z$1=1,"outubro","October")</f>
        <v>October</v>
      </c>
      <c r="E18" s="172">
        <v>386355</v>
      </c>
      <c r="F18" s="172">
        <v>75419</v>
      </c>
      <c r="G18" s="172">
        <v>140373</v>
      </c>
      <c r="H18" s="172">
        <v>602147</v>
      </c>
      <c r="I18" s="171">
        <v>1085.5999999999999</v>
      </c>
      <c r="K18" s="172">
        <v>536095</v>
      </c>
      <c r="L18" s="229"/>
      <c r="M18" s="229"/>
      <c r="N18" s="229"/>
      <c r="O18" s="229"/>
      <c r="P18" s="229"/>
      <c r="R18" s="50"/>
      <c r="S18" s="50"/>
      <c r="T18" s="50"/>
      <c r="U18" s="170"/>
      <c r="V18" s="170"/>
      <c r="W18" s="170"/>
      <c r="X18" s="170"/>
      <c r="Y18" s="170"/>
      <c r="Z18" s="170"/>
      <c r="AB18" s="170"/>
      <c r="AC18" s="170"/>
      <c r="AD18" s="170"/>
      <c r="AE18" s="170"/>
      <c r="AF18" s="170"/>
      <c r="AG18" s="170"/>
      <c r="AH18" s="170"/>
    </row>
    <row r="19" spans="3:34" hidden="1">
      <c r="C19" s="1341"/>
      <c r="D19" s="172" t="str">
        <f>IF(Indice_index!$Z$1=1,"novembro","November")</f>
        <v>November</v>
      </c>
      <c r="E19" s="172">
        <v>386944</v>
      </c>
      <c r="F19" s="172">
        <v>75313</v>
      </c>
      <c r="G19" s="172">
        <v>140552</v>
      </c>
      <c r="H19" s="172">
        <v>602809</v>
      </c>
      <c r="I19" s="171">
        <v>1272.2</v>
      </c>
      <c r="K19" s="172">
        <v>534270</v>
      </c>
      <c r="L19" s="229"/>
      <c r="M19" s="229"/>
      <c r="N19" s="229"/>
      <c r="O19" s="229"/>
      <c r="P19" s="229"/>
      <c r="R19" s="50"/>
      <c r="S19" s="50"/>
      <c r="T19" s="50"/>
      <c r="U19" s="170"/>
      <c r="V19" s="170"/>
      <c r="W19" s="170"/>
      <c r="X19" s="170"/>
      <c r="Y19" s="170"/>
      <c r="Z19" s="170"/>
      <c r="AB19" s="170"/>
      <c r="AC19" s="170"/>
      <c r="AD19" s="170"/>
      <c r="AE19" s="170"/>
      <c r="AF19" s="170"/>
      <c r="AG19" s="170"/>
      <c r="AH19" s="170"/>
    </row>
    <row r="20" spans="3:34" hidden="1">
      <c r="C20" s="1341"/>
      <c r="D20" s="172" t="str">
        <f>IF(Indice_index!$Z$1=1,"dezembro","December")</f>
        <v>December</v>
      </c>
      <c r="E20" s="172">
        <v>387210</v>
      </c>
      <c r="F20" s="172">
        <v>75236</v>
      </c>
      <c r="G20" s="172">
        <v>140821</v>
      </c>
      <c r="H20" s="172">
        <v>603267</v>
      </c>
      <c r="I20" s="171">
        <v>1084.5</v>
      </c>
      <c r="K20" s="172">
        <v>531814</v>
      </c>
      <c r="L20" s="229"/>
      <c r="M20" s="229"/>
      <c r="N20" s="229"/>
      <c r="O20" s="229"/>
      <c r="P20" s="229"/>
      <c r="R20" s="50"/>
      <c r="S20" s="50"/>
      <c r="T20" s="50"/>
      <c r="U20" s="170"/>
      <c r="V20" s="170"/>
      <c r="W20" s="170"/>
      <c r="X20" s="170"/>
      <c r="Y20" s="170"/>
      <c r="Z20" s="170"/>
      <c r="AB20" s="170"/>
      <c r="AC20" s="170"/>
      <c r="AD20" s="170"/>
      <c r="AE20" s="170"/>
      <c r="AF20" s="170"/>
      <c r="AG20" s="170"/>
      <c r="AH20" s="170"/>
    </row>
    <row r="21" spans="3:34" hidden="1">
      <c r="C21" s="1341" t="s">
        <v>11</v>
      </c>
      <c r="D21" s="171"/>
      <c r="E21" s="172"/>
      <c r="F21" s="172"/>
      <c r="G21" s="172"/>
      <c r="H21" s="172"/>
      <c r="I21" s="171"/>
      <c r="K21" s="172"/>
      <c r="L21" s="229"/>
      <c r="M21" s="229"/>
      <c r="N21" s="229"/>
      <c r="O21" s="229"/>
      <c r="P21" s="229"/>
      <c r="R21" s="50"/>
      <c r="S21" s="50"/>
      <c r="T21" s="50"/>
      <c r="U21" s="170"/>
      <c r="V21" s="170"/>
      <c r="W21" s="170"/>
      <c r="X21" s="170"/>
      <c r="Y21" s="170"/>
      <c r="Z21" s="170"/>
      <c r="AB21" s="170"/>
      <c r="AC21" s="170"/>
      <c r="AD21" s="170"/>
      <c r="AE21" s="170"/>
      <c r="AF21" s="170"/>
      <c r="AG21" s="170"/>
      <c r="AH21" s="170"/>
    </row>
    <row r="22" spans="3:34" hidden="1">
      <c r="C22" s="1341"/>
      <c r="D22" s="172" t="str">
        <f>IF(Indice_index!$Z$1=1,"janeiro","January")</f>
        <v>January</v>
      </c>
      <c r="E22" s="172">
        <v>388145</v>
      </c>
      <c r="F22" s="172">
        <v>75252</v>
      </c>
      <c r="G22" s="172">
        <v>140963</v>
      </c>
      <c r="H22" s="172">
        <v>604360</v>
      </c>
      <c r="I22" s="171">
        <v>1077.0999999999999</v>
      </c>
      <c r="K22" s="172">
        <v>529560</v>
      </c>
      <c r="L22" s="229"/>
      <c r="M22" s="229"/>
      <c r="N22" s="229"/>
      <c r="O22" s="229"/>
      <c r="P22" s="229"/>
      <c r="R22" s="50"/>
      <c r="S22" s="50"/>
      <c r="T22" s="50"/>
      <c r="U22" s="170"/>
      <c r="V22" s="170"/>
      <c r="W22" s="170"/>
      <c r="X22" s="170"/>
      <c r="Y22" s="170"/>
      <c r="Z22" s="170"/>
      <c r="AB22" s="170"/>
      <c r="AC22" s="170"/>
      <c r="AD22" s="170"/>
      <c r="AE22" s="170"/>
      <c r="AF22" s="170"/>
      <c r="AG22" s="170"/>
      <c r="AH22" s="170"/>
    </row>
    <row r="23" spans="3:34" hidden="1">
      <c r="C23" s="1340"/>
      <c r="D23" s="172" t="str">
        <f>IF(Indice_index!$Z$1=1,"fevereiro","February")</f>
        <v>February</v>
      </c>
      <c r="E23" s="172">
        <v>388784</v>
      </c>
      <c r="F23" s="172">
        <v>75256</v>
      </c>
      <c r="G23" s="172">
        <v>141107</v>
      </c>
      <c r="H23" s="172">
        <v>605147</v>
      </c>
      <c r="I23" s="171">
        <v>1260</v>
      </c>
      <c r="K23" s="172">
        <v>528161</v>
      </c>
      <c r="L23" s="229"/>
      <c r="M23" s="229"/>
      <c r="N23" s="229"/>
      <c r="O23" s="229"/>
      <c r="P23" s="229"/>
      <c r="R23" s="50"/>
      <c r="S23" s="50"/>
      <c r="T23" s="50"/>
      <c r="U23" s="170"/>
      <c r="V23" s="170"/>
      <c r="W23" s="170"/>
      <c r="X23" s="170"/>
      <c r="Y23" s="170"/>
      <c r="Z23" s="170"/>
      <c r="AB23" s="170"/>
      <c r="AC23" s="170"/>
      <c r="AD23" s="170"/>
      <c r="AE23" s="170"/>
      <c r="AF23" s="170"/>
      <c r="AG23" s="170"/>
      <c r="AH23" s="170"/>
    </row>
    <row r="24" spans="3:34" hidden="1">
      <c r="C24" s="1340"/>
      <c r="D24" s="172" t="str">
        <f>IF(Indice_index!$Z$1=1,"março","March")</f>
        <v>March</v>
      </c>
      <c r="E24" s="172">
        <v>389591</v>
      </c>
      <c r="F24" s="172">
        <v>75178</v>
      </c>
      <c r="G24" s="172">
        <v>140973</v>
      </c>
      <c r="H24" s="172">
        <v>605742</v>
      </c>
      <c r="I24" s="171">
        <v>1167</v>
      </c>
      <c r="K24" s="172">
        <v>527141</v>
      </c>
      <c r="L24" s="229"/>
      <c r="M24" s="229"/>
      <c r="N24" s="229"/>
      <c r="O24" s="229"/>
      <c r="P24" s="229"/>
      <c r="R24" s="50"/>
      <c r="S24" s="50"/>
      <c r="T24" s="50"/>
      <c r="U24" s="170"/>
      <c r="V24" s="170"/>
      <c r="W24" s="170"/>
      <c r="X24" s="170"/>
      <c r="Y24" s="170"/>
      <c r="Z24" s="170"/>
      <c r="AB24" s="170"/>
      <c r="AC24" s="170"/>
      <c r="AD24" s="170"/>
      <c r="AE24" s="170"/>
      <c r="AF24" s="170"/>
      <c r="AG24" s="170"/>
      <c r="AH24" s="170"/>
    </row>
    <row r="25" spans="3:34" hidden="1">
      <c r="C25" s="1340"/>
      <c r="D25" s="172" t="str">
        <f>IF(Indice_index!$Z$1=1,"abril","April")</f>
        <v>April</v>
      </c>
      <c r="E25" s="172">
        <v>390630</v>
      </c>
      <c r="F25" s="172">
        <v>75166</v>
      </c>
      <c r="G25" s="172">
        <v>141087</v>
      </c>
      <c r="H25" s="172">
        <v>606883</v>
      </c>
      <c r="I25" s="171">
        <v>1175.7</v>
      </c>
      <c r="K25" s="172">
        <v>525479</v>
      </c>
      <c r="L25" s="229"/>
      <c r="M25" s="229"/>
      <c r="N25" s="229"/>
      <c r="O25" s="229"/>
      <c r="P25" s="229"/>
      <c r="R25" s="50"/>
      <c r="S25" s="50"/>
      <c r="T25" s="50"/>
      <c r="U25" s="170"/>
      <c r="V25" s="170"/>
      <c r="W25" s="170"/>
      <c r="X25" s="170"/>
      <c r="Y25" s="170"/>
      <c r="Z25" s="170"/>
      <c r="AB25" s="170"/>
      <c r="AC25" s="170"/>
      <c r="AD25" s="170"/>
      <c r="AE25" s="170"/>
      <c r="AF25" s="170"/>
      <c r="AG25" s="170"/>
      <c r="AH25" s="170"/>
    </row>
    <row r="26" spans="3:34" hidden="1">
      <c r="C26" s="1340"/>
      <c r="D26" s="172" t="str">
        <f>IF(Indice_index!$Z$1=1,"maio","May")</f>
        <v>May</v>
      </c>
      <c r="E26" s="172">
        <v>391666</v>
      </c>
      <c r="F26" s="172">
        <v>75184</v>
      </c>
      <c r="G26" s="172">
        <v>141293</v>
      </c>
      <c r="H26" s="172">
        <v>608143</v>
      </c>
      <c r="I26" s="171">
        <v>1168.3</v>
      </c>
      <c r="K26" s="172">
        <v>524195</v>
      </c>
      <c r="L26" s="229"/>
      <c r="M26" s="229"/>
      <c r="N26" s="229"/>
      <c r="O26" s="229"/>
      <c r="P26" s="229"/>
      <c r="R26" s="50"/>
      <c r="S26" s="50"/>
      <c r="T26" s="50"/>
      <c r="U26" s="170"/>
      <c r="V26" s="170"/>
      <c r="W26" s="170"/>
      <c r="X26" s="170"/>
      <c r="Y26" s="170"/>
      <c r="Z26" s="170"/>
      <c r="AB26" s="170"/>
      <c r="AC26" s="170"/>
      <c r="AD26" s="170"/>
      <c r="AE26" s="170"/>
      <c r="AF26" s="170"/>
      <c r="AG26" s="170"/>
      <c r="AH26" s="170"/>
    </row>
    <row r="27" spans="3:34" hidden="1">
      <c r="C27" s="1340"/>
      <c r="D27" s="172" t="str">
        <f>IF(Indice_index!$Z$1=1,"junho","June")</f>
        <v>June</v>
      </c>
      <c r="E27" s="172">
        <v>392161</v>
      </c>
      <c r="F27" s="172">
        <v>75379</v>
      </c>
      <c r="G27" s="172">
        <v>141509</v>
      </c>
      <c r="H27" s="172">
        <v>609049</v>
      </c>
      <c r="I27" s="171">
        <v>1168.9000000000001</v>
      </c>
      <c r="K27" s="172">
        <v>522518</v>
      </c>
      <c r="L27" s="229"/>
      <c r="M27" s="229"/>
      <c r="N27" s="229"/>
      <c r="O27" s="229"/>
      <c r="P27" s="229"/>
      <c r="R27" s="50"/>
      <c r="S27" s="50"/>
      <c r="T27" s="50"/>
      <c r="U27" s="170"/>
      <c r="V27" s="170"/>
      <c r="W27" s="170"/>
      <c r="X27" s="170"/>
      <c r="Y27" s="170"/>
      <c r="Z27" s="170"/>
      <c r="AB27" s="170"/>
      <c r="AC27" s="170"/>
      <c r="AD27" s="170"/>
      <c r="AE27" s="170"/>
      <c r="AF27" s="170"/>
      <c r="AG27" s="170"/>
      <c r="AH27" s="170"/>
    </row>
    <row r="28" spans="3:34" hidden="1">
      <c r="C28" s="1340"/>
      <c r="D28" s="172" t="str">
        <f>IF(Indice_index!$Z$1=1,"julho","July")</f>
        <v>July</v>
      </c>
      <c r="E28" s="172">
        <v>392681</v>
      </c>
      <c r="F28" s="172">
        <v>75366</v>
      </c>
      <c r="G28" s="172">
        <v>141588</v>
      </c>
      <c r="H28" s="172">
        <v>609635</v>
      </c>
      <c r="I28" s="171">
        <v>1455.6</v>
      </c>
      <c r="K28" s="172">
        <v>520906</v>
      </c>
      <c r="L28" s="229"/>
      <c r="M28" s="229"/>
      <c r="N28" s="229"/>
      <c r="O28" s="229"/>
      <c r="P28" s="229"/>
      <c r="R28" s="50"/>
      <c r="S28" s="50"/>
      <c r="T28" s="50"/>
      <c r="U28" s="170"/>
      <c r="V28" s="170"/>
      <c r="W28" s="170"/>
      <c r="X28" s="170"/>
      <c r="Y28" s="170"/>
      <c r="Z28" s="170"/>
      <c r="AB28" s="170"/>
      <c r="AC28" s="170"/>
      <c r="AD28" s="170"/>
      <c r="AE28" s="170"/>
      <c r="AF28" s="170"/>
      <c r="AG28" s="170"/>
      <c r="AH28" s="170"/>
    </row>
    <row r="29" spans="3:34" hidden="1">
      <c r="C29" s="1340"/>
      <c r="D29" s="172" t="str">
        <f>IF(Indice_index!$Z$1=1,"agosto","August")</f>
        <v>August</v>
      </c>
      <c r="E29" s="172">
        <v>392934</v>
      </c>
      <c r="F29" s="172">
        <v>75334</v>
      </c>
      <c r="G29" s="172">
        <v>141928</v>
      </c>
      <c r="H29" s="172">
        <v>610196</v>
      </c>
      <c r="I29" s="171">
        <v>1170</v>
      </c>
      <c r="K29" s="172">
        <v>518485</v>
      </c>
      <c r="L29" s="229"/>
      <c r="M29" s="229"/>
      <c r="N29" s="229"/>
      <c r="O29" s="229"/>
      <c r="P29" s="229"/>
      <c r="R29" s="50"/>
      <c r="S29" s="50"/>
      <c r="T29" s="50"/>
      <c r="U29" s="170"/>
      <c r="V29" s="170"/>
      <c r="W29" s="170"/>
      <c r="X29" s="170"/>
      <c r="Y29" s="170"/>
      <c r="Z29" s="170"/>
      <c r="AB29" s="170"/>
      <c r="AC29" s="170"/>
      <c r="AD29" s="170"/>
      <c r="AE29" s="170"/>
      <c r="AF29" s="170"/>
      <c r="AG29" s="170"/>
      <c r="AH29" s="170"/>
    </row>
    <row r="30" spans="3:34" hidden="1">
      <c r="C30" s="1340"/>
      <c r="D30" s="172" t="str">
        <f>IF(Indice_index!$Z$1=1,"setembro","September")</f>
        <v>September</v>
      </c>
      <c r="E30" s="172">
        <v>393003</v>
      </c>
      <c r="F30" s="172">
        <v>75221</v>
      </c>
      <c r="G30" s="172">
        <v>141747</v>
      </c>
      <c r="H30" s="172">
        <v>609971</v>
      </c>
      <c r="I30" s="171">
        <v>1168.3</v>
      </c>
      <c r="K30" s="172">
        <v>514324</v>
      </c>
      <c r="L30" s="229"/>
      <c r="M30" s="229"/>
      <c r="N30" s="229"/>
      <c r="O30" s="229"/>
      <c r="P30" s="229"/>
      <c r="R30" s="50"/>
      <c r="S30" s="50"/>
      <c r="T30" s="50"/>
      <c r="U30" s="170"/>
      <c r="V30" s="170"/>
      <c r="W30" s="170"/>
      <c r="X30" s="170"/>
      <c r="Y30" s="170"/>
      <c r="Z30" s="170"/>
      <c r="AB30" s="170"/>
      <c r="AC30" s="170"/>
      <c r="AD30" s="170"/>
      <c r="AE30" s="170"/>
      <c r="AF30" s="170"/>
      <c r="AG30" s="170"/>
      <c r="AH30" s="170"/>
    </row>
    <row r="31" spans="3:34" hidden="1">
      <c r="C31" s="1340"/>
      <c r="D31" s="172" t="str">
        <f>IF(Indice_index!$Z$1=1,"outubro","October")</f>
        <v>October</v>
      </c>
      <c r="E31" s="172">
        <v>393366</v>
      </c>
      <c r="F31" s="172">
        <v>75145</v>
      </c>
      <c r="G31" s="172">
        <v>141879</v>
      </c>
      <c r="H31" s="172">
        <v>610390</v>
      </c>
      <c r="I31" s="171">
        <v>1191.9000000000001</v>
      </c>
      <c r="K31" s="172">
        <v>512853</v>
      </c>
      <c r="L31" s="229"/>
      <c r="M31" s="229"/>
      <c r="N31" s="229"/>
      <c r="O31" s="229"/>
      <c r="P31" s="229"/>
      <c r="R31" s="50"/>
      <c r="S31" s="50"/>
      <c r="T31" s="50"/>
      <c r="U31" s="170"/>
      <c r="V31" s="170"/>
      <c r="W31" s="170"/>
      <c r="X31" s="170"/>
      <c r="Y31" s="170"/>
      <c r="Z31" s="170"/>
      <c r="AB31" s="170"/>
      <c r="AC31" s="170"/>
      <c r="AD31" s="170"/>
      <c r="AE31" s="170"/>
      <c r="AF31" s="170"/>
      <c r="AG31" s="170"/>
      <c r="AH31" s="170"/>
    </row>
    <row r="32" spans="3:34" hidden="1">
      <c r="C32" s="1340"/>
      <c r="D32" s="172" t="str">
        <f>IF(Indice_index!$Z$1=1,"novembro","November")</f>
        <v>November</v>
      </c>
      <c r="E32" s="172">
        <v>394675</v>
      </c>
      <c r="F32" s="172">
        <v>75318</v>
      </c>
      <c r="G32" s="172">
        <v>142341</v>
      </c>
      <c r="H32" s="172">
        <v>612334</v>
      </c>
      <c r="I32" s="171">
        <v>1947.9</v>
      </c>
      <c r="K32" s="172">
        <v>511640</v>
      </c>
      <c r="L32" s="229"/>
      <c r="M32" s="229"/>
      <c r="N32" s="229"/>
      <c r="O32" s="229"/>
      <c r="P32" s="229"/>
      <c r="R32" s="50"/>
      <c r="S32" s="50"/>
      <c r="T32" s="50"/>
      <c r="U32" s="170"/>
      <c r="V32" s="170"/>
      <c r="W32" s="170"/>
      <c r="X32" s="170"/>
      <c r="Y32" s="170"/>
      <c r="Z32" s="170"/>
      <c r="AB32" s="170"/>
      <c r="AC32" s="170"/>
      <c r="AD32" s="170"/>
      <c r="AE32" s="170"/>
      <c r="AF32" s="170"/>
      <c r="AG32" s="170"/>
      <c r="AH32" s="170"/>
    </row>
    <row r="33" spans="3:34" hidden="1">
      <c r="C33" s="1340"/>
      <c r="D33" s="172" t="str">
        <f>IF(Indice_index!$Z$1=1,"dezembro","December")</f>
        <v>December</v>
      </c>
      <c r="E33" s="172">
        <v>395901</v>
      </c>
      <c r="F33" s="172">
        <v>75248</v>
      </c>
      <c r="G33" s="172">
        <v>142747</v>
      </c>
      <c r="H33" s="172">
        <v>613896</v>
      </c>
      <c r="I33" s="171">
        <v>1179.4000000000001</v>
      </c>
      <c r="K33" s="172">
        <v>509869</v>
      </c>
      <c r="L33" s="229"/>
      <c r="M33" s="229"/>
      <c r="N33" s="229"/>
      <c r="O33" s="229"/>
      <c r="P33" s="229"/>
      <c r="R33" s="50"/>
      <c r="S33" s="50"/>
      <c r="T33" s="50"/>
      <c r="U33" s="170"/>
      <c r="V33" s="170"/>
      <c r="W33" s="170"/>
      <c r="X33" s="170"/>
      <c r="Y33" s="170"/>
      <c r="Z33" s="170"/>
      <c r="AB33" s="170"/>
      <c r="AC33" s="170"/>
      <c r="AD33" s="170"/>
      <c r="AE33" s="170"/>
      <c r="AF33" s="170"/>
      <c r="AG33" s="170"/>
      <c r="AH33" s="170"/>
    </row>
    <row r="34" spans="3:34" hidden="1">
      <c r="C34" s="1341" t="s">
        <v>12</v>
      </c>
      <c r="D34" s="172"/>
      <c r="E34" s="172"/>
      <c r="F34" s="172"/>
      <c r="G34" s="172"/>
      <c r="H34" s="172"/>
      <c r="I34" s="171"/>
      <c r="K34" s="171"/>
      <c r="L34" s="229"/>
      <c r="M34" s="229"/>
      <c r="N34" s="229"/>
      <c r="O34" s="229"/>
      <c r="P34" s="229"/>
      <c r="R34" s="50"/>
      <c r="S34" s="50"/>
      <c r="T34" s="50"/>
      <c r="U34" s="170"/>
      <c r="V34" s="170"/>
      <c r="W34" s="170"/>
      <c r="X34" s="170"/>
      <c r="Y34" s="170"/>
      <c r="Z34" s="170"/>
      <c r="AB34" s="170"/>
      <c r="AC34" s="170"/>
      <c r="AD34" s="170"/>
      <c r="AE34" s="170"/>
      <c r="AF34" s="170"/>
      <c r="AG34" s="170"/>
      <c r="AH34" s="170"/>
    </row>
    <row r="35" spans="3:34" hidden="1">
      <c r="C35" s="1340"/>
      <c r="D35" s="172" t="str">
        <f>IF(Indice_index!$Z$1=1,"janeiro","January")</f>
        <v>January</v>
      </c>
      <c r="E35" s="172">
        <v>396763</v>
      </c>
      <c r="F35" s="172">
        <v>75359</v>
      </c>
      <c r="G35" s="172">
        <v>142835</v>
      </c>
      <c r="H35" s="172">
        <v>614957</v>
      </c>
      <c r="I35" s="171">
        <v>1186.4000000000001</v>
      </c>
      <c r="K35" s="172">
        <v>506394</v>
      </c>
      <c r="L35" s="229"/>
      <c r="M35" s="229"/>
      <c r="N35" s="229"/>
      <c r="O35" s="229"/>
      <c r="P35" s="229"/>
      <c r="R35" s="50"/>
      <c r="S35" s="50"/>
      <c r="T35" s="50"/>
      <c r="U35" s="170"/>
      <c r="V35" s="170"/>
      <c r="W35" s="170"/>
      <c r="X35" s="170"/>
      <c r="Y35" s="170"/>
      <c r="Z35" s="170"/>
      <c r="AB35" s="170"/>
      <c r="AC35" s="170"/>
      <c r="AD35" s="170"/>
      <c r="AE35" s="170"/>
      <c r="AF35" s="170"/>
      <c r="AG35" s="170"/>
      <c r="AH35" s="170"/>
    </row>
    <row r="36" spans="3:34" hidden="1">
      <c r="C36" s="1340"/>
      <c r="D36" s="172" t="str">
        <f>IF(Indice_index!$Z$1=1,"fevereiro","February")</f>
        <v>February</v>
      </c>
      <c r="E36" s="172">
        <v>397263</v>
      </c>
      <c r="F36" s="172">
        <v>75266</v>
      </c>
      <c r="G36" s="172">
        <v>142920</v>
      </c>
      <c r="H36" s="172">
        <v>615449</v>
      </c>
      <c r="I36" s="171">
        <v>1159.7</v>
      </c>
      <c r="K36" s="172">
        <v>504549</v>
      </c>
      <c r="L36" s="229"/>
      <c r="M36" s="229"/>
      <c r="N36" s="229"/>
      <c r="O36" s="229"/>
      <c r="P36" s="229"/>
      <c r="R36" s="50"/>
      <c r="S36" s="50"/>
      <c r="T36" s="50"/>
      <c r="U36" s="170"/>
      <c r="V36" s="170"/>
      <c r="W36" s="170"/>
      <c r="X36" s="170"/>
      <c r="Y36" s="170"/>
      <c r="Z36" s="170"/>
      <c r="AB36" s="170"/>
      <c r="AC36" s="170"/>
      <c r="AD36" s="170"/>
      <c r="AE36" s="170"/>
      <c r="AF36" s="170"/>
      <c r="AG36" s="170"/>
      <c r="AH36" s="170"/>
    </row>
    <row r="37" spans="3:34" hidden="1">
      <c r="C37" s="1340"/>
      <c r="D37" s="172" t="str">
        <f>IF(Indice_index!$Z$1=1,"março","March")</f>
        <v>March</v>
      </c>
      <c r="E37" s="172">
        <v>397932</v>
      </c>
      <c r="F37" s="172">
        <v>75141</v>
      </c>
      <c r="G37" s="172">
        <v>143128</v>
      </c>
      <c r="H37" s="172">
        <v>616201</v>
      </c>
      <c r="I37" s="171">
        <v>1159.0999999999999</v>
      </c>
      <c r="K37" s="172">
        <v>502632</v>
      </c>
      <c r="L37" s="229"/>
      <c r="M37" s="229"/>
      <c r="N37" s="229"/>
      <c r="O37" s="229"/>
      <c r="P37" s="229"/>
      <c r="R37" s="50"/>
      <c r="S37" s="50"/>
      <c r="T37" s="50"/>
      <c r="U37" s="170"/>
      <c r="V37" s="170"/>
      <c r="W37" s="170"/>
      <c r="X37" s="170"/>
      <c r="Y37" s="170"/>
      <c r="Z37" s="170"/>
      <c r="AB37" s="170"/>
      <c r="AC37" s="170"/>
      <c r="AD37" s="170"/>
      <c r="AE37" s="170"/>
      <c r="AF37" s="170"/>
      <c r="AG37" s="170"/>
      <c r="AH37" s="170"/>
    </row>
    <row r="38" spans="3:34" hidden="1">
      <c r="C38" s="1340"/>
      <c r="D38" s="172" t="str">
        <f>IF(Indice_index!$Z$1=1,"abril","April")</f>
        <v>April</v>
      </c>
      <c r="E38" s="172">
        <v>398439</v>
      </c>
      <c r="F38" s="172">
        <v>75278</v>
      </c>
      <c r="G38" s="172">
        <v>143389</v>
      </c>
      <c r="H38" s="172">
        <v>617106</v>
      </c>
      <c r="I38" s="171">
        <v>1162.0999999999999</v>
      </c>
      <c r="K38" s="172">
        <v>500432</v>
      </c>
      <c r="L38" s="229"/>
      <c r="M38" s="229"/>
      <c r="N38" s="229"/>
      <c r="O38" s="229"/>
      <c r="P38" s="229"/>
      <c r="R38" s="50"/>
      <c r="S38" s="50"/>
      <c r="T38" s="50"/>
      <c r="U38" s="170"/>
      <c r="V38" s="170"/>
      <c r="W38" s="170"/>
      <c r="X38" s="170"/>
      <c r="Y38" s="170"/>
      <c r="Z38" s="170"/>
      <c r="AB38" s="170"/>
      <c r="AC38" s="170"/>
      <c r="AD38" s="170"/>
      <c r="AE38" s="170"/>
      <c r="AF38" s="170"/>
      <c r="AG38" s="170"/>
      <c r="AH38" s="170"/>
    </row>
    <row r="39" spans="3:34" hidden="1">
      <c r="C39" s="1340"/>
      <c r="D39" s="172" t="str">
        <f>IF(Indice_index!$Z$1=1,"maio","May")</f>
        <v>May</v>
      </c>
      <c r="E39" s="172">
        <v>399256</v>
      </c>
      <c r="F39" s="172">
        <v>75235</v>
      </c>
      <c r="G39" s="172">
        <v>143535</v>
      </c>
      <c r="H39" s="172">
        <v>618026</v>
      </c>
      <c r="I39" s="171">
        <v>1157.7</v>
      </c>
      <c r="K39" s="172">
        <v>498495</v>
      </c>
      <c r="L39" s="229"/>
      <c r="M39" s="229"/>
      <c r="N39" s="229"/>
      <c r="O39" s="229"/>
      <c r="P39" s="229"/>
      <c r="R39" s="50"/>
      <c r="S39" s="50"/>
      <c r="T39" s="50"/>
      <c r="U39" s="170"/>
      <c r="V39" s="170"/>
      <c r="W39" s="170"/>
      <c r="X39" s="170"/>
      <c r="Y39" s="170"/>
      <c r="Z39" s="170"/>
      <c r="AB39" s="170"/>
      <c r="AC39" s="170"/>
      <c r="AD39" s="170"/>
      <c r="AE39" s="170"/>
      <c r="AF39" s="170"/>
      <c r="AG39" s="170"/>
      <c r="AH39" s="170"/>
    </row>
    <row r="40" spans="3:34" hidden="1">
      <c r="C40" s="1340"/>
      <c r="D40" s="172" t="str">
        <f>IF(Indice_index!$Z$1=1,"junho","June")</f>
        <v>June</v>
      </c>
      <c r="E40" s="172">
        <v>400007</v>
      </c>
      <c r="F40" s="172">
        <v>75203</v>
      </c>
      <c r="G40" s="172">
        <v>143766</v>
      </c>
      <c r="H40" s="172">
        <v>618976</v>
      </c>
      <c r="I40" s="171">
        <v>1158.5</v>
      </c>
      <c r="K40" s="172">
        <v>496204</v>
      </c>
      <c r="L40" s="229"/>
      <c r="M40" s="229"/>
      <c r="N40" s="229"/>
      <c r="O40" s="229"/>
      <c r="P40" s="229"/>
      <c r="R40" s="50"/>
      <c r="S40" s="50"/>
      <c r="T40" s="50"/>
      <c r="U40" s="170"/>
      <c r="V40" s="170"/>
      <c r="W40" s="170"/>
      <c r="X40" s="170"/>
      <c r="Y40" s="170"/>
      <c r="Z40" s="170"/>
      <c r="AB40" s="170"/>
      <c r="AC40" s="170"/>
      <c r="AD40" s="170"/>
      <c r="AE40" s="170"/>
      <c r="AF40" s="170"/>
      <c r="AG40" s="170"/>
      <c r="AH40" s="170"/>
    </row>
    <row r="41" spans="3:34" hidden="1">
      <c r="C41" s="1340"/>
      <c r="D41" s="172" t="str">
        <f>IF(Indice_index!$Z$1=1,"julho","July")</f>
        <v>July</v>
      </c>
      <c r="E41" s="172">
        <v>401116</v>
      </c>
      <c r="F41" s="172">
        <v>75124</v>
      </c>
      <c r="G41" s="172">
        <v>156493</v>
      </c>
      <c r="H41" s="172">
        <v>632733</v>
      </c>
      <c r="I41" s="171">
        <v>2155.4</v>
      </c>
      <c r="K41" s="172">
        <v>493968</v>
      </c>
      <c r="L41" s="229"/>
      <c r="M41" s="229"/>
      <c r="N41" s="229"/>
      <c r="O41" s="229"/>
      <c r="P41" s="229"/>
      <c r="R41" s="50"/>
      <c r="S41" s="50"/>
      <c r="T41" s="50"/>
      <c r="U41" s="170"/>
      <c r="V41" s="170"/>
      <c r="W41" s="170"/>
      <c r="X41" s="170"/>
      <c r="Y41" s="170"/>
      <c r="Z41" s="170"/>
      <c r="AB41" s="170"/>
      <c r="AC41" s="170"/>
      <c r="AD41" s="170"/>
      <c r="AE41" s="170"/>
      <c r="AF41" s="170"/>
      <c r="AG41" s="170"/>
      <c r="AH41" s="170"/>
    </row>
    <row r="42" spans="3:34" hidden="1">
      <c r="C42" s="1340"/>
      <c r="D42" s="172" t="str">
        <f>IF(Indice_index!$Z$1=1,"agosto","August")</f>
        <v>August</v>
      </c>
      <c r="E42" s="172">
        <v>403188</v>
      </c>
      <c r="F42" s="172">
        <v>75226</v>
      </c>
      <c r="G42" s="172">
        <v>156768</v>
      </c>
      <c r="H42" s="172">
        <v>635182</v>
      </c>
      <c r="I42" s="171">
        <v>1185.7</v>
      </c>
      <c r="K42" s="172">
        <v>492048</v>
      </c>
      <c r="L42" s="229"/>
      <c r="M42" s="229"/>
      <c r="N42" s="229"/>
      <c r="O42" s="229"/>
      <c r="P42" s="229"/>
      <c r="R42" s="50"/>
      <c r="S42" s="50"/>
      <c r="T42" s="50"/>
      <c r="U42" s="170"/>
      <c r="V42" s="170"/>
      <c r="W42" s="170"/>
      <c r="X42" s="170"/>
      <c r="Y42" s="170"/>
      <c r="Z42" s="170"/>
      <c r="AB42" s="170"/>
      <c r="AC42" s="170"/>
      <c r="AD42" s="170"/>
      <c r="AE42" s="170"/>
      <c r="AF42" s="170"/>
      <c r="AG42" s="170"/>
      <c r="AH42" s="170"/>
    </row>
    <row r="43" spans="3:34" hidden="1">
      <c r="C43" s="1340"/>
      <c r="D43" s="172" t="str">
        <f>IF(Indice_index!$Z$1=1,"setembro","September")</f>
        <v>September</v>
      </c>
      <c r="E43" s="172">
        <v>404943</v>
      </c>
      <c r="F43" s="172">
        <v>75323</v>
      </c>
      <c r="G43" s="172">
        <v>156636</v>
      </c>
      <c r="H43" s="172">
        <v>636902</v>
      </c>
      <c r="I43" s="171">
        <v>1141.7</v>
      </c>
      <c r="K43" s="172">
        <v>488783</v>
      </c>
      <c r="L43" s="229"/>
      <c r="M43" s="229"/>
      <c r="N43" s="229"/>
      <c r="O43" s="229"/>
      <c r="P43" s="229"/>
      <c r="R43" s="50"/>
      <c r="S43" s="50"/>
      <c r="T43" s="50"/>
      <c r="U43" s="170"/>
      <c r="V43" s="170"/>
      <c r="W43" s="170"/>
      <c r="X43" s="170"/>
      <c r="Y43" s="170"/>
      <c r="Z43" s="170"/>
      <c r="AB43" s="170"/>
      <c r="AC43" s="170"/>
      <c r="AD43" s="170"/>
      <c r="AE43" s="170"/>
      <c r="AF43" s="170"/>
      <c r="AG43" s="170"/>
      <c r="AH43" s="170"/>
    </row>
    <row r="44" spans="3:34" hidden="1">
      <c r="C44" s="1340"/>
      <c r="D44" s="172" t="str">
        <f>IF(Indice_index!$Z$1=1,"outubro","October")</f>
        <v>October</v>
      </c>
      <c r="E44" s="172">
        <v>405843</v>
      </c>
      <c r="F44" s="172">
        <v>75237</v>
      </c>
      <c r="G44" s="172">
        <v>156863</v>
      </c>
      <c r="H44" s="172">
        <v>637943</v>
      </c>
      <c r="I44" s="171">
        <v>1151.4000000000001</v>
      </c>
      <c r="K44" s="172">
        <v>487328</v>
      </c>
      <c r="L44" s="229"/>
      <c r="M44" s="229"/>
      <c r="N44" s="229"/>
      <c r="O44" s="229"/>
      <c r="P44" s="229"/>
      <c r="R44" s="50"/>
      <c r="S44" s="50"/>
      <c r="T44" s="50"/>
      <c r="U44" s="170"/>
      <c r="V44" s="170"/>
      <c r="W44" s="170"/>
      <c r="X44" s="170"/>
      <c r="Y44" s="170"/>
      <c r="Z44" s="170"/>
      <c r="AB44" s="170"/>
      <c r="AC44" s="170"/>
      <c r="AD44" s="170"/>
      <c r="AE44" s="170"/>
      <c r="AF44" s="170"/>
      <c r="AG44" s="170"/>
      <c r="AH44" s="170"/>
    </row>
    <row r="45" spans="3:34" hidden="1">
      <c r="C45" s="1340"/>
      <c r="D45" s="172" t="str">
        <f>IF(Indice_index!$Z$1=1,"novembro","November")</f>
        <v>November</v>
      </c>
      <c r="E45" s="172">
        <v>406835</v>
      </c>
      <c r="F45" s="172">
        <v>75169</v>
      </c>
      <c r="G45" s="172">
        <v>157124</v>
      </c>
      <c r="H45" s="172">
        <v>639128</v>
      </c>
      <c r="I45" s="171">
        <v>1146.0999999999999</v>
      </c>
      <c r="K45" s="172">
        <v>485819</v>
      </c>
      <c r="L45" s="229"/>
      <c r="M45" s="229"/>
      <c r="N45" s="229"/>
      <c r="O45" s="229"/>
      <c r="P45" s="229"/>
      <c r="R45" s="50"/>
      <c r="S45" s="50"/>
      <c r="T45" s="50"/>
      <c r="U45" s="170"/>
      <c r="V45" s="170"/>
      <c r="W45" s="170"/>
      <c r="X45" s="170"/>
      <c r="Y45" s="170"/>
      <c r="Z45" s="170"/>
      <c r="AB45" s="170"/>
      <c r="AC45" s="170"/>
      <c r="AD45" s="170"/>
      <c r="AE45" s="170"/>
      <c r="AF45" s="170"/>
      <c r="AG45" s="170"/>
      <c r="AH45" s="170"/>
    </row>
    <row r="46" spans="3:34" hidden="1">
      <c r="C46" s="1340"/>
      <c r="D46" s="172" t="str">
        <f>IF(Indice_index!$Z$1=1,"dezembro","December")</f>
        <v>December</v>
      </c>
      <c r="E46" s="172">
        <v>407620</v>
      </c>
      <c r="F46" s="172">
        <v>75086</v>
      </c>
      <c r="G46" s="172">
        <v>157273</v>
      </c>
      <c r="H46" s="172">
        <v>639979</v>
      </c>
      <c r="I46" s="171">
        <v>1187.0999999999999</v>
      </c>
      <c r="K46" s="172">
        <v>484526</v>
      </c>
      <c r="L46" s="229"/>
      <c r="M46" s="229"/>
      <c r="N46" s="229"/>
      <c r="O46" s="229"/>
      <c r="P46" s="229"/>
      <c r="R46" s="50"/>
      <c r="S46" s="50"/>
      <c r="T46" s="50"/>
      <c r="U46" s="170"/>
      <c r="V46" s="170"/>
      <c r="W46" s="170"/>
      <c r="X46" s="170"/>
      <c r="Y46" s="170"/>
      <c r="Z46" s="170"/>
      <c r="AB46" s="170"/>
      <c r="AC46" s="170"/>
      <c r="AD46" s="170"/>
      <c r="AE46" s="170"/>
      <c r="AF46" s="170"/>
      <c r="AG46" s="170"/>
      <c r="AH46" s="170"/>
    </row>
    <row r="47" spans="3:34" hidden="1">
      <c r="C47" s="1341" t="s">
        <v>13</v>
      </c>
      <c r="D47" s="172"/>
      <c r="E47" s="172"/>
      <c r="F47" s="172"/>
      <c r="G47" s="172"/>
      <c r="H47" s="172"/>
      <c r="I47" s="171"/>
      <c r="K47" s="172"/>
      <c r="L47" s="229"/>
      <c r="M47" s="229"/>
      <c r="N47" s="229"/>
      <c r="O47" s="229"/>
      <c r="P47" s="229"/>
      <c r="R47" s="50"/>
      <c r="S47" s="50"/>
      <c r="T47" s="50"/>
      <c r="U47" s="170"/>
      <c r="V47" s="170"/>
      <c r="W47" s="170"/>
      <c r="X47" s="170"/>
      <c r="Y47" s="170"/>
      <c r="Z47" s="170"/>
      <c r="AB47" s="170"/>
      <c r="AC47" s="170"/>
      <c r="AD47" s="170"/>
      <c r="AE47" s="170"/>
      <c r="AF47" s="170"/>
      <c r="AG47" s="170"/>
      <c r="AH47" s="170"/>
    </row>
    <row r="48" spans="3:34" hidden="1">
      <c r="C48" s="1340"/>
      <c r="D48" s="172" t="str">
        <f>IF(Indice_index!$Z$1=1,"janeiro","January")</f>
        <v>January</v>
      </c>
      <c r="E48" s="172">
        <v>408667</v>
      </c>
      <c r="F48" s="172">
        <v>75024</v>
      </c>
      <c r="G48" s="172">
        <v>157314</v>
      </c>
      <c r="H48" s="172">
        <v>641005</v>
      </c>
      <c r="I48" s="171">
        <v>1164.4000000000001</v>
      </c>
      <c r="K48" s="172">
        <v>482823</v>
      </c>
      <c r="L48" s="229"/>
      <c r="M48" s="229"/>
      <c r="N48" s="229"/>
      <c r="O48" s="229"/>
      <c r="P48" s="229"/>
      <c r="R48" s="50"/>
      <c r="S48" s="50"/>
      <c r="T48" s="50"/>
      <c r="U48" s="170"/>
      <c r="V48" s="170"/>
      <c r="W48" s="170"/>
      <c r="X48" s="170"/>
      <c r="Y48" s="170"/>
      <c r="Z48" s="170"/>
      <c r="AB48" s="170"/>
      <c r="AC48" s="170"/>
      <c r="AD48" s="170"/>
      <c r="AE48" s="170"/>
      <c r="AF48" s="170"/>
      <c r="AG48" s="170"/>
      <c r="AH48" s="170"/>
    </row>
    <row r="49" spans="3:34" hidden="1">
      <c r="C49" s="1340"/>
      <c r="D49" s="172" t="str">
        <f>IF(Indice_index!$Z$1=1,"fevereiro","February")</f>
        <v>February</v>
      </c>
      <c r="E49" s="172">
        <v>409396</v>
      </c>
      <c r="F49" s="172">
        <v>74874</v>
      </c>
      <c r="G49" s="172">
        <v>157126</v>
      </c>
      <c r="H49" s="172">
        <v>641396</v>
      </c>
      <c r="I49" s="171">
        <v>1145.4000000000001</v>
      </c>
      <c r="K49" s="172">
        <v>482096</v>
      </c>
      <c r="L49" s="229"/>
      <c r="M49" s="229"/>
      <c r="N49" s="229"/>
      <c r="O49" s="229"/>
      <c r="P49" s="229"/>
      <c r="R49" s="50"/>
      <c r="S49" s="50"/>
      <c r="T49" s="50"/>
      <c r="U49" s="170"/>
      <c r="V49" s="170"/>
      <c r="W49" s="170"/>
      <c r="X49" s="170"/>
      <c r="Y49" s="170"/>
      <c r="Z49" s="170"/>
      <c r="AB49" s="170"/>
      <c r="AC49" s="170"/>
      <c r="AD49" s="170"/>
      <c r="AE49" s="170"/>
      <c r="AF49" s="170"/>
      <c r="AG49" s="170"/>
      <c r="AH49" s="170"/>
    </row>
    <row r="50" spans="3:34" hidden="1">
      <c r="C50" s="1340"/>
      <c r="D50" s="172" t="str">
        <f>IF(Indice_index!$Z$1=1,"março","March")</f>
        <v>March</v>
      </c>
      <c r="E50" s="172">
        <v>410091</v>
      </c>
      <c r="F50" s="172">
        <v>74722</v>
      </c>
      <c r="G50" s="172">
        <v>156983</v>
      </c>
      <c r="H50" s="172">
        <v>641796</v>
      </c>
      <c r="I50" s="171">
        <v>1145.5999999999999</v>
      </c>
      <c r="K50" s="172">
        <v>481344</v>
      </c>
      <c r="L50" s="229"/>
      <c r="M50" s="229"/>
      <c r="N50" s="229"/>
      <c r="O50" s="229"/>
      <c r="P50" s="229"/>
      <c r="R50" s="50"/>
      <c r="S50" s="50"/>
      <c r="T50" s="50"/>
      <c r="U50" s="170"/>
      <c r="V50" s="170"/>
      <c r="W50" s="170"/>
      <c r="X50" s="170"/>
      <c r="Y50" s="170"/>
      <c r="Z50" s="170"/>
      <c r="AB50" s="170"/>
      <c r="AC50" s="170"/>
      <c r="AD50" s="170"/>
      <c r="AE50" s="170"/>
      <c r="AF50" s="170"/>
      <c r="AG50" s="170"/>
      <c r="AH50" s="170"/>
    </row>
    <row r="51" spans="3:34" hidden="1">
      <c r="C51" s="1340"/>
      <c r="D51" s="172" t="str">
        <f>IF(Indice_index!$Z$1=1,"abril","April")</f>
        <v>April</v>
      </c>
      <c r="E51" s="172">
        <v>410488</v>
      </c>
      <c r="F51" s="172">
        <v>74660</v>
      </c>
      <c r="G51" s="172">
        <v>157177</v>
      </c>
      <c r="H51" s="172">
        <v>642325</v>
      </c>
      <c r="I51" s="171">
        <v>1151</v>
      </c>
      <c r="K51" s="172">
        <v>480229</v>
      </c>
      <c r="L51" s="229"/>
      <c r="M51" s="229"/>
      <c r="N51" s="229"/>
      <c r="O51" s="229"/>
      <c r="P51" s="229"/>
      <c r="R51" s="50"/>
      <c r="S51" s="50"/>
      <c r="T51" s="50"/>
      <c r="U51" s="170"/>
      <c r="V51" s="170"/>
      <c r="W51" s="170"/>
      <c r="X51" s="170"/>
      <c r="Y51" s="170"/>
      <c r="Z51" s="170"/>
      <c r="AB51" s="170"/>
      <c r="AC51" s="170"/>
      <c r="AD51" s="170"/>
      <c r="AE51" s="170"/>
      <c r="AF51" s="170"/>
      <c r="AG51" s="170"/>
      <c r="AH51" s="170"/>
    </row>
    <row r="52" spans="3:34" hidden="1">
      <c r="C52" s="1340"/>
      <c r="D52" s="172" t="str">
        <f>IF(Indice_index!$Z$1=1,"maio","May")</f>
        <v>May</v>
      </c>
      <c r="E52" s="172">
        <v>411009</v>
      </c>
      <c r="F52" s="172">
        <v>74591</v>
      </c>
      <c r="G52" s="172">
        <v>158931</v>
      </c>
      <c r="H52" s="172">
        <v>644531</v>
      </c>
      <c r="I52" s="171">
        <v>1145.7</v>
      </c>
      <c r="K52" s="172">
        <v>479986</v>
      </c>
      <c r="L52" s="229"/>
      <c r="M52" s="229"/>
      <c r="N52" s="229"/>
      <c r="O52" s="229"/>
      <c r="P52" s="229"/>
      <c r="R52" s="50"/>
      <c r="S52" s="50"/>
      <c r="T52" s="50"/>
      <c r="U52" s="170"/>
      <c r="V52" s="170"/>
      <c r="W52" s="170"/>
      <c r="X52" s="170"/>
      <c r="Y52" s="170"/>
      <c r="Z52" s="170"/>
      <c r="AB52" s="170"/>
      <c r="AC52" s="170"/>
      <c r="AD52" s="170"/>
      <c r="AE52" s="170"/>
      <c r="AF52" s="170"/>
      <c r="AG52" s="170"/>
      <c r="AH52" s="170"/>
    </row>
    <row r="53" spans="3:34" hidden="1">
      <c r="C53" s="1340"/>
      <c r="D53" s="172" t="str">
        <f>IF(Indice_index!$Z$1=1,"junho","June")</f>
        <v>June</v>
      </c>
      <c r="E53" s="172">
        <v>411477</v>
      </c>
      <c r="F53" s="172">
        <v>74573</v>
      </c>
      <c r="G53" s="172">
        <v>159067</v>
      </c>
      <c r="H53" s="172">
        <v>645117</v>
      </c>
      <c r="I53" s="171">
        <v>1144</v>
      </c>
      <c r="K53" s="172">
        <v>479407</v>
      </c>
      <c r="L53" s="229"/>
      <c r="M53" s="229"/>
      <c r="N53" s="229"/>
      <c r="O53" s="229"/>
      <c r="P53" s="229"/>
      <c r="R53" s="50"/>
      <c r="S53" s="50"/>
      <c r="T53" s="50"/>
      <c r="U53" s="170"/>
      <c r="V53" s="170"/>
      <c r="W53" s="170"/>
      <c r="X53" s="170"/>
      <c r="Y53" s="170"/>
      <c r="Z53" s="170"/>
      <c r="AB53" s="170"/>
      <c r="AC53" s="170"/>
      <c r="AD53" s="170"/>
      <c r="AE53" s="170"/>
      <c r="AF53" s="170"/>
      <c r="AG53" s="170"/>
      <c r="AH53" s="170"/>
    </row>
    <row r="54" spans="3:34" hidden="1">
      <c r="C54" s="1340"/>
      <c r="D54" s="172" t="str">
        <f>IF(Indice_index!$Z$1=1,"julho","July")</f>
        <v>July</v>
      </c>
      <c r="E54" s="172">
        <v>411370</v>
      </c>
      <c r="F54" s="172">
        <v>74549</v>
      </c>
      <c r="G54" s="172">
        <v>159339</v>
      </c>
      <c r="H54" s="172">
        <v>645258</v>
      </c>
      <c r="I54" s="171">
        <v>2159.5</v>
      </c>
      <c r="K54" s="172">
        <v>478593</v>
      </c>
      <c r="L54" s="229"/>
      <c r="M54" s="229"/>
      <c r="N54" s="229"/>
      <c r="O54" s="229"/>
      <c r="P54" s="229"/>
      <c r="R54" s="50"/>
      <c r="S54" s="50"/>
      <c r="T54" s="50"/>
      <c r="U54" s="170"/>
      <c r="V54" s="170"/>
      <c r="W54" s="170"/>
      <c r="X54" s="170"/>
      <c r="Y54" s="170"/>
      <c r="Z54" s="170"/>
      <c r="AB54" s="170"/>
      <c r="AC54" s="170"/>
      <c r="AD54" s="170"/>
      <c r="AE54" s="170"/>
      <c r="AF54" s="170"/>
      <c r="AG54" s="170"/>
      <c r="AH54" s="170"/>
    </row>
    <row r="55" spans="3:34" hidden="1">
      <c r="C55" s="1340"/>
      <c r="D55" s="172" t="str">
        <f>IF(Indice_index!$Z$1=1,"agosto","August")</f>
        <v>August</v>
      </c>
      <c r="E55" s="172">
        <v>411859</v>
      </c>
      <c r="F55" s="172">
        <v>74524</v>
      </c>
      <c r="G55" s="172">
        <v>159580</v>
      </c>
      <c r="H55" s="172">
        <v>645963</v>
      </c>
      <c r="I55" s="171">
        <v>1142.5</v>
      </c>
      <c r="K55" s="172">
        <v>477503</v>
      </c>
      <c r="L55" s="229"/>
      <c r="M55" s="229"/>
      <c r="N55" s="229"/>
      <c r="O55" s="229"/>
      <c r="P55" s="229"/>
      <c r="R55" s="50"/>
      <c r="S55" s="50"/>
      <c r="T55" s="50"/>
      <c r="U55" s="170"/>
      <c r="V55" s="170"/>
      <c r="W55" s="170"/>
      <c r="X55" s="170"/>
      <c r="Y55" s="170"/>
      <c r="Z55" s="170"/>
      <c r="AB55" s="170"/>
      <c r="AC55" s="170"/>
      <c r="AD55" s="170"/>
      <c r="AE55" s="170"/>
      <c r="AF55" s="170"/>
      <c r="AG55" s="170"/>
      <c r="AH55" s="170"/>
    </row>
    <row r="56" spans="3:34" hidden="1">
      <c r="C56" s="1340"/>
      <c r="D56" s="172" t="str">
        <f>IF(Indice_index!$Z$1=1,"setembro","September")</f>
        <v>September</v>
      </c>
      <c r="E56" s="172">
        <v>412056</v>
      </c>
      <c r="F56" s="172">
        <v>74525</v>
      </c>
      <c r="G56" s="172">
        <v>159606</v>
      </c>
      <c r="H56" s="172">
        <v>646187</v>
      </c>
      <c r="I56" s="171">
        <v>1143.3</v>
      </c>
      <c r="K56" s="172">
        <v>476137</v>
      </c>
      <c r="L56" s="229"/>
      <c r="M56" s="229"/>
      <c r="N56" s="229"/>
      <c r="O56" s="229"/>
      <c r="P56" s="229"/>
      <c r="R56" s="50"/>
      <c r="S56" s="50"/>
      <c r="T56" s="50"/>
      <c r="U56" s="170"/>
      <c r="V56" s="170"/>
      <c r="W56" s="170"/>
      <c r="X56" s="170"/>
      <c r="Y56" s="170"/>
      <c r="Z56" s="170"/>
      <c r="AB56" s="170"/>
      <c r="AC56" s="170"/>
      <c r="AD56" s="170"/>
      <c r="AE56" s="170"/>
      <c r="AF56" s="170"/>
      <c r="AG56" s="170"/>
      <c r="AH56" s="170"/>
    </row>
    <row r="57" spans="3:34" hidden="1">
      <c r="C57" s="1340"/>
      <c r="D57" s="172" t="str">
        <f>IF(Indice_index!$Z$1=1,"outubro","October")</f>
        <v>October</v>
      </c>
      <c r="E57" s="172">
        <v>412131</v>
      </c>
      <c r="F57" s="172">
        <v>74487</v>
      </c>
      <c r="G57" s="172">
        <v>159530</v>
      </c>
      <c r="H57" s="172">
        <v>646148</v>
      </c>
      <c r="I57" s="171">
        <v>1152.2</v>
      </c>
      <c r="K57" s="172">
        <v>475241</v>
      </c>
      <c r="L57" s="229"/>
      <c r="M57" s="229"/>
      <c r="N57" s="229"/>
      <c r="O57" s="229"/>
      <c r="P57" s="229"/>
      <c r="R57" s="50"/>
      <c r="S57" s="50"/>
      <c r="T57" s="50"/>
      <c r="U57" s="170"/>
      <c r="V57" s="170"/>
      <c r="W57" s="170"/>
      <c r="X57" s="170"/>
      <c r="Y57" s="170"/>
      <c r="Z57" s="170"/>
      <c r="AB57" s="170"/>
      <c r="AC57" s="170"/>
      <c r="AD57" s="170"/>
      <c r="AE57" s="170"/>
      <c r="AF57" s="170"/>
      <c r="AG57" s="170"/>
      <c r="AH57" s="170"/>
    </row>
    <row r="58" spans="3:34" hidden="1">
      <c r="C58" s="1340"/>
      <c r="D58" s="172" t="str">
        <f>IF(Indice_index!$Z$1=1,"novembro","November")</f>
        <v>November</v>
      </c>
      <c r="E58" s="172">
        <v>411979</v>
      </c>
      <c r="F58" s="172">
        <v>74393</v>
      </c>
      <c r="G58" s="172">
        <v>159755</v>
      </c>
      <c r="H58" s="172">
        <v>646127</v>
      </c>
      <c r="I58" s="171">
        <v>1141.4000000000001</v>
      </c>
      <c r="K58" s="172">
        <v>474462</v>
      </c>
      <c r="L58" s="229"/>
      <c r="M58" s="229"/>
      <c r="N58" s="229"/>
      <c r="O58" s="229"/>
      <c r="P58" s="229"/>
      <c r="R58" s="50"/>
      <c r="S58" s="50"/>
      <c r="T58" s="50"/>
      <c r="U58" s="170"/>
      <c r="V58" s="170"/>
      <c r="W58" s="170"/>
      <c r="X58" s="170"/>
      <c r="Y58" s="170"/>
      <c r="Z58" s="170"/>
      <c r="AB58" s="170"/>
      <c r="AC58" s="170"/>
      <c r="AD58" s="170"/>
      <c r="AE58" s="170"/>
      <c r="AF58" s="170"/>
      <c r="AG58" s="170"/>
      <c r="AH58" s="170"/>
    </row>
    <row r="59" spans="3:34" hidden="1">
      <c r="C59" s="1340"/>
      <c r="D59" s="172" t="str">
        <f>IF(Indice_index!$Z$1=1,"dezembro","December")</f>
        <v>December</v>
      </c>
      <c r="E59" s="172">
        <v>411870</v>
      </c>
      <c r="F59" s="172">
        <v>74399</v>
      </c>
      <c r="G59" s="172">
        <v>159924</v>
      </c>
      <c r="H59" s="172">
        <v>646193</v>
      </c>
      <c r="I59" s="171">
        <v>1108.3</v>
      </c>
      <c r="K59" s="172">
        <v>473446</v>
      </c>
      <c r="L59" s="229"/>
      <c r="M59" s="229"/>
      <c r="N59" s="229"/>
      <c r="O59" s="229"/>
      <c r="P59" s="229"/>
      <c r="R59" s="50"/>
      <c r="S59" s="50"/>
      <c r="T59" s="50"/>
      <c r="U59" s="170"/>
      <c r="V59" s="170"/>
      <c r="W59" s="170"/>
      <c r="X59" s="170"/>
      <c r="Y59" s="170"/>
      <c r="Z59" s="170"/>
      <c r="AB59" s="170"/>
      <c r="AC59" s="170"/>
      <c r="AD59" s="170"/>
      <c r="AE59" s="170"/>
      <c r="AF59" s="170"/>
      <c r="AG59" s="170"/>
      <c r="AH59" s="170"/>
    </row>
    <row r="60" spans="3:34" hidden="1">
      <c r="C60" s="1339">
        <v>2016</v>
      </c>
      <c r="D60" s="172"/>
      <c r="E60" s="172"/>
      <c r="F60" s="172"/>
      <c r="G60" s="172"/>
      <c r="H60" s="172"/>
      <c r="I60" s="171"/>
      <c r="K60" s="172"/>
      <c r="L60" s="229"/>
      <c r="M60" s="229"/>
      <c r="N60" s="229"/>
      <c r="O60" s="229"/>
      <c r="P60" s="229"/>
      <c r="R60" s="50"/>
      <c r="S60" s="50"/>
      <c r="T60" s="50"/>
      <c r="U60" s="170"/>
      <c r="V60" s="170"/>
      <c r="W60" s="170"/>
      <c r="X60" s="170"/>
      <c r="Y60" s="170"/>
      <c r="Z60" s="170"/>
      <c r="AB60" s="170"/>
      <c r="AC60" s="170"/>
      <c r="AD60" s="170"/>
      <c r="AE60" s="170"/>
      <c r="AF60" s="170"/>
      <c r="AG60" s="170"/>
      <c r="AH60" s="170"/>
    </row>
    <row r="61" spans="3:34" hidden="1">
      <c r="C61" s="1340"/>
      <c r="D61" s="172" t="str">
        <f>IF(Indice_index!$Z$1=1,"janeiro","January")</f>
        <v>January</v>
      </c>
      <c r="E61" s="172">
        <v>411718</v>
      </c>
      <c r="F61" s="172">
        <v>74348</v>
      </c>
      <c r="G61" s="172">
        <v>159909</v>
      </c>
      <c r="H61" s="172">
        <v>645975</v>
      </c>
      <c r="I61" s="171">
        <v>1166.4000000000001</v>
      </c>
      <c r="J61" s="171"/>
      <c r="K61" s="172">
        <v>472236</v>
      </c>
      <c r="L61" s="229"/>
      <c r="M61" s="229"/>
      <c r="N61" s="229"/>
      <c r="O61" s="229"/>
      <c r="P61" s="229"/>
      <c r="R61" s="50"/>
      <c r="S61" s="50"/>
      <c r="T61" s="50"/>
      <c r="U61" s="170"/>
      <c r="V61" s="170"/>
      <c r="W61" s="170"/>
      <c r="X61" s="170"/>
      <c r="Y61" s="170"/>
      <c r="Z61" s="170"/>
      <c r="AB61" s="170"/>
      <c r="AC61" s="170"/>
      <c r="AD61" s="170"/>
      <c r="AE61" s="170"/>
      <c r="AF61" s="170"/>
      <c r="AG61" s="170"/>
      <c r="AH61" s="170"/>
    </row>
    <row r="62" spans="3:34" hidden="1">
      <c r="C62" s="1340"/>
      <c r="D62" s="172" t="str">
        <f>IF(Indice_index!$Z$1=1,"fevereiro","February")</f>
        <v>February</v>
      </c>
      <c r="E62" s="172">
        <v>411422</v>
      </c>
      <c r="F62" s="172">
        <v>74216</v>
      </c>
      <c r="G62" s="172">
        <v>159832</v>
      </c>
      <c r="H62" s="172">
        <v>645470</v>
      </c>
      <c r="I62" s="171">
        <v>1174</v>
      </c>
      <c r="J62" s="171"/>
      <c r="K62" s="172">
        <v>471532</v>
      </c>
      <c r="L62" s="229"/>
      <c r="M62" s="229"/>
      <c r="N62" s="229"/>
      <c r="O62" s="229"/>
      <c r="P62" s="229"/>
      <c r="R62" s="50"/>
      <c r="S62" s="50"/>
      <c r="T62" s="50"/>
      <c r="U62" s="170"/>
      <c r="V62" s="170"/>
      <c r="W62" s="170"/>
      <c r="X62" s="170"/>
      <c r="Y62" s="170"/>
      <c r="Z62" s="170"/>
      <c r="AB62" s="170"/>
      <c r="AC62" s="170"/>
      <c r="AD62" s="170"/>
      <c r="AE62" s="170"/>
      <c r="AF62" s="170"/>
      <c r="AG62" s="170"/>
      <c r="AH62" s="170"/>
    </row>
    <row r="63" spans="3:34" hidden="1">
      <c r="C63" s="1340"/>
      <c r="D63" s="172" t="str">
        <f>IF(Indice_index!$Z$1=1,"março","March")</f>
        <v>March</v>
      </c>
      <c r="E63" s="172">
        <v>411217</v>
      </c>
      <c r="F63" s="172">
        <v>74134</v>
      </c>
      <c r="G63" s="172">
        <v>159822</v>
      </c>
      <c r="H63" s="172">
        <v>645173</v>
      </c>
      <c r="I63" s="171">
        <v>1142.2</v>
      </c>
      <c r="J63" s="171"/>
      <c r="K63" s="172">
        <v>470960</v>
      </c>
      <c r="L63" s="229"/>
      <c r="M63" s="229"/>
      <c r="N63" s="229"/>
      <c r="O63" s="229"/>
      <c r="P63" s="229"/>
      <c r="R63" s="50"/>
      <c r="S63" s="50"/>
      <c r="T63" s="50"/>
      <c r="U63" s="170"/>
      <c r="V63" s="170"/>
      <c r="W63" s="170"/>
      <c r="X63" s="170"/>
      <c r="Y63" s="170"/>
      <c r="Z63" s="170"/>
      <c r="AB63" s="170"/>
      <c r="AC63" s="170"/>
      <c r="AD63" s="170"/>
      <c r="AE63" s="170"/>
      <c r="AF63" s="170"/>
      <c r="AG63" s="170"/>
      <c r="AH63" s="170"/>
    </row>
    <row r="64" spans="3:34" hidden="1">
      <c r="C64" s="1340"/>
      <c r="D64" s="172" t="str">
        <f>IF(Indice_index!$Z$1=1,"abril","April")</f>
        <v>April</v>
      </c>
      <c r="E64" s="172">
        <v>411066</v>
      </c>
      <c r="F64" s="172">
        <v>74063</v>
      </c>
      <c r="G64" s="172">
        <v>159895</v>
      </c>
      <c r="H64" s="172">
        <v>645024</v>
      </c>
      <c r="I64" s="171">
        <v>1149.5</v>
      </c>
      <c r="J64" s="171"/>
      <c r="K64" s="172">
        <v>470289</v>
      </c>
      <c r="L64" s="229"/>
      <c r="M64" s="229"/>
      <c r="N64" s="229"/>
      <c r="O64" s="229"/>
      <c r="P64" s="229"/>
      <c r="R64" s="50"/>
      <c r="S64" s="50"/>
      <c r="T64" s="50"/>
      <c r="U64" s="170"/>
      <c r="V64" s="170"/>
      <c r="W64" s="170"/>
      <c r="X64" s="170"/>
      <c r="Y64" s="170"/>
      <c r="Z64" s="170"/>
      <c r="AB64" s="170"/>
      <c r="AC64" s="170"/>
      <c r="AD64" s="170"/>
      <c r="AE64" s="170"/>
      <c r="AF64" s="170"/>
      <c r="AG64" s="170"/>
      <c r="AH64" s="170"/>
    </row>
    <row r="65" spans="3:34" hidden="1">
      <c r="C65" s="1340"/>
      <c r="D65" s="172" t="str">
        <f>IF(Indice_index!$Z$1=1,"maio","May")</f>
        <v>May</v>
      </c>
      <c r="E65" s="172">
        <v>410687</v>
      </c>
      <c r="F65" s="172">
        <v>73966</v>
      </c>
      <c r="G65" s="172">
        <v>159648</v>
      </c>
      <c r="H65" s="172">
        <v>644301</v>
      </c>
      <c r="I65" s="171">
        <v>1142.8</v>
      </c>
      <c r="J65" s="171"/>
      <c r="K65" s="172">
        <v>469543</v>
      </c>
      <c r="L65" s="229"/>
      <c r="M65" s="229"/>
      <c r="N65" s="229"/>
      <c r="O65" s="229"/>
      <c r="P65" s="229"/>
      <c r="R65" s="50"/>
      <c r="S65" s="50"/>
      <c r="T65" s="50"/>
      <c r="U65" s="170"/>
      <c r="V65" s="170"/>
      <c r="W65" s="170"/>
      <c r="X65" s="170"/>
      <c r="Y65" s="170"/>
      <c r="Z65" s="170"/>
      <c r="AB65" s="170"/>
      <c r="AC65" s="170"/>
      <c r="AD65" s="170"/>
      <c r="AE65" s="170"/>
      <c r="AF65" s="170"/>
      <c r="AG65" s="170"/>
      <c r="AH65" s="170"/>
    </row>
    <row r="66" spans="3:34" hidden="1">
      <c r="C66" s="1340"/>
      <c r="D66" s="172" t="str">
        <f>IF(Indice_index!$Z$1=1,"junho","June")</f>
        <v>June</v>
      </c>
      <c r="E66" s="172">
        <v>410431</v>
      </c>
      <c r="F66" s="172">
        <v>73883</v>
      </c>
      <c r="G66" s="172">
        <v>159884</v>
      </c>
      <c r="H66" s="172">
        <v>644198</v>
      </c>
      <c r="I66" s="171">
        <v>1161.0999999999999</v>
      </c>
      <c r="J66" s="171"/>
      <c r="K66" s="172">
        <v>469096</v>
      </c>
      <c r="L66" s="229"/>
      <c r="M66" s="229"/>
      <c r="N66" s="229"/>
      <c r="O66" s="229"/>
      <c r="P66" s="229"/>
      <c r="R66" s="50"/>
      <c r="S66" s="50"/>
      <c r="T66" s="50"/>
      <c r="U66" s="170"/>
      <c r="V66" s="170"/>
      <c r="W66" s="170"/>
      <c r="X66" s="170"/>
      <c r="Y66" s="170"/>
      <c r="Z66" s="170"/>
      <c r="AB66" s="170"/>
      <c r="AC66" s="170"/>
      <c r="AD66" s="170"/>
      <c r="AE66" s="170"/>
      <c r="AF66" s="170"/>
      <c r="AG66" s="170"/>
      <c r="AH66" s="170"/>
    </row>
    <row r="67" spans="3:34" hidden="1">
      <c r="C67" s="1340"/>
      <c r="D67" s="172" t="str">
        <f>IF(Indice_index!$Z$1=1,"julho","July")</f>
        <v>July</v>
      </c>
      <c r="E67" s="172">
        <v>410147</v>
      </c>
      <c r="F67" s="172">
        <v>73871</v>
      </c>
      <c r="G67" s="172">
        <v>159990</v>
      </c>
      <c r="H67" s="172">
        <v>644008</v>
      </c>
      <c r="I67" s="171">
        <v>2187.1</v>
      </c>
      <c r="J67" s="171"/>
      <c r="K67" s="172">
        <v>468440</v>
      </c>
      <c r="L67" s="229"/>
      <c r="M67" s="229"/>
      <c r="N67" s="229"/>
      <c r="O67" s="229"/>
      <c r="P67" s="229"/>
      <c r="R67" s="50"/>
      <c r="S67" s="50"/>
      <c r="T67" s="50"/>
      <c r="U67" s="170"/>
      <c r="V67" s="170"/>
      <c r="W67" s="170"/>
      <c r="X67" s="170"/>
      <c r="Y67" s="170"/>
      <c r="Z67" s="170"/>
      <c r="AB67" s="170"/>
      <c r="AC67" s="170"/>
      <c r="AD67" s="170"/>
      <c r="AE67" s="170"/>
      <c r="AF67" s="170"/>
      <c r="AG67" s="170"/>
      <c r="AH67" s="170"/>
    </row>
    <row r="68" spans="3:34" hidden="1">
      <c r="C68" s="1340"/>
      <c r="D68" s="172" t="str">
        <f>IF(Indice_index!$Z$1=1,"agosto","August")</f>
        <v>August</v>
      </c>
      <c r="E68" s="172">
        <v>409927</v>
      </c>
      <c r="F68" s="172">
        <v>73850</v>
      </c>
      <c r="G68" s="172">
        <v>160048</v>
      </c>
      <c r="H68" s="172">
        <v>643825</v>
      </c>
      <c r="I68" s="171">
        <v>1169.9000000000001</v>
      </c>
      <c r="J68" s="171"/>
      <c r="K68" s="172">
        <v>467630</v>
      </c>
      <c r="L68" s="229"/>
      <c r="M68" s="229"/>
      <c r="N68" s="229"/>
      <c r="O68" s="229"/>
      <c r="P68" s="229"/>
      <c r="R68" s="50"/>
      <c r="S68" s="50"/>
      <c r="T68" s="50"/>
      <c r="U68" s="170"/>
      <c r="V68" s="170"/>
      <c r="W68" s="170"/>
      <c r="X68" s="170"/>
      <c r="Y68" s="170"/>
      <c r="Z68" s="170"/>
      <c r="AB68" s="170"/>
      <c r="AC68" s="170"/>
      <c r="AD68" s="170"/>
      <c r="AE68" s="170"/>
      <c r="AF68" s="170"/>
      <c r="AG68" s="170"/>
      <c r="AH68" s="170"/>
    </row>
    <row r="69" spans="3:34" hidden="1">
      <c r="C69" s="1340"/>
      <c r="D69" s="172" t="str">
        <f>IF(Indice_index!$Z$1=1,"setembro","September")</f>
        <v>September</v>
      </c>
      <c r="E69" s="172">
        <v>409714</v>
      </c>
      <c r="F69" s="172">
        <v>73855</v>
      </c>
      <c r="G69" s="172">
        <v>159934</v>
      </c>
      <c r="H69" s="172">
        <v>643503</v>
      </c>
      <c r="I69" s="171">
        <v>1161.8</v>
      </c>
      <c r="J69" s="171"/>
      <c r="K69" s="172">
        <v>466384</v>
      </c>
      <c r="L69" s="229"/>
      <c r="M69" s="229"/>
      <c r="N69" s="229"/>
      <c r="O69" s="229"/>
      <c r="P69" s="229"/>
      <c r="R69" s="50"/>
      <c r="S69" s="50"/>
      <c r="T69" s="50"/>
      <c r="U69" s="170"/>
      <c r="V69" s="170"/>
      <c r="W69" s="170"/>
      <c r="X69" s="170"/>
      <c r="Y69" s="170"/>
      <c r="Z69" s="170"/>
      <c r="AB69" s="170"/>
      <c r="AC69" s="170"/>
      <c r="AD69" s="170"/>
      <c r="AE69" s="170"/>
      <c r="AF69" s="170"/>
      <c r="AG69" s="170"/>
      <c r="AH69" s="170"/>
    </row>
    <row r="70" spans="3:34" hidden="1">
      <c r="C70" s="1340"/>
      <c r="D70" s="172" t="str">
        <f>IF(Indice_index!$Z$1=1,"outubro","October")</f>
        <v>October</v>
      </c>
      <c r="E70" s="172">
        <v>409434</v>
      </c>
      <c r="F70" s="172">
        <v>73800</v>
      </c>
      <c r="G70" s="172">
        <v>159797</v>
      </c>
      <c r="H70" s="172">
        <v>643031</v>
      </c>
      <c r="I70" s="171">
        <v>1171.3</v>
      </c>
      <c r="J70" s="171"/>
      <c r="K70" s="172">
        <v>465559</v>
      </c>
      <c r="L70" s="229"/>
      <c r="M70" s="229"/>
      <c r="N70" s="229"/>
      <c r="O70" s="229"/>
      <c r="P70" s="229"/>
      <c r="R70" s="50"/>
      <c r="S70" s="50"/>
      <c r="T70" s="50"/>
      <c r="U70" s="170"/>
      <c r="V70" s="170"/>
      <c r="W70" s="170"/>
      <c r="X70" s="170"/>
      <c r="Y70" s="170"/>
      <c r="Z70" s="170"/>
      <c r="AB70" s="170"/>
      <c r="AC70" s="170"/>
      <c r="AD70" s="170"/>
      <c r="AE70" s="170"/>
      <c r="AF70" s="170"/>
      <c r="AG70" s="170"/>
      <c r="AH70" s="170"/>
    </row>
    <row r="71" spans="3:34" s="171" customFormat="1" hidden="1">
      <c r="C71" s="1340"/>
      <c r="D71" s="172" t="str">
        <f>IF(Indice_index!$Z$1=1,"novembro","November")</f>
        <v>November</v>
      </c>
      <c r="E71" s="172">
        <v>409108</v>
      </c>
      <c r="F71" s="172">
        <v>73710</v>
      </c>
      <c r="G71" s="172">
        <v>159949</v>
      </c>
      <c r="H71" s="172">
        <v>642767</v>
      </c>
      <c r="I71" s="171">
        <v>1159</v>
      </c>
      <c r="K71" s="172">
        <v>464885</v>
      </c>
      <c r="R71" s="1357"/>
      <c r="S71" s="1357"/>
      <c r="T71" s="1357"/>
      <c r="U71" s="172"/>
      <c r="V71" s="172"/>
      <c r="W71" s="172"/>
      <c r="X71" s="172"/>
      <c r="Y71" s="172"/>
      <c r="Z71" s="172"/>
      <c r="AA71" s="172"/>
      <c r="AB71" s="172"/>
      <c r="AC71" s="172"/>
      <c r="AD71" s="172"/>
      <c r="AE71" s="172"/>
      <c r="AF71" s="172"/>
      <c r="AG71" s="172"/>
      <c r="AH71" s="172"/>
    </row>
    <row r="72" spans="3:34" hidden="1">
      <c r="C72" s="1340"/>
      <c r="D72" s="172" t="str">
        <f>IF(Indice_index!$Z$1=1,"dezembro","December")</f>
        <v>December</v>
      </c>
      <c r="E72" s="172">
        <v>408924</v>
      </c>
      <c r="F72" s="172">
        <v>73690</v>
      </c>
      <c r="G72" s="172">
        <v>160016</v>
      </c>
      <c r="H72" s="172">
        <v>642630</v>
      </c>
      <c r="I72" s="171">
        <v>1159.5</v>
      </c>
      <c r="J72" s="171"/>
      <c r="K72" s="172">
        <v>463861</v>
      </c>
      <c r="L72" s="229"/>
      <c r="M72" s="229"/>
      <c r="N72" s="229"/>
      <c r="O72" s="229"/>
      <c r="P72" s="229"/>
      <c r="R72" s="50"/>
      <c r="S72" s="50"/>
      <c r="T72" s="50"/>
      <c r="U72" s="170"/>
      <c r="V72" s="170"/>
      <c r="W72" s="170"/>
      <c r="X72" s="170"/>
      <c r="Y72" s="170"/>
      <c r="Z72" s="170"/>
      <c r="AB72" s="170"/>
      <c r="AC72" s="170"/>
      <c r="AD72" s="170"/>
      <c r="AE72" s="170"/>
      <c r="AF72" s="170"/>
      <c r="AG72" s="170"/>
      <c r="AH72" s="170"/>
    </row>
    <row r="73" spans="3:34" hidden="1">
      <c r="C73" s="1339">
        <v>2017</v>
      </c>
      <c r="D73" s="172"/>
      <c r="E73" s="172"/>
      <c r="F73" s="172"/>
      <c r="G73" s="172"/>
      <c r="H73" s="172"/>
      <c r="I73" s="171"/>
      <c r="K73" s="172"/>
      <c r="L73" s="229"/>
      <c r="M73" s="229"/>
      <c r="N73" s="229"/>
      <c r="O73" s="229"/>
      <c r="P73" s="229"/>
      <c r="R73" s="50"/>
      <c r="S73" s="50"/>
      <c r="T73" s="50"/>
      <c r="U73" s="170"/>
      <c r="V73" s="170"/>
      <c r="W73" s="170"/>
      <c r="X73" s="170"/>
      <c r="Y73" s="170"/>
      <c r="Z73" s="170"/>
      <c r="AB73" s="170"/>
      <c r="AC73" s="170"/>
      <c r="AD73" s="170"/>
      <c r="AE73" s="170"/>
      <c r="AF73" s="170"/>
      <c r="AG73" s="170"/>
      <c r="AH73" s="170"/>
    </row>
    <row r="74" spans="3:34" s="171" customFormat="1" hidden="1">
      <c r="C74" s="1340"/>
      <c r="D74" s="172" t="str">
        <f>IF(Indice_index!$Z$1=1,"janeiro","January")</f>
        <v>January</v>
      </c>
      <c r="E74" s="172">
        <v>408939</v>
      </c>
      <c r="F74" s="172">
        <v>73624</v>
      </c>
      <c r="G74" s="172">
        <v>160065</v>
      </c>
      <c r="H74" s="172">
        <v>642628</v>
      </c>
      <c r="I74" s="171">
        <v>1143.5</v>
      </c>
      <c r="K74" s="172">
        <v>462411</v>
      </c>
      <c r="M74" s="229"/>
      <c r="R74" s="1357"/>
      <c r="S74" s="1357"/>
      <c r="T74" s="1357"/>
      <c r="U74" s="172"/>
      <c r="V74" s="172"/>
      <c r="W74" s="172"/>
      <c r="X74" s="172"/>
      <c r="Y74" s="172"/>
      <c r="Z74" s="172"/>
      <c r="AA74" s="172"/>
      <c r="AB74" s="172"/>
      <c r="AC74" s="172"/>
      <c r="AD74" s="172"/>
      <c r="AE74" s="172"/>
      <c r="AF74" s="172"/>
      <c r="AG74" s="172"/>
      <c r="AH74" s="172"/>
    </row>
    <row r="75" spans="3:34" hidden="1">
      <c r="C75" s="1340"/>
      <c r="D75" s="172" t="str">
        <f>IF(Indice_index!$Z$1=1,"fevereiro","February")</f>
        <v>February</v>
      </c>
      <c r="E75" s="172">
        <v>408288</v>
      </c>
      <c r="F75" s="172">
        <v>73455</v>
      </c>
      <c r="G75" s="172">
        <v>159914</v>
      </c>
      <c r="H75" s="172">
        <v>641657</v>
      </c>
      <c r="I75" s="171">
        <v>1119.4000000000001</v>
      </c>
      <c r="J75" s="171"/>
      <c r="K75" s="172">
        <v>461805</v>
      </c>
      <c r="L75" s="229"/>
      <c r="M75" s="229"/>
      <c r="N75" s="229"/>
      <c r="O75" s="229"/>
      <c r="P75" s="229"/>
      <c r="R75" s="50"/>
      <c r="S75" s="50"/>
      <c r="T75" s="50"/>
      <c r="U75" s="170"/>
      <c r="V75" s="170"/>
      <c r="W75" s="170"/>
      <c r="X75" s="170"/>
      <c r="Y75" s="170"/>
      <c r="Z75" s="170"/>
      <c r="AB75" s="170"/>
      <c r="AC75" s="170"/>
      <c r="AD75" s="170"/>
      <c r="AE75" s="170"/>
      <c r="AF75" s="170"/>
      <c r="AG75" s="170"/>
      <c r="AH75" s="170"/>
    </row>
    <row r="76" spans="3:34" s="171" customFormat="1" hidden="1">
      <c r="C76" s="1340"/>
      <c r="D76" s="172" t="str">
        <f>IF(Indice_index!$Z$1=1,"março","March")</f>
        <v>March</v>
      </c>
      <c r="E76" s="172">
        <v>407540</v>
      </c>
      <c r="F76" s="172">
        <v>73348</v>
      </c>
      <c r="G76" s="172">
        <v>159347</v>
      </c>
      <c r="H76" s="172">
        <v>640235</v>
      </c>
      <c r="I76" s="171">
        <v>1130.3</v>
      </c>
      <c r="K76" s="172">
        <v>461332</v>
      </c>
      <c r="R76" s="1357"/>
      <c r="S76" s="1357"/>
      <c r="T76" s="1357"/>
      <c r="U76" s="172"/>
      <c r="V76" s="172"/>
      <c r="W76" s="172"/>
      <c r="X76" s="172"/>
      <c r="Y76" s="172"/>
      <c r="Z76" s="172"/>
      <c r="AA76" s="172"/>
      <c r="AB76" s="172"/>
      <c r="AC76" s="172"/>
      <c r="AD76" s="172"/>
      <c r="AE76" s="172"/>
      <c r="AF76" s="172"/>
      <c r="AG76" s="172"/>
      <c r="AH76" s="172"/>
    </row>
    <row r="77" spans="3:34" hidden="1">
      <c r="C77" s="1340"/>
      <c r="D77" s="172" t="str">
        <f>IF(Indice_index!$Z$1=1,"abril","April")</f>
        <v>April</v>
      </c>
      <c r="E77" s="172">
        <v>407110</v>
      </c>
      <c r="F77" s="172">
        <v>73249</v>
      </c>
      <c r="G77" s="172">
        <v>160092</v>
      </c>
      <c r="H77" s="172">
        <v>640451</v>
      </c>
      <c r="I77" s="171">
        <v>1126.4000000000001</v>
      </c>
      <c r="J77" s="171"/>
      <c r="K77" s="172">
        <v>460761</v>
      </c>
      <c r="L77" s="229"/>
      <c r="M77" s="229"/>
      <c r="N77" s="229"/>
      <c r="O77" s="229"/>
      <c r="P77" s="229"/>
      <c r="R77" s="50"/>
      <c r="S77" s="50"/>
      <c r="T77" s="50"/>
      <c r="U77" s="170"/>
      <c r="V77" s="170"/>
      <c r="W77" s="170"/>
      <c r="X77" s="170"/>
      <c r="Y77" s="170"/>
      <c r="Z77" s="170"/>
      <c r="AB77" s="170"/>
      <c r="AC77" s="170"/>
      <c r="AD77" s="170"/>
      <c r="AE77" s="170"/>
      <c r="AF77" s="170"/>
      <c r="AG77" s="170"/>
      <c r="AH77" s="170"/>
    </row>
    <row r="78" spans="3:34" s="171" customFormat="1" hidden="1">
      <c r="C78" s="1340"/>
      <c r="D78" s="172" t="str">
        <f>IF(Indice_index!$Z$1=1,"maio","May")</f>
        <v>May</v>
      </c>
      <c r="E78" s="172">
        <v>407141</v>
      </c>
      <c r="F78" s="172">
        <v>73177</v>
      </c>
      <c r="G78" s="172">
        <v>159861</v>
      </c>
      <c r="H78" s="172">
        <v>640179</v>
      </c>
      <c r="I78" s="171">
        <v>1122.4000000000001</v>
      </c>
      <c r="K78" s="172">
        <v>460119</v>
      </c>
      <c r="R78" s="1357"/>
      <c r="S78" s="1357"/>
      <c r="T78" s="1357"/>
      <c r="U78" s="172"/>
      <c r="V78" s="172"/>
      <c r="W78" s="172"/>
      <c r="X78" s="172"/>
      <c r="Y78" s="172"/>
      <c r="Z78" s="172"/>
      <c r="AA78" s="172"/>
      <c r="AB78" s="172"/>
      <c r="AC78" s="172"/>
      <c r="AD78" s="172"/>
      <c r="AE78" s="172"/>
      <c r="AF78" s="172"/>
      <c r="AG78" s="172"/>
      <c r="AH78" s="172"/>
    </row>
    <row r="79" spans="3:34" s="171" customFormat="1" hidden="1">
      <c r="C79" s="1340"/>
      <c r="D79" s="172" t="str">
        <f>IF(Indice_index!$Z$1=1,"junho","June")</f>
        <v>June</v>
      </c>
      <c r="E79" s="172">
        <v>407346</v>
      </c>
      <c r="F79" s="172">
        <v>73104</v>
      </c>
      <c r="G79" s="172">
        <v>160094</v>
      </c>
      <c r="H79" s="172">
        <v>640544</v>
      </c>
      <c r="I79" s="171">
        <v>1121.5999999999999</v>
      </c>
      <c r="K79" s="172">
        <v>459273</v>
      </c>
      <c r="R79" s="1357"/>
      <c r="S79" s="1357"/>
      <c r="T79" s="1357"/>
      <c r="U79" s="172"/>
      <c r="V79" s="172"/>
      <c r="W79" s="172"/>
      <c r="X79" s="172"/>
      <c r="Y79" s="172"/>
      <c r="Z79" s="172"/>
      <c r="AA79" s="172"/>
      <c r="AB79" s="172"/>
      <c r="AC79" s="172"/>
      <c r="AD79" s="172"/>
      <c r="AE79" s="172"/>
      <c r="AF79" s="172"/>
      <c r="AG79" s="172"/>
      <c r="AH79" s="172"/>
    </row>
    <row r="80" spans="3:34" hidden="1">
      <c r="C80" s="1340"/>
      <c r="D80" s="172" t="str">
        <f>IF(Indice_index!$Z$1=1,"julho","July")</f>
        <v>July</v>
      </c>
      <c r="E80" s="172">
        <v>407953</v>
      </c>
      <c r="F80" s="172">
        <v>73062</v>
      </c>
      <c r="G80" s="172">
        <v>160095</v>
      </c>
      <c r="H80" s="172">
        <v>641110</v>
      </c>
      <c r="I80" s="171">
        <v>2155.1999999999998</v>
      </c>
      <c r="J80" s="171"/>
      <c r="K80" s="172">
        <v>458272</v>
      </c>
      <c r="L80" s="229"/>
      <c r="M80" s="229"/>
      <c r="N80" s="229"/>
      <c r="O80" s="229"/>
      <c r="P80" s="229"/>
      <c r="R80" s="50"/>
      <c r="S80" s="50"/>
      <c r="T80" s="50"/>
      <c r="U80" s="170"/>
      <c r="V80" s="170"/>
      <c r="W80" s="170"/>
      <c r="X80" s="170"/>
      <c r="Y80" s="170"/>
      <c r="Z80" s="170"/>
      <c r="AB80" s="170"/>
      <c r="AC80" s="170"/>
      <c r="AD80" s="170"/>
      <c r="AE80" s="170"/>
      <c r="AF80" s="170"/>
      <c r="AG80" s="170"/>
      <c r="AH80" s="170"/>
    </row>
    <row r="81" spans="3:34" hidden="1">
      <c r="C81" s="1340"/>
      <c r="D81" s="172" t="str">
        <f>IF(Indice_index!$Z$1=1,"agosto","August")</f>
        <v>August</v>
      </c>
      <c r="E81" s="172">
        <v>408428</v>
      </c>
      <c r="F81" s="172">
        <v>72982</v>
      </c>
      <c r="G81" s="172">
        <v>160151</v>
      </c>
      <c r="H81" s="172">
        <v>641561</v>
      </c>
      <c r="I81" s="171">
        <v>1131.8</v>
      </c>
      <c r="J81" s="171"/>
      <c r="K81" s="172">
        <v>457677</v>
      </c>
      <c r="L81" s="229"/>
      <c r="M81" s="229"/>
      <c r="N81" s="229"/>
      <c r="O81" s="229"/>
      <c r="P81" s="229"/>
      <c r="R81" s="50"/>
      <c r="S81" s="50"/>
      <c r="T81" s="50"/>
      <c r="U81" s="170"/>
      <c r="V81" s="170"/>
      <c r="W81" s="170"/>
      <c r="X81" s="170"/>
      <c r="Y81" s="170"/>
      <c r="Z81" s="170"/>
      <c r="AB81" s="170"/>
      <c r="AC81" s="170"/>
      <c r="AD81" s="170"/>
      <c r="AE81" s="170"/>
      <c r="AF81" s="170"/>
      <c r="AG81" s="170"/>
      <c r="AH81" s="170"/>
    </row>
    <row r="82" spans="3:34" hidden="1">
      <c r="C82" s="1340"/>
      <c r="D82" s="172" t="str">
        <f>IF(Indice_index!$Z$1=1,"setembro","September")</f>
        <v>September</v>
      </c>
      <c r="E82" s="172">
        <v>408630</v>
      </c>
      <c r="F82" s="172">
        <v>72970</v>
      </c>
      <c r="G82" s="172">
        <v>160113</v>
      </c>
      <c r="H82" s="172">
        <v>641713</v>
      </c>
      <c r="I82" s="171">
        <v>1126.4000000000001</v>
      </c>
      <c r="J82" s="171"/>
      <c r="K82" s="172">
        <v>456190</v>
      </c>
      <c r="L82" s="229"/>
      <c r="M82" s="229"/>
      <c r="N82" s="229"/>
      <c r="O82" s="229"/>
      <c r="P82" s="229"/>
      <c r="R82" s="50"/>
      <c r="S82" s="50"/>
      <c r="T82" s="50"/>
      <c r="U82" s="170"/>
      <c r="V82" s="170"/>
      <c r="W82" s="170"/>
      <c r="X82" s="170"/>
      <c r="Y82" s="170"/>
      <c r="Z82" s="170"/>
      <c r="AB82" s="170"/>
      <c r="AC82" s="170"/>
      <c r="AD82" s="170"/>
      <c r="AE82" s="170"/>
      <c r="AF82" s="170"/>
      <c r="AG82" s="170"/>
      <c r="AH82" s="170"/>
    </row>
    <row r="83" spans="3:34" hidden="1">
      <c r="C83" s="1340"/>
      <c r="D83" s="172" t="str">
        <f>IF(Indice_index!$Z$1=1,"outubro","October")</f>
        <v>October</v>
      </c>
      <c r="E83" s="172">
        <v>408900</v>
      </c>
      <c r="F83" s="172">
        <v>72837</v>
      </c>
      <c r="G83" s="172">
        <v>163540</v>
      </c>
      <c r="H83" s="172">
        <v>645277</v>
      </c>
      <c r="I83" s="171">
        <v>1128.7</v>
      </c>
      <c r="J83" s="171"/>
      <c r="K83" s="172">
        <v>455463</v>
      </c>
      <c r="L83" s="229"/>
      <c r="M83" s="229"/>
      <c r="N83" s="229"/>
      <c r="O83" s="229"/>
      <c r="P83" s="229"/>
      <c r="R83" s="50"/>
      <c r="S83" s="50"/>
      <c r="T83" s="50"/>
      <c r="U83" s="170"/>
      <c r="V83" s="170"/>
      <c r="W83" s="170"/>
      <c r="X83" s="170"/>
      <c r="Y83" s="170"/>
      <c r="Z83" s="170"/>
      <c r="AB83" s="170"/>
      <c r="AC83" s="170"/>
      <c r="AD83" s="170"/>
      <c r="AE83" s="170"/>
      <c r="AF83" s="170"/>
      <c r="AG83" s="170"/>
      <c r="AH83" s="170"/>
    </row>
    <row r="84" spans="3:34" hidden="1">
      <c r="C84" s="1340"/>
      <c r="D84" s="172" t="str">
        <f>IF(Indice_index!$Z$1=1,"novembro","November")</f>
        <v>November</v>
      </c>
      <c r="E84" s="172">
        <v>409275</v>
      </c>
      <c r="F84" s="172">
        <v>72804</v>
      </c>
      <c r="G84" s="172">
        <v>163607</v>
      </c>
      <c r="H84" s="172">
        <v>645686</v>
      </c>
      <c r="I84" s="171">
        <v>1647.8</v>
      </c>
      <c r="J84" s="171"/>
      <c r="K84" s="172">
        <v>454775</v>
      </c>
      <c r="L84" s="229"/>
      <c r="M84" s="229"/>
      <c r="N84" s="229"/>
      <c r="O84" s="229"/>
      <c r="P84" s="229"/>
      <c r="R84" s="50"/>
      <c r="S84" s="50"/>
      <c r="T84" s="50"/>
      <c r="U84" s="170"/>
      <c r="V84" s="170"/>
      <c r="W84" s="170"/>
      <c r="X84" s="170"/>
      <c r="Y84" s="170"/>
      <c r="Z84" s="170"/>
      <c r="AB84" s="170"/>
      <c r="AC84" s="170"/>
      <c r="AD84" s="170"/>
      <c r="AE84" s="170"/>
      <c r="AF84" s="170"/>
      <c r="AG84" s="170"/>
      <c r="AH84" s="170"/>
    </row>
    <row r="85" spans="3:34" hidden="1">
      <c r="C85" s="1340"/>
      <c r="D85" s="172" t="str">
        <f>IF(Indice_index!$Z$1=1,"dezembro","December")</f>
        <v>December</v>
      </c>
      <c r="E85" s="172">
        <v>409132</v>
      </c>
      <c r="F85" s="172">
        <v>72745</v>
      </c>
      <c r="G85" s="172">
        <v>163836</v>
      </c>
      <c r="H85" s="172">
        <v>645713</v>
      </c>
      <c r="I85" s="171">
        <v>1132.8</v>
      </c>
      <c r="J85" s="171"/>
      <c r="K85" s="172">
        <v>453977</v>
      </c>
      <c r="L85" s="229"/>
      <c r="M85" s="229"/>
      <c r="N85" s="229"/>
      <c r="O85" s="229"/>
      <c r="P85" s="229"/>
      <c r="R85" s="50"/>
      <c r="S85" s="50"/>
      <c r="T85" s="50"/>
      <c r="U85" s="170"/>
      <c r="V85" s="170"/>
      <c r="W85" s="170"/>
      <c r="X85" s="170"/>
      <c r="Y85" s="170"/>
      <c r="Z85" s="170"/>
      <c r="AB85" s="170"/>
      <c r="AC85" s="170"/>
      <c r="AD85" s="170"/>
      <c r="AE85" s="170"/>
      <c r="AF85" s="170"/>
      <c r="AG85" s="170"/>
      <c r="AH85" s="170"/>
    </row>
    <row r="86" spans="3:34" ht="15" hidden="1" customHeight="1">
      <c r="C86" s="1339">
        <v>2018</v>
      </c>
      <c r="D86" s="172"/>
      <c r="E86" s="172"/>
      <c r="F86" s="172"/>
      <c r="G86" s="172"/>
      <c r="H86" s="172"/>
      <c r="I86" s="171"/>
      <c r="J86" s="171"/>
      <c r="K86" s="172"/>
      <c r="L86" s="229"/>
      <c r="M86" s="229"/>
      <c r="N86" s="229"/>
      <c r="O86" s="229"/>
      <c r="P86" s="229"/>
      <c r="R86" s="50"/>
      <c r="S86" s="50"/>
      <c r="T86" s="50"/>
      <c r="U86" s="170"/>
      <c r="V86" s="170"/>
      <c r="W86" s="170"/>
      <c r="X86" s="170"/>
      <c r="Y86" s="170"/>
      <c r="Z86" s="170"/>
      <c r="AB86" s="170"/>
      <c r="AC86" s="170"/>
      <c r="AD86" s="170"/>
      <c r="AE86" s="170"/>
      <c r="AF86" s="170"/>
      <c r="AG86" s="170"/>
      <c r="AH86" s="170"/>
    </row>
    <row r="87" spans="3:34" ht="15" hidden="1" customHeight="1">
      <c r="C87" s="1340"/>
      <c r="D87" s="172" t="str">
        <f>IF(Indice_index!$Z$1=1,"janeiro","January")</f>
        <v>January</v>
      </c>
      <c r="E87" s="170">
        <v>409052</v>
      </c>
      <c r="F87" s="170">
        <v>72672</v>
      </c>
      <c r="G87" s="170">
        <v>163845</v>
      </c>
      <c r="H87" s="170">
        <v>645569</v>
      </c>
      <c r="I87" s="229">
        <v>1116.3</v>
      </c>
      <c r="K87" s="170">
        <v>452574</v>
      </c>
      <c r="L87" s="229"/>
      <c r="M87" s="232"/>
      <c r="N87" s="232"/>
      <c r="O87" s="232"/>
      <c r="P87" s="232"/>
      <c r="Q87" s="232"/>
      <c r="R87" s="232"/>
      <c r="S87" s="232"/>
      <c r="T87" s="50"/>
      <c r="U87" s="170"/>
      <c r="V87" s="170"/>
      <c r="W87" s="170"/>
      <c r="X87" s="170"/>
      <c r="Y87" s="170"/>
      <c r="Z87" s="170"/>
      <c r="AB87" s="170"/>
      <c r="AC87" s="170"/>
      <c r="AD87" s="170"/>
      <c r="AE87" s="170"/>
      <c r="AF87" s="170"/>
      <c r="AG87" s="170"/>
      <c r="AH87" s="170"/>
    </row>
    <row r="88" spans="3:34" ht="15" hidden="1" customHeight="1">
      <c r="C88" s="1340"/>
      <c r="D88" s="172" t="str">
        <f>IF(Indice_index!$Z$1=1,"fevereiro","February")</f>
        <v>February</v>
      </c>
      <c r="E88" s="170">
        <v>408712</v>
      </c>
      <c r="F88" s="170">
        <v>72479</v>
      </c>
      <c r="G88" s="170">
        <v>163737</v>
      </c>
      <c r="H88" s="170">
        <v>644928</v>
      </c>
      <c r="I88" s="229">
        <v>1102.5</v>
      </c>
      <c r="K88" s="170">
        <v>451857</v>
      </c>
      <c r="L88" s="229"/>
      <c r="M88" s="232"/>
      <c r="N88" s="232"/>
      <c r="O88" s="232"/>
      <c r="P88" s="232"/>
      <c r="Q88" s="232"/>
      <c r="R88" s="232"/>
      <c r="S88" s="232"/>
      <c r="T88" s="50"/>
      <c r="U88" s="170"/>
      <c r="V88" s="170"/>
      <c r="W88" s="170"/>
      <c r="X88" s="170"/>
      <c r="Y88" s="170"/>
      <c r="Z88" s="170"/>
      <c r="AB88" s="170"/>
      <c r="AC88" s="170"/>
      <c r="AD88" s="170"/>
      <c r="AE88" s="170"/>
      <c r="AF88" s="170"/>
      <c r="AG88" s="170"/>
      <c r="AH88" s="170"/>
    </row>
    <row r="89" spans="3:34" ht="15" hidden="1" customHeight="1">
      <c r="C89" s="1340"/>
      <c r="D89" s="172" t="str">
        <f>IF(Indice_index!$Z$1=1,"março","March")</f>
        <v>March</v>
      </c>
      <c r="E89" s="170">
        <v>408346</v>
      </c>
      <c r="F89" s="170">
        <v>72372</v>
      </c>
      <c r="G89" s="170">
        <v>163498</v>
      </c>
      <c r="H89" s="170">
        <v>644216</v>
      </c>
      <c r="I89" s="229">
        <v>1090.8</v>
      </c>
      <c r="K89" s="170">
        <v>451216</v>
      </c>
      <c r="L89" s="229"/>
      <c r="M89" s="232"/>
      <c r="N89" s="232"/>
      <c r="O89" s="232"/>
      <c r="P89" s="232"/>
      <c r="Q89" s="232"/>
      <c r="R89" s="232"/>
      <c r="S89" s="232"/>
      <c r="T89" s="50"/>
      <c r="U89" s="170"/>
      <c r="V89" s="170"/>
      <c r="W89" s="170"/>
      <c r="X89" s="170"/>
      <c r="Y89" s="170"/>
      <c r="Z89" s="170"/>
      <c r="AB89" s="170"/>
      <c r="AC89" s="170"/>
      <c r="AD89" s="170"/>
      <c r="AE89" s="170"/>
      <c r="AF89" s="170"/>
      <c r="AG89" s="170"/>
      <c r="AH89" s="170"/>
    </row>
    <row r="90" spans="3:34" ht="15" hidden="1" customHeight="1">
      <c r="C90" s="1340"/>
      <c r="D90" s="172" t="str">
        <f>IF(Indice_index!$Z$1=1,"abril","April")</f>
        <v>April</v>
      </c>
      <c r="E90" s="170">
        <v>407815</v>
      </c>
      <c r="F90" s="170">
        <v>72188</v>
      </c>
      <c r="G90" s="170">
        <v>163281</v>
      </c>
      <c r="H90" s="170">
        <v>643284</v>
      </c>
      <c r="I90" s="229">
        <v>1100.2</v>
      </c>
      <c r="K90" s="170">
        <v>450496</v>
      </c>
      <c r="L90" s="229"/>
      <c r="M90" s="232"/>
      <c r="N90" s="232"/>
      <c r="O90" s="232"/>
      <c r="P90" s="232"/>
      <c r="Q90" s="232"/>
      <c r="R90" s="232"/>
      <c r="S90" s="232"/>
      <c r="T90" s="50"/>
      <c r="U90" s="170"/>
      <c r="V90" s="170"/>
      <c r="W90" s="170"/>
      <c r="X90" s="170"/>
      <c r="Y90" s="170"/>
      <c r="Z90" s="170"/>
      <c r="AB90" s="170"/>
      <c r="AC90" s="170"/>
      <c r="AD90" s="170"/>
      <c r="AE90" s="170"/>
      <c r="AF90" s="170"/>
      <c r="AG90" s="170"/>
      <c r="AH90" s="170"/>
    </row>
    <row r="91" spans="3:34" ht="15" hidden="1" customHeight="1">
      <c r="C91" s="1340"/>
      <c r="D91" s="172" t="str">
        <f>IF(Indice_index!$Z$1=1,"maio","May")</f>
        <v>May</v>
      </c>
      <c r="E91" s="170">
        <v>407971</v>
      </c>
      <c r="F91" s="170">
        <v>72134</v>
      </c>
      <c r="G91" s="170">
        <v>162934</v>
      </c>
      <c r="H91" s="170">
        <v>643039</v>
      </c>
      <c r="I91" s="229">
        <v>1095.9000000000001</v>
      </c>
      <c r="K91" s="170">
        <v>449662</v>
      </c>
      <c r="L91" s="229"/>
      <c r="M91" s="232"/>
      <c r="N91" s="232"/>
      <c r="O91" s="232"/>
      <c r="P91" s="232"/>
      <c r="Q91" s="232"/>
      <c r="R91" s="232"/>
      <c r="S91" s="232"/>
      <c r="T91" s="50"/>
      <c r="U91" s="170"/>
      <c r="V91" s="170"/>
      <c r="W91" s="170"/>
      <c r="X91" s="170"/>
      <c r="Y91" s="170"/>
      <c r="Z91" s="170"/>
      <c r="AB91" s="170"/>
      <c r="AC91" s="170"/>
      <c r="AD91" s="170"/>
      <c r="AE91" s="170"/>
      <c r="AF91" s="170"/>
      <c r="AG91" s="170"/>
      <c r="AH91" s="170"/>
    </row>
    <row r="92" spans="3:34" ht="15" hidden="1" customHeight="1">
      <c r="C92" s="1340"/>
      <c r="D92" s="172" t="str">
        <f>IF(Indice_index!$Z$1=1,"junho","June")</f>
        <v>June</v>
      </c>
      <c r="E92" s="170">
        <v>407744</v>
      </c>
      <c r="F92" s="170">
        <v>72014</v>
      </c>
      <c r="G92" s="170">
        <v>162816</v>
      </c>
      <c r="H92" s="170">
        <v>642574</v>
      </c>
      <c r="I92" s="229">
        <v>1096.5999999999999</v>
      </c>
      <c r="K92" s="170">
        <v>448884</v>
      </c>
      <c r="L92" s="229"/>
      <c r="M92" s="232"/>
      <c r="N92" s="232"/>
      <c r="O92" s="232"/>
      <c r="P92" s="232"/>
      <c r="Q92" s="232"/>
      <c r="R92" s="232"/>
      <c r="S92" s="232"/>
      <c r="T92" s="50"/>
      <c r="U92" s="170"/>
      <c r="V92" s="170"/>
      <c r="W92" s="170"/>
      <c r="X92" s="170"/>
      <c r="Y92" s="170"/>
      <c r="Z92" s="170"/>
      <c r="AB92" s="170"/>
      <c r="AC92" s="170"/>
      <c r="AD92" s="170"/>
      <c r="AE92" s="170"/>
      <c r="AF92" s="170"/>
      <c r="AG92" s="170"/>
      <c r="AH92" s="170"/>
    </row>
    <row r="93" spans="3:34" ht="15" hidden="1" customHeight="1">
      <c r="C93" s="1340"/>
      <c r="D93" s="172" t="str">
        <f>IF(Indice_index!$Z$1=1,"julho","July")</f>
        <v>July</v>
      </c>
      <c r="E93" s="170">
        <v>407647</v>
      </c>
      <c r="F93" s="170">
        <v>71945</v>
      </c>
      <c r="G93" s="170">
        <v>162897</v>
      </c>
      <c r="H93" s="170">
        <v>642489</v>
      </c>
      <c r="I93" s="229">
        <v>2144.1999999999998</v>
      </c>
      <c r="K93" s="170">
        <v>448063</v>
      </c>
      <c r="L93" s="229"/>
      <c r="M93" s="232"/>
      <c r="N93" s="232"/>
      <c r="O93" s="232"/>
      <c r="P93" s="232"/>
      <c r="Q93" s="232"/>
      <c r="R93" s="232"/>
      <c r="S93" s="232"/>
      <c r="T93" s="50"/>
      <c r="U93" s="170"/>
      <c r="V93" s="170"/>
      <c r="W93" s="170"/>
      <c r="X93" s="170"/>
      <c r="Y93" s="170"/>
      <c r="Z93" s="170"/>
      <c r="AB93" s="170"/>
      <c r="AC93" s="170"/>
      <c r="AD93" s="170"/>
      <c r="AE93" s="170"/>
      <c r="AF93" s="170"/>
      <c r="AG93" s="170"/>
      <c r="AH93" s="170"/>
    </row>
    <row r="94" spans="3:34" ht="15" hidden="1" customHeight="1">
      <c r="C94" s="1340"/>
      <c r="D94" s="172" t="str">
        <f>IF(Indice_index!$Z$1=1,"agosto","August")</f>
        <v>August</v>
      </c>
      <c r="E94" s="172">
        <v>407684</v>
      </c>
      <c r="F94" s="172">
        <v>71867</v>
      </c>
      <c r="G94" s="172">
        <v>162936</v>
      </c>
      <c r="H94" s="172">
        <v>642487</v>
      </c>
      <c r="I94" s="171">
        <v>1097.7</v>
      </c>
      <c r="J94" s="171"/>
      <c r="K94" s="172">
        <v>447165</v>
      </c>
      <c r="L94" s="229"/>
      <c r="M94" s="232"/>
      <c r="N94" s="232"/>
      <c r="O94" s="232"/>
      <c r="P94" s="232"/>
      <c r="Q94" s="232"/>
      <c r="R94" s="232"/>
      <c r="S94" s="232"/>
      <c r="T94" s="50"/>
      <c r="U94" s="170"/>
      <c r="V94" s="170"/>
      <c r="W94" s="170"/>
      <c r="X94" s="170"/>
      <c r="Y94" s="170"/>
      <c r="Z94" s="170"/>
      <c r="AB94" s="170"/>
      <c r="AC94" s="170"/>
      <c r="AD94" s="170"/>
      <c r="AE94" s="170"/>
      <c r="AF94" s="170"/>
      <c r="AG94" s="170"/>
      <c r="AH94" s="170"/>
    </row>
    <row r="95" spans="3:34" ht="15" hidden="1" customHeight="1">
      <c r="C95" s="1340"/>
      <c r="D95" s="172" t="str">
        <f>IF(Indice_index!$Z$1=1,"setembro","September")</f>
        <v>September</v>
      </c>
      <c r="E95" s="172">
        <v>407781</v>
      </c>
      <c r="F95" s="172">
        <v>71807</v>
      </c>
      <c r="G95" s="172">
        <v>162807</v>
      </c>
      <c r="H95" s="172">
        <v>642395</v>
      </c>
      <c r="I95" s="171">
        <v>1098.4000000000001</v>
      </c>
      <c r="J95" s="171"/>
      <c r="K95" s="172">
        <v>446011</v>
      </c>
      <c r="L95" s="229"/>
      <c r="M95" s="232"/>
      <c r="N95" s="232"/>
      <c r="O95" s="232"/>
      <c r="P95" s="232"/>
      <c r="Q95" s="232"/>
      <c r="R95" s="232"/>
      <c r="S95" s="232"/>
      <c r="T95" s="50"/>
      <c r="U95" s="170"/>
      <c r="V95" s="170"/>
      <c r="W95" s="170"/>
      <c r="X95" s="170"/>
      <c r="Y95" s="170"/>
      <c r="Z95" s="170"/>
      <c r="AB95" s="170"/>
      <c r="AC95" s="170"/>
      <c r="AD95" s="170"/>
      <c r="AE95" s="170"/>
      <c r="AF95" s="170"/>
      <c r="AG95" s="170"/>
      <c r="AH95" s="170"/>
    </row>
    <row r="96" spans="3:34" ht="15" hidden="1" customHeight="1">
      <c r="C96" s="1340"/>
      <c r="D96" s="172" t="str">
        <f>IF(Indice_index!$Z$1=1,"outubro","October")</f>
        <v>October</v>
      </c>
      <c r="E96" s="172">
        <v>407480</v>
      </c>
      <c r="F96" s="172">
        <v>71695</v>
      </c>
      <c r="G96" s="172">
        <v>162615</v>
      </c>
      <c r="H96" s="172">
        <v>641790</v>
      </c>
      <c r="I96" s="171">
        <v>1108.7</v>
      </c>
      <c r="J96" s="171"/>
      <c r="K96" s="172">
        <v>445215</v>
      </c>
      <c r="L96" s="229"/>
      <c r="M96" s="232"/>
      <c r="N96" s="232"/>
      <c r="O96" s="232"/>
      <c r="P96" s="232"/>
      <c r="Q96" s="232"/>
      <c r="R96" s="232"/>
      <c r="S96" s="232"/>
      <c r="T96" s="50"/>
      <c r="U96" s="170"/>
      <c r="V96" s="170"/>
      <c r="W96" s="170"/>
      <c r="X96" s="170"/>
      <c r="Y96" s="170"/>
      <c r="Z96" s="170"/>
      <c r="AB96" s="170"/>
      <c r="AC96" s="170"/>
      <c r="AD96" s="170"/>
      <c r="AE96" s="170"/>
      <c r="AF96" s="170"/>
      <c r="AG96" s="170"/>
      <c r="AH96" s="170"/>
    </row>
    <row r="97" spans="3:34" ht="15" hidden="1" customHeight="1">
      <c r="C97" s="1340"/>
      <c r="D97" s="172" t="str">
        <f>IF(Indice_index!$Z$1=1,"novembro","November")</f>
        <v>November</v>
      </c>
      <c r="E97" s="172">
        <v>407421</v>
      </c>
      <c r="F97" s="172">
        <v>71630</v>
      </c>
      <c r="G97" s="172">
        <v>162922</v>
      </c>
      <c r="H97" s="172">
        <v>641973</v>
      </c>
      <c r="I97" s="171">
        <v>2172.6999999999998</v>
      </c>
      <c r="J97" s="171"/>
      <c r="K97" s="172">
        <v>444449</v>
      </c>
      <c r="L97" s="229"/>
      <c r="M97" s="232"/>
      <c r="N97" s="232"/>
      <c r="O97" s="232"/>
      <c r="P97" s="232"/>
      <c r="Q97" s="232"/>
      <c r="R97" s="232"/>
      <c r="S97" s="232"/>
      <c r="T97" s="50"/>
      <c r="U97" s="170"/>
      <c r="V97" s="170"/>
      <c r="W97" s="170"/>
      <c r="X97" s="170"/>
      <c r="Y97" s="170"/>
      <c r="Z97" s="170"/>
      <c r="AB97" s="170"/>
      <c r="AC97" s="170"/>
      <c r="AD97" s="170"/>
      <c r="AE97" s="170"/>
      <c r="AF97" s="170"/>
      <c r="AG97" s="170"/>
      <c r="AH97" s="170"/>
    </row>
    <row r="98" spans="3:34" s="171" customFormat="1" ht="15" hidden="1" customHeight="1">
      <c r="C98" s="1338"/>
      <c r="D98" s="172" t="str">
        <f>IF(Indice_index!$Z$1=1,"dezembro","December")</f>
        <v>December</v>
      </c>
      <c r="E98" s="172">
        <v>407476</v>
      </c>
      <c r="F98" s="172">
        <v>71656</v>
      </c>
      <c r="G98" s="172">
        <v>163168</v>
      </c>
      <c r="H98" s="172">
        <v>642300</v>
      </c>
      <c r="I98" s="171">
        <v>1119.8</v>
      </c>
      <c r="J98" s="172"/>
      <c r="K98" s="172">
        <v>443528</v>
      </c>
      <c r="M98" s="232"/>
      <c r="N98" s="232"/>
      <c r="O98" s="232"/>
      <c r="P98" s="232"/>
      <c r="Q98" s="232"/>
      <c r="R98" s="232"/>
      <c r="S98" s="232"/>
      <c r="T98" s="1357"/>
      <c r="U98" s="172"/>
      <c r="V98" s="172"/>
      <c r="W98" s="172"/>
      <c r="X98" s="172"/>
      <c r="Y98" s="172"/>
      <c r="Z98" s="172"/>
      <c r="AA98" s="172"/>
      <c r="AB98" s="172"/>
      <c r="AC98" s="172"/>
      <c r="AD98" s="172"/>
      <c r="AE98" s="172"/>
      <c r="AF98" s="172"/>
      <c r="AG98" s="172"/>
      <c r="AH98" s="172"/>
    </row>
    <row r="99" spans="3:34" ht="15" customHeight="1">
      <c r="C99" s="1339">
        <v>2019</v>
      </c>
      <c r="D99" s="172"/>
      <c r="E99" s="172"/>
      <c r="F99" s="172"/>
      <c r="G99" s="172"/>
      <c r="H99" s="172"/>
      <c r="I99" s="171"/>
      <c r="J99" s="171"/>
      <c r="K99" s="172"/>
      <c r="L99" s="229"/>
      <c r="M99" s="232"/>
      <c r="N99" s="232"/>
      <c r="O99" s="232"/>
      <c r="P99" s="232"/>
      <c r="Q99" s="232"/>
      <c r="R99" s="232"/>
      <c r="S99" s="232"/>
      <c r="T99" s="50"/>
      <c r="U99" s="170"/>
      <c r="V99" s="170"/>
      <c r="W99" s="170"/>
      <c r="X99" s="170"/>
      <c r="Y99" s="170"/>
      <c r="Z99" s="170"/>
      <c r="AB99" s="170"/>
      <c r="AC99" s="170"/>
      <c r="AD99" s="170"/>
      <c r="AE99" s="170"/>
      <c r="AF99" s="170"/>
      <c r="AG99" s="170"/>
      <c r="AH99" s="170"/>
    </row>
    <row r="100" spans="3:34" ht="15" customHeight="1">
      <c r="C100" s="1340"/>
      <c r="D100" s="172" t="str">
        <f>IF(Indice_index!$Z$1=1,"janeiro","January")</f>
        <v>January</v>
      </c>
      <c r="E100" s="1337">
        <v>407457</v>
      </c>
      <c r="F100" s="1337">
        <v>71632</v>
      </c>
      <c r="G100" s="1337">
        <v>163301</v>
      </c>
      <c r="H100" s="1337">
        <v>642390</v>
      </c>
      <c r="I100" s="1336">
        <v>1144.9000000000001</v>
      </c>
      <c r="J100" s="1336"/>
      <c r="K100" s="1337">
        <v>442491</v>
      </c>
      <c r="L100" s="229"/>
      <c r="M100" s="232"/>
      <c r="N100" s="232"/>
      <c r="O100" s="232"/>
      <c r="P100" s="232"/>
      <c r="Q100" s="232"/>
      <c r="R100" s="232"/>
      <c r="S100" s="232"/>
      <c r="T100" s="50"/>
      <c r="U100" s="170"/>
      <c r="V100" s="170"/>
      <c r="W100" s="170"/>
      <c r="X100" s="170"/>
      <c r="Y100" s="170"/>
      <c r="Z100" s="170"/>
      <c r="AB100" s="170"/>
      <c r="AC100" s="170"/>
      <c r="AD100" s="170"/>
      <c r="AE100" s="170"/>
      <c r="AF100" s="170"/>
      <c r="AG100" s="170"/>
      <c r="AH100" s="170"/>
    </row>
    <row r="101" spans="3:34" ht="15" customHeight="1">
      <c r="C101" s="1340"/>
      <c r="D101" s="172" t="str">
        <f>IF(Indice_index!$Z$1=1,"fevereiro","February")</f>
        <v>February</v>
      </c>
      <c r="E101" s="1337">
        <v>407174</v>
      </c>
      <c r="F101" s="1337">
        <v>71523</v>
      </c>
      <c r="G101" s="1337">
        <v>163477</v>
      </c>
      <c r="H101" s="1337">
        <v>642174</v>
      </c>
      <c r="I101" s="1336">
        <v>1120.0999999999999</v>
      </c>
      <c r="J101" s="1336"/>
      <c r="K101" s="1337">
        <v>441603</v>
      </c>
      <c r="L101" s="229"/>
      <c r="M101" s="232"/>
      <c r="N101" s="232"/>
      <c r="O101" s="232"/>
      <c r="P101" s="232"/>
      <c r="Q101" s="232"/>
      <c r="R101" s="232"/>
      <c r="S101" s="232"/>
      <c r="T101" s="50"/>
      <c r="U101" s="170"/>
      <c r="V101" s="170"/>
      <c r="W101" s="170"/>
      <c r="X101" s="170"/>
      <c r="Y101" s="170"/>
      <c r="Z101" s="170"/>
      <c r="AB101" s="170"/>
      <c r="AC101" s="170"/>
      <c r="AD101" s="170"/>
      <c r="AE101" s="170"/>
      <c r="AF101" s="170"/>
      <c r="AG101" s="170"/>
      <c r="AH101" s="170"/>
    </row>
    <row r="102" spans="3:34" ht="15" customHeight="1">
      <c r="C102" s="1340"/>
      <c r="D102" s="172" t="str">
        <f>IF(Indice_index!$Z$1=1,"março","March")</f>
        <v>March</v>
      </c>
      <c r="E102" s="1337">
        <v>406468</v>
      </c>
      <c r="F102" s="1337">
        <v>71486</v>
      </c>
      <c r="G102" s="1337">
        <v>163448</v>
      </c>
      <c r="H102" s="1337">
        <v>641402</v>
      </c>
      <c r="I102" s="1336">
        <v>1108.9000000000001</v>
      </c>
      <c r="J102" s="1336"/>
      <c r="K102" s="1337">
        <v>440601</v>
      </c>
      <c r="L102" s="229"/>
      <c r="M102" s="232"/>
      <c r="N102" s="232"/>
      <c r="O102" s="232"/>
      <c r="P102" s="232"/>
      <c r="Q102" s="232"/>
      <c r="R102" s="232"/>
      <c r="S102" s="232"/>
      <c r="T102" s="50"/>
      <c r="U102" s="170"/>
      <c r="V102" s="170"/>
      <c r="W102" s="170"/>
      <c r="X102" s="170"/>
      <c r="Y102" s="170"/>
      <c r="Z102" s="170"/>
      <c r="AB102" s="170"/>
      <c r="AC102" s="170"/>
      <c r="AD102" s="170"/>
      <c r="AE102" s="170"/>
      <c r="AF102" s="170"/>
      <c r="AG102" s="170"/>
      <c r="AH102" s="170"/>
    </row>
    <row r="103" spans="3:34" ht="15" customHeight="1">
      <c r="C103" s="1340"/>
      <c r="D103" s="172" t="str">
        <f>IF(Indice_index!$Z$1=1,"abril","April")</f>
        <v>April</v>
      </c>
      <c r="E103" s="1337">
        <v>406554</v>
      </c>
      <c r="F103" s="1337">
        <v>71547</v>
      </c>
      <c r="G103" s="1337">
        <v>163401</v>
      </c>
      <c r="H103" s="1337">
        <v>641502</v>
      </c>
      <c r="I103" s="1336">
        <v>1115.8</v>
      </c>
      <c r="J103" s="1336"/>
      <c r="K103" s="1337">
        <v>439717</v>
      </c>
      <c r="L103" s="229"/>
      <c r="M103" s="232"/>
      <c r="N103" s="232"/>
      <c r="O103" s="232"/>
      <c r="P103" s="232"/>
      <c r="Q103" s="232"/>
      <c r="R103" s="232"/>
      <c r="S103" s="232"/>
      <c r="T103" s="50"/>
      <c r="U103" s="170"/>
      <c r="V103" s="170"/>
      <c r="W103" s="170"/>
      <c r="X103" s="170"/>
      <c r="Y103" s="170"/>
      <c r="Z103" s="170"/>
      <c r="AB103" s="170"/>
      <c r="AC103" s="170"/>
      <c r="AD103" s="170"/>
      <c r="AE103" s="170"/>
      <c r="AF103" s="170"/>
      <c r="AG103" s="170"/>
      <c r="AH103" s="170"/>
    </row>
    <row r="104" spans="3:34" ht="15" customHeight="1">
      <c r="C104" s="1340"/>
      <c r="D104" s="172" t="str">
        <f>IF(Indice_index!$Z$1=1,"maio","May")</f>
        <v>May</v>
      </c>
      <c r="E104" s="1337">
        <v>406842</v>
      </c>
      <c r="F104" s="1337">
        <v>71546</v>
      </c>
      <c r="G104" s="1337">
        <v>163306</v>
      </c>
      <c r="H104" s="1337">
        <v>641694</v>
      </c>
      <c r="I104" s="1336">
        <v>1112.3</v>
      </c>
      <c r="J104" s="1336"/>
      <c r="K104" s="1337">
        <v>438794</v>
      </c>
      <c r="L104" s="229"/>
      <c r="M104" s="232"/>
      <c r="N104" s="232"/>
      <c r="O104" s="232"/>
      <c r="P104" s="232"/>
      <c r="Q104" s="232"/>
      <c r="R104" s="232"/>
      <c r="S104" s="232"/>
      <c r="T104" s="50"/>
      <c r="U104" s="170"/>
      <c r="V104" s="170"/>
      <c r="W104" s="170"/>
      <c r="X104" s="170"/>
      <c r="Y104" s="170"/>
      <c r="Z104" s="170"/>
      <c r="AB104" s="170"/>
      <c r="AC104" s="170"/>
      <c r="AD104" s="170"/>
      <c r="AE104" s="170"/>
      <c r="AF104" s="170"/>
      <c r="AG104" s="170"/>
      <c r="AH104" s="170"/>
    </row>
    <row r="105" spans="3:34" ht="15" customHeight="1">
      <c r="C105" s="1340"/>
      <c r="D105" s="172" t="str">
        <f>IF(Indice_index!$Z$1=1,"junho","June")</f>
        <v>June</v>
      </c>
      <c r="E105" s="1337">
        <v>406804</v>
      </c>
      <c r="F105" s="1337">
        <v>71532</v>
      </c>
      <c r="G105" s="1337">
        <v>163596</v>
      </c>
      <c r="H105" s="1337">
        <v>641932</v>
      </c>
      <c r="I105" s="1336">
        <v>1113.0999999999999</v>
      </c>
      <c r="J105" s="1336"/>
      <c r="K105" s="1337">
        <v>437767</v>
      </c>
      <c r="L105" s="229"/>
      <c r="M105" s="232"/>
      <c r="N105" s="232"/>
      <c r="O105" s="232"/>
      <c r="P105" s="232"/>
      <c r="Q105" s="232"/>
      <c r="R105" s="232"/>
      <c r="S105" s="232"/>
      <c r="T105" s="50"/>
      <c r="U105" s="170"/>
      <c r="V105" s="170"/>
      <c r="W105" s="170"/>
      <c r="X105" s="170"/>
      <c r="Y105" s="170"/>
      <c r="Z105" s="170"/>
      <c r="AB105" s="170"/>
      <c r="AC105" s="170"/>
      <c r="AD105" s="170"/>
      <c r="AE105" s="170"/>
      <c r="AF105" s="170"/>
      <c r="AG105" s="170"/>
      <c r="AH105" s="170"/>
    </row>
    <row r="106" spans="3:34" ht="15" customHeight="1">
      <c r="C106" s="1340"/>
      <c r="D106" s="172" t="str">
        <f>IF(Indice_index!$Z$1=1,"julho","July")</f>
        <v>July</v>
      </c>
      <c r="E106" s="1337">
        <v>407083</v>
      </c>
      <c r="F106" s="1337">
        <v>71510</v>
      </c>
      <c r="G106" s="1337">
        <v>163772</v>
      </c>
      <c r="H106" s="1337">
        <v>642365</v>
      </c>
      <c r="I106" s="1336">
        <v>2173.6</v>
      </c>
      <c r="J106" s="1336"/>
      <c r="K106" s="1337">
        <v>436900</v>
      </c>
      <c r="L106" s="229"/>
      <c r="M106" s="232"/>
      <c r="N106" s="232"/>
      <c r="O106" s="232"/>
      <c r="P106" s="232"/>
      <c r="Q106" s="232"/>
      <c r="R106" s="232"/>
      <c r="S106" s="232"/>
      <c r="T106" s="50"/>
      <c r="U106" s="170"/>
      <c r="V106" s="170"/>
      <c r="W106" s="170"/>
      <c r="X106" s="170"/>
      <c r="Y106" s="170"/>
      <c r="Z106" s="170"/>
      <c r="AB106" s="170"/>
      <c r="AC106" s="170"/>
      <c r="AD106" s="170"/>
      <c r="AE106" s="170"/>
      <c r="AF106" s="170"/>
      <c r="AG106" s="170"/>
      <c r="AH106" s="170"/>
    </row>
    <row r="107" spans="3:34" ht="15" customHeight="1">
      <c r="C107" s="1340"/>
      <c r="D107" s="172" t="str">
        <f>IF(Indice_index!$Z$1=1,"agosto","August")</f>
        <v>August</v>
      </c>
      <c r="E107" s="1337">
        <v>407210</v>
      </c>
      <c r="F107" s="1337">
        <v>71452</v>
      </c>
      <c r="G107" s="1337">
        <v>164027</v>
      </c>
      <c r="H107" s="1337">
        <v>642689</v>
      </c>
      <c r="I107" s="1336">
        <v>1132.9000000000001</v>
      </c>
      <c r="J107" s="1336"/>
      <c r="K107" s="1337">
        <v>435837</v>
      </c>
      <c r="L107" s="229"/>
      <c r="M107" s="227"/>
      <c r="N107" s="227"/>
      <c r="O107" s="227"/>
      <c r="P107" s="227"/>
      <c r="Q107" s="227"/>
      <c r="R107" s="227"/>
      <c r="S107" s="227"/>
      <c r="T107" s="50"/>
      <c r="U107" s="170"/>
      <c r="V107" s="170"/>
      <c r="W107" s="170"/>
      <c r="X107" s="170"/>
      <c r="Y107" s="170"/>
      <c r="Z107" s="170"/>
      <c r="AB107" s="170"/>
      <c r="AC107" s="170"/>
      <c r="AD107" s="170"/>
      <c r="AE107" s="170"/>
      <c r="AF107" s="170"/>
      <c r="AG107" s="170"/>
      <c r="AH107" s="170"/>
    </row>
    <row r="108" spans="3:34" ht="15" customHeight="1">
      <c r="C108" s="1340"/>
      <c r="D108" s="172" t="str">
        <f>IF(Indice_index!$Z$1=1,"setembro","September")</f>
        <v>September</v>
      </c>
      <c r="E108" s="1337">
        <v>407461</v>
      </c>
      <c r="F108" s="1337">
        <v>71450</v>
      </c>
      <c r="G108" s="1337">
        <v>164231</v>
      </c>
      <c r="H108" s="1337">
        <v>643142</v>
      </c>
      <c r="I108" s="1336">
        <v>1113.5999999999999</v>
      </c>
      <c r="J108" s="1336"/>
      <c r="K108" s="1337">
        <v>434703</v>
      </c>
      <c r="L108" s="229"/>
      <c r="M108" s="227"/>
      <c r="N108" s="227"/>
      <c r="O108" s="227"/>
      <c r="P108" s="227"/>
      <c r="Q108" s="227"/>
      <c r="R108" s="227"/>
      <c r="S108" s="227"/>
      <c r="T108" s="50"/>
      <c r="U108" s="170"/>
      <c r="V108" s="170"/>
      <c r="W108" s="170"/>
      <c r="X108" s="170"/>
      <c r="Y108" s="170"/>
      <c r="Z108" s="170"/>
      <c r="AB108" s="170"/>
      <c r="AC108" s="170"/>
      <c r="AD108" s="170"/>
      <c r="AE108" s="170"/>
      <c r="AF108" s="170"/>
      <c r="AG108" s="170"/>
      <c r="AH108" s="170"/>
    </row>
    <row r="109" spans="3:34" ht="15" customHeight="1">
      <c r="C109" s="1340"/>
      <c r="D109" s="172" t="str">
        <f>IF(Indice_index!$Z$1=1,"outubro","October")</f>
        <v>October</v>
      </c>
      <c r="E109" s="1335">
        <v>407389</v>
      </c>
      <c r="F109" s="1335">
        <v>71309</v>
      </c>
      <c r="G109" s="1335">
        <v>164320</v>
      </c>
      <c r="H109" s="1335">
        <v>643018</v>
      </c>
      <c r="I109" s="1334">
        <v>1111.7</v>
      </c>
      <c r="J109" s="1334"/>
      <c r="K109" s="1335">
        <v>433596</v>
      </c>
      <c r="L109" s="229"/>
      <c r="M109" s="227"/>
      <c r="N109" s="227"/>
      <c r="O109" s="227"/>
      <c r="P109" s="227"/>
      <c r="Q109" s="227"/>
      <c r="R109" s="227"/>
      <c r="S109" s="227"/>
      <c r="T109" s="50"/>
      <c r="U109" s="170"/>
      <c r="V109" s="170"/>
      <c r="W109" s="170"/>
      <c r="X109" s="170"/>
      <c r="Y109" s="170"/>
      <c r="Z109" s="170"/>
      <c r="AB109" s="170"/>
      <c r="AC109" s="170"/>
      <c r="AD109" s="170"/>
      <c r="AE109" s="170"/>
      <c r="AF109" s="170"/>
      <c r="AG109" s="170"/>
      <c r="AH109" s="170"/>
    </row>
    <row r="110" spans="3:34" ht="15" customHeight="1">
      <c r="C110" s="1340"/>
      <c r="D110" s="172" t="str">
        <f>IF(Indice_index!$Z$1=1,"novembro","November")</f>
        <v>November</v>
      </c>
      <c r="E110" s="1333">
        <v>408592</v>
      </c>
      <c r="F110" s="1333">
        <v>71287</v>
      </c>
      <c r="G110" s="1333">
        <v>164693</v>
      </c>
      <c r="H110" s="1333">
        <v>644572</v>
      </c>
      <c r="I110" s="1332">
        <v>2221.3000000000002</v>
      </c>
      <c r="J110" s="1332"/>
      <c r="K110" s="1333">
        <v>432386</v>
      </c>
      <c r="L110" s="229"/>
      <c r="M110" s="227"/>
      <c r="N110" s="227"/>
      <c r="O110" s="227"/>
      <c r="P110" s="227"/>
      <c r="Q110" s="227"/>
      <c r="R110" s="227"/>
      <c r="S110" s="227"/>
      <c r="T110" s="50"/>
      <c r="U110" s="170"/>
      <c r="V110" s="170"/>
      <c r="W110" s="170"/>
      <c r="X110" s="170"/>
      <c r="Y110" s="170"/>
      <c r="Z110" s="170"/>
      <c r="AB110" s="170"/>
      <c r="AC110" s="170"/>
      <c r="AD110" s="170"/>
      <c r="AE110" s="170"/>
      <c r="AF110" s="170"/>
      <c r="AG110" s="170"/>
      <c r="AH110" s="170"/>
    </row>
    <row r="111" spans="3:34" s="171" customFormat="1" ht="15" customHeight="1">
      <c r="C111" s="1338"/>
      <c r="D111" s="172" t="str">
        <f>IF(Indice_index!$Z$1=1,"dezembro","December")</f>
        <v>December</v>
      </c>
      <c r="E111" s="172">
        <v>409789</v>
      </c>
      <c r="F111" s="172">
        <v>71225</v>
      </c>
      <c r="G111" s="172">
        <v>164514</v>
      </c>
      <c r="H111" s="172">
        <v>645528</v>
      </c>
      <c r="I111" s="171">
        <v>1129.8</v>
      </c>
      <c r="J111" s="172"/>
      <c r="K111" s="172">
        <v>431132</v>
      </c>
      <c r="M111" s="227"/>
      <c r="N111" s="227"/>
      <c r="O111" s="227"/>
      <c r="P111" s="227"/>
      <c r="Q111" s="227"/>
      <c r="R111" s="227"/>
      <c r="S111" s="227"/>
      <c r="T111" s="1357"/>
      <c r="U111" s="172"/>
      <c r="V111" s="172"/>
      <c r="W111" s="172"/>
      <c r="X111" s="172"/>
      <c r="Y111" s="172"/>
      <c r="Z111" s="172"/>
      <c r="AA111" s="172"/>
      <c r="AB111" s="172"/>
      <c r="AC111" s="172"/>
      <c r="AD111" s="172"/>
      <c r="AE111" s="172"/>
      <c r="AF111" s="172"/>
      <c r="AG111" s="172"/>
      <c r="AH111" s="172"/>
    </row>
    <row r="112" spans="3:34" ht="15" customHeight="1">
      <c r="C112" s="1339">
        <v>2020</v>
      </c>
      <c r="D112" s="172"/>
      <c r="E112" s="172"/>
      <c r="F112" s="172"/>
      <c r="G112" s="172"/>
      <c r="H112" s="172"/>
      <c r="I112" s="171"/>
      <c r="J112" s="171"/>
      <c r="K112" s="172"/>
      <c r="L112" s="229"/>
      <c r="M112" s="232"/>
      <c r="N112" s="232"/>
      <c r="O112" s="232"/>
      <c r="P112" s="232"/>
      <c r="Q112" s="232"/>
      <c r="R112" s="232"/>
      <c r="S112" s="232"/>
      <c r="T112" s="50"/>
      <c r="U112" s="170"/>
      <c r="V112" s="170"/>
      <c r="W112" s="170"/>
      <c r="X112" s="170"/>
      <c r="Y112" s="170"/>
      <c r="Z112" s="170"/>
      <c r="AB112" s="170"/>
      <c r="AC112" s="170"/>
      <c r="AD112" s="170"/>
      <c r="AE112" s="170"/>
      <c r="AF112" s="170"/>
      <c r="AG112" s="170"/>
      <c r="AH112" s="170"/>
    </row>
    <row r="113" spans="3:34" ht="15" customHeight="1">
      <c r="C113" s="1340"/>
      <c r="D113" s="172" t="str">
        <f>IF(Indice_index!$Z$1=1,"janeiro","January")</f>
        <v>January</v>
      </c>
      <c r="E113" s="1337">
        <v>410101</v>
      </c>
      <c r="F113" s="1337">
        <v>71061</v>
      </c>
      <c r="G113" s="1337">
        <v>165420</v>
      </c>
      <c r="H113" s="1337">
        <v>646582</v>
      </c>
      <c r="I113" s="1336">
        <v>1146.5</v>
      </c>
      <c r="J113" s="1336"/>
      <c r="K113" s="1337">
        <v>429965</v>
      </c>
      <c r="L113" s="229"/>
      <c r="M113" s="232"/>
      <c r="N113" s="232"/>
      <c r="O113" s="232"/>
      <c r="P113" s="232"/>
      <c r="Q113" s="232"/>
      <c r="R113" s="232"/>
      <c r="S113" s="232"/>
      <c r="T113" s="50"/>
      <c r="U113" s="170"/>
      <c r="V113" s="170"/>
      <c r="W113" s="170"/>
      <c r="X113" s="170"/>
      <c r="Y113" s="170"/>
      <c r="Z113" s="170"/>
      <c r="AB113" s="170"/>
      <c r="AC113" s="170"/>
      <c r="AD113" s="170"/>
      <c r="AE113" s="170"/>
      <c r="AF113" s="170"/>
      <c r="AG113" s="170"/>
      <c r="AH113" s="170"/>
    </row>
    <row r="114" spans="3:34" ht="15" customHeight="1">
      <c r="C114" s="1340"/>
      <c r="D114" s="172" t="str">
        <f>IF(Indice_index!$Z$1=1,"fevereiro","February")</f>
        <v>February</v>
      </c>
      <c r="E114" s="1337">
        <v>410094</v>
      </c>
      <c r="F114" s="1337">
        <v>70877</v>
      </c>
      <c r="G114" s="1337">
        <v>165251</v>
      </c>
      <c r="H114" s="1337">
        <v>646222</v>
      </c>
      <c r="I114" s="1336">
        <v>1125.4000000000001</v>
      </c>
      <c r="J114" s="1336"/>
      <c r="K114" s="1337">
        <v>428711</v>
      </c>
      <c r="L114" s="229"/>
      <c r="M114" s="232"/>
      <c r="N114" s="232"/>
      <c r="O114" s="232"/>
      <c r="P114" s="232"/>
      <c r="Q114" s="232"/>
      <c r="R114" s="232"/>
      <c r="S114" s="232"/>
      <c r="T114" s="50"/>
      <c r="U114" s="170"/>
      <c r="V114" s="170"/>
      <c r="W114" s="170"/>
      <c r="X114" s="170"/>
      <c r="Y114" s="170"/>
      <c r="Z114" s="170"/>
      <c r="AB114" s="170"/>
      <c r="AC114" s="170"/>
      <c r="AD114" s="170"/>
      <c r="AE114" s="170"/>
      <c r="AF114" s="170"/>
      <c r="AG114" s="170"/>
      <c r="AH114" s="170"/>
    </row>
    <row r="115" spans="3:34" ht="15" customHeight="1">
      <c r="C115" s="1340"/>
      <c r="D115" s="172" t="str">
        <f>IF(Indice_index!$Z$1=1,"março","March")</f>
        <v>March</v>
      </c>
      <c r="E115" s="1337">
        <v>410087</v>
      </c>
      <c r="F115" s="1337">
        <v>70899</v>
      </c>
      <c r="G115" s="1337">
        <v>165182</v>
      </c>
      <c r="H115" s="1337">
        <v>646168</v>
      </c>
      <c r="I115" s="1336">
        <v>1121.3</v>
      </c>
      <c r="J115" s="1336"/>
      <c r="K115" s="1337">
        <v>427630</v>
      </c>
      <c r="L115" s="229"/>
      <c r="M115" s="232"/>
      <c r="N115" s="232"/>
      <c r="O115" s="232"/>
      <c r="P115" s="232"/>
      <c r="Q115" s="232"/>
      <c r="R115" s="232"/>
      <c r="S115" s="232"/>
      <c r="T115" s="50"/>
      <c r="U115" s="170"/>
      <c r="V115" s="170"/>
      <c r="W115" s="170"/>
      <c r="X115" s="170"/>
      <c r="Y115" s="170"/>
      <c r="Z115" s="170"/>
      <c r="AB115" s="170"/>
      <c r="AC115" s="170"/>
      <c r="AD115" s="170"/>
      <c r="AE115" s="170"/>
      <c r="AF115" s="170"/>
      <c r="AG115" s="170"/>
      <c r="AH115" s="170"/>
    </row>
    <row r="116" spans="3:34" ht="15" customHeight="1">
      <c r="C116" s="1340"/>
      <c r="D116" s="172" t="str">
        <f>IF(Indice_index!$Z$1=1,"abril","April")</f>
        <v>April</v>
      </c>
      <c r="E116" s="1337">
        <v>410375</v>
      </c>
      <c r="F116" s="1337">
        <v>70760</v>
      </c>
      <c r="G116" s="1337">
        <v>165317</v>
      </c>
      <c r="H116" s="1337">
        <v>646452</v>
      </c>
      <c r="I116" s="1336">
        <v>1121.3</v>
      </c>
      <c r="J116" s="1336"/>
      <c r="K116" s="1337">
        <v>426527</v>
      </c>
      <c r="L116" s="229"/>
      <c r="M116" s="232"/>
      <c r="N116" s="232"/>
      <c r="O116" s="232"/>
      <c r="P116" s="232"/>
      <c r="Q116" s="232"/>
      <c r="R116" s="232"/>
      <c r="S116" s="232"/>
      <c r="T116" s="50"/>
      <c r="U116" s="170"/>
      <c r="V116" s="170"/>
      <c r="W116" s="170"/>
      <c r="X116" s="170"/>
      <c r="Y116" s="170"/>
      <c r="Z116" s="170"/>
      <c r="AB116" s="170"/>
      <c r="AC116" s="170"/>
      <c r="AD116" s="170"/>
      <c r="AE116" s="170"/>
      <c r="AF116" s="170"/>
      <c r="AG116" s="170"/>
      <c r="AH116" s="170"/>
    </row>
    <row r="117" spans="3:34" ht="15" customHeight="1">
      <c r="C117" s="1340"/>
      <c r="D117" s="172" t="str">
        <f>IF(Indice_index!$Z$1=1,"maio","May")</f>
        <v>May</v>
      </c>
      <c r="E117" s="1331">
        <v>410802</v>
      </c>
      <c r="F117" s="1331">
        <v>70571</v>
      </c>
      <c r="G117" s="1331">
        <v>165247</v>
      </c>
      <c r="H117" s="1331">
        <v>646620</v>
      </c>
      <c r="I117" s="1330">
        <v>1119.5999999999999</v>
      </c>
      <c r="J117" s="1330"/>
      <c r="K117" s="1331">
        <v>425361</v>
      </c>
      <c r="L117" s="229"/>
      <c r="M117" s="232"/>
      <c r="N117" s="232"/>
      <c r="O117" s="232"/>
      <c r="P117" s="232"/>
      <c r="Q117" s="232"/>
      <c r="R117" s="232"/>
      <c r="S117" s="232"/>
      <c r="T117" s="50"/>
      <c r="U117" s="170"/>
      <c r="V117" s="170"/>
      <c r="W117" s="170"/>
      <c r="X117" s="170"/>
      <c r="Y117" s="170"/>
      <c r="Z117" s="170"/>
      <c r="AB117" s="170"/>
      <c r="AC117" s="170"/>
      <c r="AD117" s="170"/>
      <c r="AE117" s="170"/>
      <c r="AF117" s="170"/>
      <c r="AG117" s="170"/>
      <c r="AH117" s="170"/>
    </row>
    <row r="118" spans="3:34" ht="15" customHeight="1">
      <c r="C118" s="1340"/>
      <c r="D118" s="172" t="str">
        <f>IF(Indice_index!$Z$1=1,"junho","June")</f>
        <v>June</v>
      </c>
      <c r="E118" s="1337">
        <v>411240</v>
      </c>
      <c r="F118" s="1337">
        <v>70372</v>
      </c>
      <c r="G118" s="1337">
        <v>165253</v>
      </c>
      <c r="H118" s="1337">
        <v>646865</v>
      </c>
      <c r="I118" s="1336">
        <v>1119.5999999999999</v>
      </c>
      <c r="J118" s="1336"/>
      <c r="K118" s="1337">
        <v>424164</v>
      </c>
      <c r="L118" s="229"/>
      <c r="M118" s="232"/>
      <c r="N118" s="232"/>
      <c r="O118" s="232"/>
      <c r="P118" s="232"/>
      <c r="Q118" s="232"/>
      <c r="R118" s="232"/>
      <c r="S118" s="232"/>
      <c r="T118" s="50"/>
      <c r="U118" s="170"/>
      <c r="V118" s="170"/>
      <c r="W118" s="170"/>
      <c r="X118" s="170"/>
      <c r="Y118" s="170"/>
      <c r="Z118" s="170"/>
      <c r="AB118" s="170"/>
      <c r="AC118" s="170"/>
      <c r="AD118" s="170"/>
      <c r="AE118" s="170"/>
      <c r="AF118" s="170"/>
      <c r="AG118" s="170"/>
      <c r="AH118" s="170"/>
    </row>
    <row r="119" spans="3:34" ht="15" customHeight="1">
      <c r="C119" s="1340"/>
      <c r="D119" s="172" t="str">
        <f>IF(Indice_index!$Z$1=1,"julho","July")</f>
        <v>July</v>
      </c>
      <c r="E119" s="1337">
        <v>411780</v>
      </c>
      <c r="F119" s="1337">
        <v>70237</v>
      </c>
      <c r="G119" s="1337">
        <v>165534</v>
      </c>
      <c r="H119" s="1337">
        <v>647551</v>
      </c>
      <c r="I119" s="1336">
        <v>2184.8000000000002</v>
      </c>
      <c r="J119" s="1336"/>
      <c r="K119" s="1337">
        <v>422899</v>
      </c>
      <c r="L119" s="229"/>
      <c r="M119" s="232"/>
      <c r="N119" s="232"/>
      <c r="O119" s="232"/>
      <c r="P119" s="232"/>
      <c r="Q119" s="232"/>
      <c r="R119" s="232"/>
      <c r="S119" s="232"/>
      <c r="T119" s="50"/>
      <c r="U119" s="170"/>
      <c r="V119" s="170"/>
      <c r="W119" s="170"/>
      <c r="X119" s="170"/>
      <c r="Y119" s="170"/>
      <c r="Z119" s="170"/>
      <c r="AB119" s="170"/>
      <c r="AC119" s="170"/>
      <c r="AD119" s="170"/>
      <c r="AE119" s="170"/>
      <c r="AF119" s="170"/>
      <c r="AG119" s="170"/>
      <c r="AH119" s="170"/>
    </row>
    <row r="120" spans="3:34" ht="15" customHeight="1">
      <c r="C120" s="1340"/>
      <c r="D120" s="172" t="str">
        <f>IF(Indice_index!$Z$1=1,"agosto","August")</f>
        <v>August</v>
      </c>
      <c r="E120" s="1337">
        <v>412314</v>
      </c>
      <c r="F120" s="1337">
        <v>70041</v>
      </c>
      <c r="G120" s="1337">
        <v>165867</v>
      </c>
      <c r="H120" s="1337">
        <v>648222</v>
      </c>
      <c r="I120" s="1336">
        <v>1124.2</v>
      </c>
      <c r="J120" s="1336"/>
      <c r="K120" s="1337">
        <v>421587</v>
      </c>
      <c r="L120" s="229"/>
      <c r="M120" s="227"/>
      <c r="N120" s="227"/>
      <c r="O120" s="227"/>
      <c r="P120" s="227"/>
      <c r="Q120" s="227"/>
      <c r="R120" s="227"/>
      <c r="S120" s="227"/>
      <c r="T120" s="50"/>
      <c r="U120" s="170"/>
      <c r="V120" s="170"/>
      <c r="W120" s="170"/>
      <c r="X120" s="170"/>
      <c r="Y120" s="170"/>
      <c r="Z120" s="170"/>
      <c r="AB120" s="170"/>
      <c r="AC120" s="170"/>
      <c r="AD120" s="170"/>
      <c r="AE120" s="170"/>
      <c r="AF120" s="170"/>
      <c r="AG120" s="170"/>
      <c r="AH120" s="170"/>
    </row>
    <row r="121" spans="3:34" ht="15" customHeight="1">
      <c r="C121" s="1340"/>
      <c r="D121" s="172" t="str">
        <f>IF(Indice_index!$Z$1=1,"setembro","September")</f>
        <v>September</v>
      </c>
      <c r="E121" s="1337">
        <v>412631</v>
      </c>
      <c r="F121" s="1337">
        <v>69806</v>
      </c>
      <c r="G121" s="1337">
        <v>165824</v>
      </c>
      <c r="H121" s="1337">
        <v>648261</v>
      </c>
      <c r="I121" s="1336">
        <v>1124.9000000000001</v>
      </c>
      <c r="J121" s="1336"/>
      <c r="K121" s="1337">
        <v>419894</v>
      </c>
      <c r="L121" s="229"/>
      <c r="M121" s="227"/>
      <c r="N121" s="227"/>
      <c r="O121" s="227"/>
      <c r="P121" s="227"/>
      <c r="Q121" s="227"/>
      <c r="R121" s="227"/>
      <c r="S121" s="227"/>
      <c r="T121" s="50"/>
      <c r="U121" s="170"/>
      <c r="V121" s="170"/>
      <c r="W121" s="170"/>
      <c r="X121" s="170"/>
      <c r="Y121" s="170"/>
      <c r="Z121" s="170"/>
      <c r="AB121" s="170"/>
      <c r="AC121" s="170"/>
      <c r="AD121" s="170"/>
      <c r="AE121" s="170"/>
      <c r="AF121" s="170"/>
      <c r="AG121" s="170"/>
      <c r="AH121" s="170"/>
    </row>
    <row r="122" spans="3:34" ht="15" customHeight="1">
      <c r="C122" s="1340"/>
      <c r="D122" s="172" t="str">
        <f>IF(Indice_index!$Z$1=1,"outubro","October")</f>
        <v>October</v>
      </c>
      <c r="E122" s="1329">
        <v>412895</v>
      </c>
      <c r="F122" s="1329">
        <v>69624</v>
      </c>
      <c r="G122" s="1329">
        <v>165869</v>
      </c>
      <c r="H122" s="1329">
        <v>648388</v>
      </c>
      <c r="I122" s="1328">
        <v>1119.8</v>
      </c>
      <c r="J122" s="1334"/>
      <c r="K122" s="1327">
        <v>418736</v>
      </c>
      <c r="L122" s="229"/>
      <c r="M122" s="227"/>
      <c r="N122" s="227"/>
      <c r="O122" s="227"/>
      <c r="P122" s="227"/>
      <c r="Q122" s="227"/>
      <c r="R122" s="227"/>
      <c r="S122" s="227"/>
      <c r="T122" s="50"/>
      <c r="U122" s="170"/>
      <c r="V122" s="170"/>
      <c r="W122" s="170"/>
      <c r="X122" s="170"/>
      <c r="Y122" s="170"/>
      <c r="Z122" s="170"/>
      <c r="AB122" s="170"/>
      <c r="AC122" s="170"/>
      <c r="AD122" s="170"/>
      <c r="AE122" s="170"/>
      <c r="AF122" s="170"/>
      <c r="AG122" s="170"/>
      <c r="AH122" s="170"/>
    </row>
    <row r="123" spans="3:34" ht="15" customHeight="1">
      <c r="C123" s="1340"/>
      <c r="D123" s="172" t="str">
        <f>IF(Indice_index!$Z$1=1,"novembro","November")</f>
        <v>November</v>
      </c>
      <c r="E123" s="1326">
        <v>413065</v>
      </c>
      <c r="F123" s="1326">
        <v>69489</v>
      </c>
      <c r="G123" s="1326">
        <v>166049</v>
      </c>
      <c r="H123" s="1326">
        <v>648603</v>
      </c>
      <c r="I123" s="1325">
        <v>2220.1999999999998</v>
      </c>
      <c r="J123" s="1325"/>
      <c r="K123" s="1326">
        <v>418012</v>
      </c>
      <c r="L123" s="229"/>
      <c r="M123" s="227"/>
      <c r="N123" s="227"/>
      <c r="O123" s="227"/>
      <c r="P123" s="227"/>
      <c r="Q123" s="227"/>
      <c r="R123" s="227"/>
      <c r="S123" s="227"/>
      <c r="T123" s="50"/>
      <c r="U123" s="170"/>
      <c r="V123" s="170"/>
      <c r="W123" s="170"/>
      <c r="X123" s="170"/>
      <c r="Y123" s="170"/>
      <c r="Z123" s="170"/>
      <c r="AB123" s="170"/>
      <c r="AC123" s="170"/>
      <c r="AD123" s="170"/>
      <c r="AE123" s="170"/>
      <c r="AF123" s="170"/>
      <c r="AG123" s="170"/>
      <c r="AH123" s="170"/>
    </row>
    <row r="124" spans="3:34" s="171" customFormat="1" ht="15" customHeight="1">
      <c r="C124" s="1338"/>
      <c r="D124" s="172" t="str">
        <f>IF(Indice_index!$Z$1=1,"dezembro","December")</f>
        <v>December</v>
      </c>
      <c r="E124" s="1324">
        <v>413108</v>
      </c>
      <c r="F124" s="1324">
        <v>69321</v>
      </c>
      <c r="G124" s="1324">
        <v>166218</v>
      </c>
      <c r="H124" s="1324">
        <v>648647</v>
      </c>
      <c r="I124" s="1323">
        <v>1140.3</v>
      </c>
      <c r="J124" s="1323"/>
      <c r="K124" s="1324">
        <v>416874</v>
      </c>
      <c r="M124" s="227"/>
      <c r="N124" s="227"/>
      <c r="O124" s="227"/>
      <c r="P124" s="227"/>
      <c r="Q124" s="227"/>
      <c r="R124" s="227"/>
      <c r="S124" s="227"/>
      <c r="T124" s="1357"/>
      <c r="U124" s="172"/>
      <c r="V124" s="172"/>
      <c r="W124" s="172"/>
      <c r="X124" s="172"/>
      <c r="Y124" s="172"/>
      <c r="Z124" s="172"/>
      <c r="AA124" s="172"/>
      <c r="AB124" s="172"/>
      <c r="AC124" s="172"/>
      <c r="AD124" s="172"/>
      <c r="AE124" s="172"/>
      <c r="AF124" s="172"/>
      <c r="AG124" s="172"/>
      <c r="AH124" s="172"/>
    </row>
    <row r="125" spans="3:34" ht="15" customHeight="1">
      <c r="C125" s="1339" t="s">
        <v>67</v>
      </c>
      <c r="D125" s="172"/>
      <c r="E125" s="172"/>
      <c r="F125" s="172"/>
      <c r="G125" s="172"/>
      <c r="H125" s="172"/>
      <c r="I125" s="171"/>
      <c r="J125" s="171"/>
      <c r="K125" s="172"/>
      <c r="L125" s="229"/>
      <c r="M125" s="232"/>
      <c r="N125" s="232"/>
      <c r="O125" s="232"/>
      <c r="P125" s="232"/>
      <c r="Q125" s="232"/>
      <c r="R125" s="232"/>
      <c r="S125" s="232"/>
      <c r="T125" s="50"/>
      <c r="U125" s="170"/>
      <c r="V125" s="170"/>
      <c r="W125" s="170"/>
      <c r="X125" s="170"/>
      <c r="Y125" s="170"/>
      <c r="Z125" s="170"/>
      <c r="AB125" s="170"/>
      <c r="AC125" s="170"/>
      <c r="AD125" s="170"/>
      <c r="AE125" s="170"/>
      <c r="AF125" s="170"/>
      <c r="AG125" s="170"/>
      <c r="AH125" s="170"/>
    </row>
    <row r="126" spans="3:34" ht="15" customHeight="1">
      <c r="C126" s="1340"/>
      <c r="D126" s="172" t="str">
        <f>IF(Indice_index!$Z$1=1,"janeiro","January")</f>
        <v>January</v>
      </c>
      <c r="E126" s="1337">
        <v>413072</v>
      </c>
      <c r="F126" s="1337">
        <v>69149</v>
      </c>
      <c r="G126" s="1337">
        <v>166134</v>
      </c>
      <c r="H126" s="1337">
        <v>648355</v>
      </c>
      <c r="I126" s="1336">
        <v>1156.8</v>
      </c>
      <c r="J126" s="1336"/>
      <c r="K126" s="1337">
        <v>415779</v>
      </c>
      <c r="L126" s="229"/>
      <c r="M126" s="232"/>
      <c r="N126" s="232"/>
      <c r="O126" s="232"/>
      <c r="P126" s="232"/>
      <c r="Q126" s="232"/>
      <c r="R126" s="232"/>
      <c r="S126" s="232"/>
      <c r="T126" s="50"/>
      <c r="U126" s="170"/>
      <c r="V126" s="170"/>
      <c r="W126" s="170"/>
      <c r="X126" s="170"/>
      <c r="Y126" s="170"/>
      <c r="Z126" s="170"/>
      <c r="AB126" s="170"/>
      <c r="AC126" s="170"/>
      <c r="AD126" s="170"/>
      <c r="AE126" s="170"/>
      <c r="AF126" s="170"/>
      <c r="AG126" s="170"/>
      <c r="AH126" s="170"/>
    </row>
    <row r="127" spans="3:34" ht="15" customHeight="1">
      <c r="C127" s="1340"/>
      <c r="D127" s="172" t="str">
        <f>IF(Indice_index!$Z$1=1,"fevereiro","February")</f>
        <v>February</v>
      </c>
      <c r="E127" s="1337">
        <v>412612</v>
      </c>
      <c r="F127" s="1337">
        <v>68915</v>
      </c>
      <c r="G127" s="1337">
        <v>165958</v>
      </c>
      <c r="H127" s="1337">
        <v>647485</v>
      </c>
      <c r="I127" s="1336">
        <v>1128.3</v>
      </c>
      <c r="J127" s="1336"/>
      <c r="K127" s="1337">
        <v>414791</v>
      </c>
      <c r="L127" s="229"/>
      <c r="M127" s="232"/>
      <c r="N127" s="232"/>
      <c r="O127" s="232"/>
      <c r="P127" s="232"/>
      <c r="Q127" s="232"/>
      <c r="R127" s="232"/>
      <c r="S127" s="232"/>
      <c r="T127" s="50"/>
      <c r="U127" s="170"/>
      <c r="V127" s="170"/>
      <c r="W127" s="170"/>
      <c r="X127" s="170"/>
      <c r="Y127" s="170"/>
      <c r="Z127" s="170"/>
      <c r="AB127" s="170"/>
      <c r="AC127" s="170"/>
      <c r="AD127" s="170"/>
      <c r="AE127" s="170"/>
      <c r="AF127" s="170"/>
      <c r="AG127" s="170"/>
      <c r="AH127" s="170"/>
    </row>
    <row r="128" spans="3:34" ht="15" customHeight="1">
      <c r="C128" s="1340"/>
      <c r="D128" s="172" t="str">
        <f>IF(Indice_index!$Z$1=1,"março","March")</f>
        <v>March</v>
      </c>
      <c r="E128" s="1322">
        <v>411718</v>
      </c>
      <c r="F128" s="1322">
        <v>68662</v>
      </c>
      <c r="G128" s="1322">
        <v>165536</v>
      </c>
      <c r="H128" s="1322">
        <v>645916</v>
      </c>
      <c r="I128" s="1321">
        <v>1128.8</v>
      </c>
      <c r="J128" s="1321"/>
      <c r="K128" s="1322">
        <v>413590</v>
      </c>
      <c r="L128" s="229"/>
      <c r="M128" s="232"/>
      <c r="N128" s="232"/>
      <c r="O128" s="232"/>
      <c r="P128" s="232"/>
      <c r="Q128" s="232"/>
      <c r="R128" s="232"/>
      <c r="S128" s="232"/>
      <c r="T128" s="50"/>
      <c r="U128" s="170"/>
      <c r="V128" s="170"/>
      <c r="W128" s="170"/>
      <c r="X128" s="170"/>
      <c r="Y128" s="170"/>
      <c r="Z128" s="170"/>
      <c r="AB128" s="170"/>
      <c r="AC128" s="170"/>
      <c r="AD128" s="170"/>
      <c r="AE128" s="170"/>
      <c r="AF128" s="170"/>
      <c r="AG128" s="170"/>
      <c r="AH128" s="170"/>
    </row>
    <row r="129" spans="3:34" ht="15" customHeight="1">
      <c r="C129" s="1340"/>
      <c r="D129" s="172" t="str">
        <f>IF(Indice_index!$Z$1=1,"abril","April")</f>
        <v>April</v>
      </c>
      <c r="E129" s="1337">
        <v>411435</v>
      </c>
      <c r="F129" s="1337">
        <v>68332</v>
      </c>
      <c r="G129" s="1337">
        <v>165633</v>
      </c>
      <c r="H129" s="1337">
        <v>645400</v>
      </c>
      <c r="I129" s="1336">
        <v>1133.4000000000001</v>
      </c>
      <c r="J129" s="1336"/>
      <c r="K129" s="1337">
        <v>412461</v>
      </c>
      <c r="L129" s="229"/>
      <c r="M129" s="232"/>
      <c r="N129" s="232"/>
      <c r="O129" s="232"/>
      <c r="P129" s="232"/>
      <c r="Q129" s="232"/>
      <c r="R129" s="232"/>
      <c r="S129" s="232"/>
      <c r="T129" s="50"/>
      <c r="U129" s="170"/>
      <c r="V129" s="170"/>
      <c r="W129" s="170"/>
      <c r="X129" s="170"/>
      <c r="Y129" s="170"/>
      <c r="Z129" s="170"/>
      <c r="AB129" s="170"/>
      <c r="AC129" s="170"/>
      <c r="AD129" s="170"/>
      <c r="AE129" s="170"/>
      <c r="AF129" s="170"/>
      <c r="AG129" s="170"/>
      <c r="AH129" s="170"/>
    </row>
    <row r="130" spans="3:34" ht="15" customHeight="1">
      <c r="C130" s="1340"/>
      <c r="D130" s="172" t="str">
        <f>IF(Indice_index!$Z$1=1,"maio","May")</f>
        <v>May</v>
      </c>
      <c r="E130" s="1190">
        <v>411709</v>
      </c>
      <c r="F130" s="1190">
        <v>68218</v>
      </c>
      <c r="G130" s="1190">
        <v>165542</v>
      </c>
      <c r="H130" s="1190">
        <v>645469</v>
      </c>
      <c r="I130" s="1191">
        <v>1132.5</v>
      </c>
      <c r="J130" s="1191"/>
      <c r="K130" s="1190">
        <v>411324</v>
      </c>
      <c r="L130" s="229"/>
      <c r="M130" s="232"/>
      <c r="N130" s="232"/>
      <c r="O130" s="232"/>
      <c r="P130" s="232"/>
      <c r="Q130" s="232"/>
      <c r="R130" s="232"/>
      <c r="S130" s="232"/>
      <c r="T130" s="50"/>
      <c r="U130" s="170"/>
      <c r="V130" s="170"/>
      <c r="W130" s="170"/>
      <c r="X130" s="170"/>
      <c r="Y130" s="170"/>
      <c r="Z130" s="170"/>
      <c r="AB130" s="170"/>
      <c r="AC130" s="170"/>
      <c r="AD130" s="170"/>
      <c r="AE130" s="170"/>
      <c r="AF130" s="170"/>
      <c r="AG130" s="170"/>
      <c r="AH130" s="170"/>
    </row>
    <row r="131" spans="3:34" ht="15" customHeight="1">
      <c r="C131" s="1340"/>
      <c r="D131" s="172" t="str">
        <f>IF(Indice_index!$Z$1=1,"junho","June")</f>
        <v>June</v>
      </c>
      <c r="E131" s="1192">
        <v>412113</v>
      </c>
      <c r="F131" s="1192">
        <v>68103</v>
      </c>
      <c r="G131" s="1192">
        <v>164864</v>
      </c>
      <c r="H131" s="1192">
        <v>645080</v>
      </c>
      <c r="I131" s="1193">
        <v>1132.2</v>
      </c>
      <c r="J131" s="1193"/>
      <c r="K131" s="1192">
        <v>410051</v>
      </c>
      <c r="L131" s="229"/>
      <c r="M131" s="232"/>
      <c r="N131" s="232"/>
      <c r="O131" s="232"/>
      <c r="P131" s="232"/>
      <c r="Q131" s="232"/>
      <c r="R131" s="232"/>
      <c r="S131" s="232"/>
      <c r="T131" s="50"/>
      <c r="U131" s="170"/>
      <c r="V131" s="170"/>
      <c r="W131" s="170"/>
      <c r="X131" s="170"/>
      <c r="Y131" s="170"/>
      <c r="Z131" s="170"/>
      <c r="AB131" s="170"/>
      <c r="AC131" s="170"/>
      <c r="AD131" s="170"/>
      <c r="AE131" s="170"/>
      <c r="AF131" s="170"/>
      <c r="AG131" s="170"/>
      <c r="AH131" s="170"/>
    </row>
    <row r="132" spans="3:34" ht="15" customHeight="1">
      <c r="C132" s="1340"/>
      <c r="D132" s="172" t="str">
        <f>IF(Indice_index!$Z$1=1,"julho","July")</f>
        <v>July</v>
      </c>
      <c r="E132" s="1194">
        <v>412768</v>
      </c>
      <c r="F132" s="1194">
        <v>67998</v>
      </c>
      <c r="G132" s="1194">
        <v>165065</v>
      </c>
      <c r="H132" s="1194">
        <v>645831</v>
      </c>
      <c r="I132" s="1195">
        <v>2207.4</v>
      </c>
      <c r="J132" s="1195"/>
      <c r="K132" s="1194">
        <v>408523</v>
      </c>
      <c r="L132" s="229"/>
      <c r="M132" s="232"/>
      <c r="N132" s="232"/>
      <c r="O132" s="232"/>
      <c r="P132" s="232"/>
      <c r="Q132" s="232"/>
      <c r="R132" s="232"/>
      <c r="S132" s="232"/>
      <c r="T132" s="50"/>
      <c r="U132" s="170"/>
      <c r="V132" s="170"/>
      <c r="W132" s="170"/>
      <c r="X132" s="170"/>
      <c r="Y132" s="170"/>
      <c r="Z132" s="170"/>
      <c r="AB132" s="170"/>
      <c r="AC132" s="170"/>
      <c r="AD132" s="170"/>
      <c r="AE132" s="170"/>
      <c r="AF132" s="170"/>
      <c r="AG132" s="170"/>
      <c r="AH132" s="170"/>
    </row>
    <row r="133" spans="3:34" ht="15" customHeight="1">
      <c r="C133" s="1340"/>
      <c r="D133" s="172" t="str">
        <f>IF(Indice_index!$Z$1=1,"agosto","August")</f>
        <v>August</v>
      </c>
      <c r="E133" s="1196">
        <v>413403</v>
      </c>
      <c r="F133" s="1196">
        <v>67917</v>
      </c>
      <c r="G133" s="1196">
        <v>165331</v>
      </c>
      <c r="H133" s="1196">
        <v>646651</v>
      </c>
      <c r="I133" s="1197">
        <v>1135.3</v>
      </c>
      <c r="J133" s="1197"/>
      <c r="K133" s="1196">
        <v>407205</v>
      </c>
      <c r="L133" s="229"/>
      <c r="M133" s="227"/>
      <c r="N133" s="227"/>
      <c r="O133" s="227"/>
      <c r="P133" s="227"/>
      <c r="Q133" s="227"/>
      <c r="R133" s="227"/>
      <c r="S133" s="227"/>
      <c r="T133" s="50"/>
      <c r="U133" s="170"/>
      <c r="V133" s="170"/>
      <c r="W133" s="170"/>
      <c r="X133" s="170"/>
      <c r="Y133" s="170"/>
      <c r="Z133" s="170"/>
      <c r="AB133" s="170"/>
      <c r="AC133" s="170"/>
      <c r="AD133" s="170"/>
      <c r="AE133" s="170"/>
      <c r="AF133" s="170"/>
      <c r="AG133" s="170"/>
      <c r="AH133" s="170"/>
    </row>
    <row r="134" spans="3:34" ht="15" customHeight="1">
      <c r="C134" s="1340"/>
      <c r="D134" s="172" t="str">
        <f>IF(Indice_index!$Z$1=1,"setembro","September")</f>
        <v>September</v>
      </c>
      <c r="E134" s="1198">
        <v>413684</v>
      </c>
      <c r="F134" s="1198">
        <v>67794</v>
      </c>
      <c r="G134" s="1198">
        <v>165391</v>
      </c>
      <c r="H134" s="1198">
        <v>646869</v>
      </c>
      <c r="I134" s="1199">
        <v>1132.3</v>
      </c>
      <c r="J134" s="1199"/>
      <c r="K134" s="1198">
        <v>405793</v>
      </c>
      <c r="L134" s="229"/>
      <c r="M134" s="227"/>
      <c r="N134" s="227"/>
      <c r="O134" s="227"/>
      <c r="P134" s="227"/>
      <c r="Q134" s="227"/>
      <c r="R134" s="227"/>
      <c r="S134" s="227"/>
      <c r="T134" s="50"/>
      <c r="U134" s="170"/>
      <c r="V134" s="170"/>
      <c r="W134" s="170"/>
      <c r="X134" s="170"/>
      <c r="Y134" s="170"/>
      <c r="Z134" s="170"/>
      <c r="AB134" s="170"/>
      <c r="AC134" s="170"/>
      <c r="AD134" s="170"/>
      <c r="AE134" s="170"/>
      <c r="AF134" s="170"/>
      <c r="AG134" s="170"/>
      <c r="AH134" s="170"/>
    </row>
    <row r="135" spans="3:34" ht="15" customHeight="1">
      <c r="C135" s="1340"/>
      <c r="D135" s="172" t="str">
        <f>IF(Indice_index!$Z$1=1,"outubro","October")</f>
        <v>October</v>
      </c>
      <c r="E135" s="1329">
        <v>413984</v>
      </c>
      <c r="F135" s="1329">
        <v>67651</v>
      </c>
      <c r="G135" s="1329">
        <v>165294</v>
      </c>
      <c r="H135" s="1329">
        <v>646929</v>
      </c>
      <c r="I135" s="1328">
        <v>1133.2</v>
      </c>
      <c r="J135" s="1334"/>
      <c r="K135" s="1327">
        <v>404860</v>
      </c>
      <c r="L135" s="229"/>
      <c r="M135" s="227"/>
      <c r="N135" s="227"/>
      <c r="O135" s="227"/>
      <c r="P135" s="227"/>
      <c r="Q135" s="227"/>
      <c r="R135" s="227"/>
      <c r="S135" s="227"/>
      <c r="T135" s="50"/>
      <c r="U135" s="170"/>
      <c r="V135" s="170"/>
      <c r="W135" s="170"/>
      <c r="X135" s="170"/>
      <c r="Y135" s="170"/>
      <c r="Z135" s="170"/>
      <c r="AB135" s="170"/>
      <c r="AC135" s="170"/>
      <c r="AD135" s="170"/>
      <c r="AE135" s="170"/>
      <c r="AF135" s="170"/>
      <c r="AG135" s="170"/>
      <c r="AH135" s="170"/>
    </row>
    <row r="136" spans="3:34" ht="15" customHeight="1">
      <c r="C136" s="1340"/>
      <c r="D136" s="172" t="str">
        <f>IF(Indice_index!$Z$1=1,"novembro","November")</f>
        <v>November</v>
      </c>
      <c r="E136" s="1326">
        <v>414230</v>
      </c>
      <c r="F136" s="1326">
        <v>67525</v>
      </c>
      <c r="G136" s="1326">
        <v>165434</v>
      </c>
      <c r="H136" s="1326">
        <v>647189</v>
      </c>
      <c r="I136" s="1325">
        <v>2243</v>
      </c>
      <c r="J136" s="1325"/>
      <c r="K136" s="1326">
        <v>403538</v>
      </c>
      <c r="L136" s="229"/>
      <c r="M136" s="227"/>
      <c r="N136" s="227"/>
      <c r="O136" s="227"/>
      <c r="P136" s="227"/>
      <c r="Q136" s="227"/>
      <c r="R136" s="227"/>
      <c r="S136" s="227"/>
      <c r="T136" s="50"/>
      <c r="U136" s="170"/>
      <c r="V136" s="170"/>
      <c r="W136" s="170"/>
      <c r="X136" s="170"/>
      <c r="Y136" s="170"/>
      <c r="Z136" s="170"/>
      <c r="AB136" s="170"/>
      <c r="AC136" s="170"/>
      <c r="AD136" s="170"/>
      <c r="AE136" s="170"/>
      <c r="AF136" s="170"/>
      <c r="AG136" s="170"/>
      <c r="AH136" s="170"/>
    </row>
    <row r="137" spans="3:34" s="171" customFormat="1" ht="15" customHeight="1">
      <c r="C137" s="1338"/>
      <c r="D137" s="172" t="str">
        <f>IF(Indice_index!$Z$1=1,"dezembro","December")</f>
        <v>December</v>
      </c>
      <c r="E137" s="1200">
        <v>414572</v>
      </c>
      <c r="F137" s="1200">
        <v>67370</v>
      </c>
      <c r="G137" s="1200">
        <v>165541</v>
      </c>
      <c r="H137" s="1200">
        <v>647483</v>
      </c>
      <c r="I137" s="1201">
        <v>1151.7</v>
      </c>
      <c r="J137" s="1201"/>
      <c r="K137" s="1200">
        <v>402099</v>
      </c>
      <c r="M137" s="227"/>
      <c r="N137" s="227"/>
      <c r="O137" s="227"/>
      <c r="P137" s="227"/>
      <c r="Q137" s="227"/>
      <c r="R137" s="227"/>
      <c r="S137" s="227"/>
      <c r="T137" s="1357"/>
      <c r="U137" s="172"/>
      <c r="V137" s="172"/>
      <c r="W137" s="172"/>
      <c r="X137" s="172"/>
      <c r="Y137" s="172"/>
      <c r="Z137" s="172"/>
      <c r="AA137" s="172"/>
      <c r="AB137" s="172"/>
      <c r="AC137" s="172"/>
      <c r="AD137" s="172"/>
      <c r="AE137" s="172"/>
      <c r="AF137" s="172"/>
      <c r="AG137" s="172"/>
      <c r="AH137" s="172"/>
    </row>
    <row r="138" spans="3:34" ht="15" customHeight="1">
      <c r="C138" s="1339" t="s">
        <v>73</v>
      </c>
      <c r="D138" s="172"/>
      <c r="E138" s="172"/>
      <c r="F138" s="172"/>
      <c r="G138" s="172"/>
      <c r="H138" s="172"/>
      <c r="I138" s="171"/>
      <c r="J138" s="171"/>
      <c r="K138" s="172"/>
      <c r="L138" s="229"/>
      <c r="M138" s="232"/>
      <c r="N138" s="232"/>
      <c r="O138" s="232"/>
      <c r="P138" s="232"/>
      <c r="Q138" s="232"/>
      <c r="R138" s="232"/>
      <c r="S138" s="232"/>
      <c r="T138" s="50"/>
      <c r="U138" s="170"/>
      <c r="V138" s="170"/>
      <c r="W138" s="170"/>
      <c r="X138" s="170"/>
      <c r="Y138" s="170"/>
      <c r="Z138" s="170"/>
      <c r="AB138" s="170"/>
      <c r="AC138" s="170"/>
      <c r="AD138" s="170"/>
      <c r="AE138" s="170"/>
      <c r="AF138" s="170"/>
      <c r="AG138" s="170"/>
      <c r="AH138" s="170"/>
    </row>
    <row r="139" spans="3:34" ht="15" customHeight="1">
      <c r="C139" s="1340"/>
      <c r="D139" s="172" t="str">
        <f>IF(Indice_index!$Z$1=1,"janeiro","January")</f>
        <v>January</v>
      </c>
      <c r="E139" s="1202">
        <v>414962</v>
      </c>
      <c r="F139" s="1202">
        <v>67188</v>
      </c>
      <c r="G139" s="1202">
        <v>165355</v>
      </c>
      <c r="H139" s="1202">
        <v>647505</v>
      </c>
      <c r="I139" s="1203">
        <v>1175.9000000000001</v>
      </c>
      <c r="J139" s="1203"/>
      <c r="K139" s="1202">
        <v>400756</v>
      </c>
      <c r="L139" s="229"/>
      <c r="M139" s="232"/>
      <c r="N139" s="232"/>
      <c r="O139" s="232"/>
      <c r="P139" s="232"/>
      <c r="Q139" s="232"/>
      <c r="R139" s="232"/>
      <c r="S139" s="232"/>
      <c r="T139" s="50"/>
      <c r="U139" s="170"/>
      <c r="V139" s="170"/>
      <c r="W139" s="170"/>
      <c r="X139" s="170"/>
      <c r="Y139" s="170"/>
      <c r="Z139" s="170"/>
      <c r="AB139" s="170"/>
      <c r="AC139" s="170"/>
      <c r="AD139" s="170"/>
      <c r="AE139" s="170"/>
      <c r="AF139" s="170"/>
      <c r="AG139" s="170"/>
      <c r="AH139" s="170"/>
    </row>
    <row r="140" spans="3:34" ht="15" customHeight="1">
      <c r="C140" s="1340"/>
      <c r="D140" s="172" t="str">
        <f>IF(Indice_index!$Z$1=1,"fevereiro","February")</f>
        <v>February</v>
      </c>
      <c r="E140" s="1204">
        <v>415095</v>
      </c>
      <c r="F140" s="1204">
        <v>66947</v>
      </c>
      <c r="G140" s="1204">
        <v>165213</v>
      </c>
      <c r="H140" s="1205">
        <v>647255</v>
      </c>
      <c r="I140" s="1206">
        <v>1146.3</v>
      </c>
      <c r="J140" s="1206"/>
      <c r="K140" s="1204">
        <v>399744</v>
      </c>
      <c r="L140" s="229"/>
      <c r="M140" s="232"/>
      <c r="N140" s="232"/>
      <c r="O140" s="232"/>
      <c r="P140" s="232"/>
      <c r="Q140" s="232"/>
      <c r="R140" s="232"/>
      <c r="S140" s="232"/>
      <c r="T140" s="50"/>
      <c r="U140" s="170"/>
      <c r="V140" s="170"/>
      <c r="W140" s="170"/>
      <c r="X140" s="170"/>
      <c r="Y140" s="170"/>
      <c r="Z140" s="170"/>
      <c r="AB140" s="170"/>
      <c r="AC140" s="170"/>
      <c r="AD140" s="170"/>
      <c r="AE140" s="170"/>
      <c r="AF140" s="170"/>
      <c r="AG140" s="170"/>
      <c r="AH140" s="170"/>
    </row>
    <row r="141" spans="3:34" ht="15" customHeight="1">
      <c r="C141" s="1340"/>
      <c r="D141" s="172" t="str">
        <f>IF(Indice_index!$Z$1=1,"março","March")</f>
        <v>March</v>
      </c>
      <c r="E141" s="1207">
        <v>415095</v>
      </c>
      <c r="F141" s="1207">
        <v>66747</v>
      </c>
      <c r="G141" s="1207">
        <v>165126</v>
      </c>
      <c r="H141" s="1207">
        <v>646968</v>
      </c>
      <c r="I141" s="1208">
        <v>1147.5999999999999</v>
      </c>
      <c r="J141" s="1208"/>
      <c r="K141" s="1207">
        <v>398493</v>
      </c>
      <c r="L141" s="229"/>
      <c r="M141" s="232"/>
      <c r="N141" s="232"/>
      <c r="O141" s="232"/>
      <c r="P141" s="232"/>
      <c r="Q141" s="232"/>
      <c r="R141" s="232"/>
      <c r="S141" s="232"/>
      <c r="T141" s="50"/>
      <c r="U141" s="170"/>
      <c r="V141" s="170"/>
      <c r="W141" s="170"/>
      <c r="X141" s="170"/>
      <c r="Y141" s="170"/>
      <c r="Z141" s="170"/>
      <c r="AB141" s="170"/>
      <c r="AC141" s="170"/>
      <c r="AD141" s="170"/>
      <c r="AE141" s="170"/>
      <c r="AF141" s="170"/>
      <c r="AG141" s="170"/>
      <c r="AH141" s="170"/>
    </row>
    <row r="142" spans="3:34" ht="15" customHeight="1">
      <c r="C142" s="1340"/>
      <c r="D142" s="172" t="str">
        <f>IF(Indice_index!$Z$1=1,"abril","April")</f>
        <v>April</v>
      </c>
      <c r="E142" s="1337">
        <v>415264</v>
      </c>
      <c r="F142" s="1337">
        <v>66550</v>
      </c>
      <c r="G142" s="1337">
        <v>165266</v>
      </c>
      <c r="H142" s="1337">
        <v>647080</v>
      </c>
      <c r="I142" s="1336">
        <v>1150.2</v>
      </c>
      <c r="J142" s="1336"/>
      <c r="K142" s="1337">
        <v>396892</v>
      </c>
      <c r="L142" s="229"/>
      <c r="M142" s="232"/>
      <c r="N142" s="232"/>
      <c r="O142" s="232"/>
      <c r="P142" s="232"/>
      <c r="Q142" s="232"/>
      <c r="R142" s="232"/>
      <c r="S142" s="232"/>
      <c r="T142" s="50"/>
      <c r="U142" s="170"/>
      <c r="V142" s="170"/>
      <c r="W142" s="170"/>
      <c r="X142" s="170"/>
      <c r="Y142" s="170"/>
      <c r="Z142" s="170"/>
      <c r="AB142" s="170"/>
      <c r="AC142" s="170"/>
      <c r="AD142" s="170"/>
      <c r="AE142" s="170"/>
      <c r="AF142" s="170"/>
      <c r="AG142" s="170"/>
      <c r="AH142" s="170"/>
    </row>
    <row r="143" spans="3:34" ht="15" customHeight="1">
      <c r="C143" s="1340"/>
      <c r="D143" s="172" t="str">
        <f>IF(Indice_index!$Z$1=1,"maio","May")</f>
        <v>May</v>
      </c>
      <c r="E143" s="1190">
        <v>415728</v>
      </c>
      <c r="F143" s="1190">
        <v>66359</v>
      </c>
      <c r="G143" s="1190">
        <v>164872</v>
      </c>
      <c r="H143" s="1190">
        <v>646959</v>
      </c>
      <c r="I143" s="1191">
        <v>1139.9000000000001</v>
      </c>
      <c r="J143" s="1191"/>
      <c r="K143" s="1190">
        <v>395505</v>
      </c>
      <c r="L143" s="229"/>
      <c r="M143" s="232"/>
      <c r="N143" s="232"/>
      <c r="O143" s="232"/>
      <c r="P143" s="232"/>
      <c r="Q143" s="232"/>
      <c r="R143" s="232"/>
      <c r="S143" s="232"/>
      <c r="T143" s="50"/>
      <c r="U143" s="170"/>
      <c r="V143" s="170"/>
      <c r="W143" s="170"/>
      <c r="X143" s="170"/>
      <c r="Y143" s="170"/>
      <c r="Z143" s="170"/>
      <c r="AB143" s="170"/>
      <c r="AC143" s="170"/>
      <c r="AD143" s="170"/>
      <c r="AE143" s="170"/>
      <c r="AF143" s="170"/>
      <c r="AG143" s="170"/>
      <c r="AH143" s="170"/>
    </row>
    <row r="144" spans="3:34" ht="15" customHeight="1">
      <c r="C144" s="1340"/>
      <c r="D144" s="172" t="str">
        <f>IF(Indice_index!$Z$1=1,"junho","June")</f>
        <v>June</v>
      </c>
      <c r="E144" s="1192">
        <v>416271</v>
      </c>
      <c r="F144" s="1192">
        <v>66188</v>
      </c>
      <c r="G144" s="1192">
        <v>164928</v>
      </c>
      <c r="H144" s="1192">
        <v>647387</v>
      </c>
      <c r="I144" s="1193">
        <v>1150.7</v>
      </c>
      <c r="J144" s="1193"/>
      <c r="K144" s="1192">
        <v>394221</v>
      </c>
      <c r="L144" s="229"/>
      <c r="M144" s="232"/>
      <c r="N144" s="232"/>
      <c r="O144" s="232"/>
      <c r="P144" s="232"/>
      <c r="Q144" s="232"/>
      <c r="R144" s="232"/>
      <c r="S144" s="232"/>
      <c r="T144" s="50"/>
      <c r="U144" s="170"/>
      <c r="V144" s="170"/>
      <c r="W144" s="170"/>
      <c r="X144" s="170"/>
      <c r="Y144" s="170"/>
      <c r="Z144" s="170"/>
      <c r="AB144" s="170"/>
      <c r="AC144" s="170"/>
      <c r="AD144" s="170"/>
      <c r="AE144" s="170"/>
      <c r="AF144" s="170"/>
      <c r="AG144" s="170"/>
      <c r="AH144" s="170"/>
    </row>
    <row r="145" spans="3:34" ht="15" customHeight="1">
      <c r="C145" s="1340"/>
      <c r="D145" s="172" t="str">
        <f>IF(Indice_index!$Z$1=1,"julho","July")</f>
        <v>July</v>
      </c>
      <c r="E145" s="1194">
        <v>416361</v>
      </c>
      <c r="F145" s="1194">
        <v>65989</v>
      </c>
      <c r="G145" s="1194">
        <v>164878</v>
      </c>
      <c r="H145" s="1194">
        <v>647228</v>
      </c>
      <c r="I145" s="1195">
        <v>2251</v>
      </c>
      <c r="J145" s="1195"/>
      <c r="K145" s="1194">
        <v>392991</v>
      </c>
      <c r="L145" s="229"/>
      <c r="M145" s="232"/>
      <c r="N145" s="232"/>
      <c r="O145" s="232"/>
      <c r="P145" s="232"/>
      <c r="Q145" s="232"/>
      <c r="R145" s="232"/>
      <c r="S145" s="232"/>
      <c r="T145" s="50"/>
      <c r="U145" s="170"/>
      <c r="V145" s="170"/>
      <c r="W145" s="170"/>
      <c r="X145" s="170"/>
      <c r="Y145" s="170"/>
      <c r="Z145" s="170"/>
      <c r="AB145" s="170"/>
      <c r="AC145" s="170"/>
      <c r="AD145" s="170"/>
      <c r="AE145" s="170"/>
      <c r="AF145" s="170"/>
      <c r="AG145" s="170"/>
      <c r="AH145" s="170"/>
    </row>
    <row r="146" spans="3:34" ht="15" customHeight="1">
      <c r="C146" s="1340"/>
      <c r="D146" s="172" t="str">
        <f>IF(Indice_index!$Z$1=1,"agosto","August")</f>
        <v>August</v>
      </c>
      <c r="E146" s="1196">
        <v>416437</v>
      </c>
      <c r="F146" s="1196">
        <v>65794</v>
      </c>
      <c r="G146" s="1196">
        <v>164898</v>
      </c>
      <c r="H146" s="1196">
        <v>647129</v>
      </c>
      <c r="I146" s="1197">
        <v>1155.8</v>
      </c>
      <c r="J146" s="1197"/>
      <c r="K146" s="1196">
        <v>391692</v>
      </c>
      <c r="L146" s="229"/>
      <c r="M146" s="227"/>
      <c r="N146" s="227"/>
      <c r="O146" s="227"/>
      <c r="P146" s="227"/>
      <c r="Q146" s="227"/>
      <c r="R146" s="227"/>
      <c r="S146" s="227"/>
      <c r="T146" s="50"/>
      <c r="U146" s="170"/>
      <c r="V146" s="170"/>
      <c r="W146" s="170"/>
      <c r="X146" s="170"/>
      <c r="Y146" s="170"/>
      <c r="Z146" s="170"/>
      <c r="AB146" s="170"/>
      <c r="AC146" s="170"/>
      <c r="AD146" s="170"/>
      <c r="AE146" s="170"/>
      <c r="AF146" s="170"/>
      <c r="AG146" s="170"/>
      <c r="AH146" s="170"/>
    </row>
    <row r="147" spans="3:34" ht="15" customHeight="1">
      <c r="C147" s="1340"/>
      <c r="D147" s="172" t="str">
        <f>IF(Indice_index!$Z$1=1,"setembro","September")</f>
        <v>September</v>
      </c>
      <c r="E147" s="1209">
        <v>416735</v>
      </c>
      <c r="F147" s="1209">
        <v>65620</v>
      </c>
      <c r="G147" s="1209">
        <v>164979</v>
      </c>
      <c r="H147" s="1209">
        <v>647334</v>
      </c>
      <c r="I147" s="1210">
        <v>1155</v>
      </c>
      <c r="J147" s="1210"/>
      <c r="K147" s="1209">
        <v>390182</v>
      </c>
      <c r="L147" s="229"/>
      <c r="M147" s="227"/>
      <c r="N147" s="227"/>
      <c r="O147" s="227"/>
      <c r="P147" s="227"/>
      <c r="Q147" s="227"/>
      <c r="R147" s="227"/>
      <c r="S147" s="227"/>
      <c r="T147" s="50"/>
      <c r="U147" s="170"/>
      <c r="V147" s="170"/>
      <c r="W147" s="170"/>
      <c r="X147" s="170"/>
      <c r="Y147" s="170"/>
      <c r="Z147" s="170"/>
      <c r="AB147" s="170"/>
      <c r="AC147" s="170"/>
      <c r="AD147" s="170"/>
      <c r="AE147" s="170"/>
      <c r="AF147" s="170"/>
      <c r="AG147" s="170"/>
      <c r="AH147" s="170"/>
    </row>
    <row r="148" spans="3:34" ht="12" customHeight="1">
      <c r="C148" s="1340"/>
      <c r="D148" s="172" t="str">
        <f>IF(Indice_index!$Z$1=1,"outubro","October")</f>
        <v>October</v>
      </c>
      <c r="E148" s="1329">
        <v>417089</v>
      </c>
      <c r="F148" s="1329">
        <v>65423</v>
      </c>
      <c r="G148" s="1329">
        <v>165004</v>
      </c>
      <c r="H148" s="1329">
        <v>647516</v>
      </c>
      <c r="I148" s="1328">
        <v>1155.2</v>
      </c>
      <c r="J148" s="1334"/>
      <c r="K148" s="1327">
        <v>389139</v>
      </c>
      <c r="L148" s="229"/>
      <c r="M148" s="227"/>
      <c r="N148" s="227"/>
      <c r="O148" s="227"/>
      <c r="P148" s="227"/>
      <c r="Q148" s="227"/>
      <c r="R148" s="227"/>
      <c r="S148" s="227"/>
      <c r="T148" s="50"/>
      <c r="U148" s="170"/>
      <c r="V148" s="170"/>
      <c r="W148" s="170"/>
      <c r="X148" s="170"/>
      <c r="Y148" s="170"/>
      <c r="Z148" s="170"/>
      <c r="AB148" s="170"/>
      <c r="AC148" s="170"/>
      <c r="AD148" s="170"/>
      <c r="AE148" s="170"/>
      <c r="AF148" s="170"/>
      <c r="AG148" s="170"/>
      <c r="AH148" s="170"/>
    </row>
    <row r="149" spans="3:34" ht="19.5" customHeight="1">
      <c r="C149" s="1340"/>
      <c r="D149" s="172" t="str">
        <f>IF(Indice_index!$Z$1=1,"novembro","November")</f>
        <v>November</v>
      </c>
      <c r="E149" s="1320">
        <v>417253</v>
      </c>
      <c r="F149" s="1320">
        <v>65276</v>
      </c>
      <c r="G149" s="1320">
        <v>165203</v>
      </c>
      <c r="H149" s="1320">
        <v>647732</v>
      </c>
      <c r="I149" s="1319">
        <v>2282.5</v>
      </c>
      <c r="J149" s="1319"/>
      <c r="K149" s="1320">
        <v>387605</v>
      </c>
      <c r="L149" s="229"/>
      <c r="M149" s="227"/>
      <c r="N149" s="227"/>
      <c r="O149" s="227"/>
      <c r="P149" s="227"/>
      <c r="Q149" s="227"/>
      <c r="R149" s="227"/>
      <c r="S149" s="227"/>
      <c r="T149" s="50"/>
      <c r="U149" s="170"/>
      <c r="V149" s="170"/>
      <c r="W149" s="170"/>
      <c r="X149" s="170"/>
      <c r="Y149" s="170"/>
      <c r="Z149" s="170"/>
      <c r="AB149" s="170"/>
      <c r="AC149" s="170"/>
      <c r="AD149" s="170"/>
      <c r="AE149" s="170"/>
      <c r="AF149" s="170"/>
      <c r="AG149" s="170"/>
      <c r="AH149" s="170"/>
    </row>
    <row r="150" spans="3:34" s="171" customFormat="1" ht="1.5" hidden="1" customHeight="1">
      <c r="C150" s="1338"/>
      <c r="D150" s="172" t="str">
        <f>IF(Indice_index!$Z$1=1,"dezembro","December")</f>
        <v>December</v>
      </c>
      <c r="E150" s="1200"/>
      <c r="F150" s="1200"/>
      <c r="G150" s="1200"/>
      <c r="H150" s="1200"/>
      <c r="I150" s="1201"/>
      <c r="J150" s="1201"/>
      <c r="K150" s="1200"/>
      <c r="M150" s="227"/>
      <c r="N150" s="227"/>
      <c r="O150" s="227"/>
      <c r="P150" s="227"/>
      <c r="Q150" s="227"/>
      <c r="R150" s="227"/>
      <c r="S150" s="227"/>
      <c r="T150" s="1357"/>
      <c r="U150" s="172"/>
      <c r="V150" s="172"/>
      <c r="W150" s="172"/>
      <c r="X150" s="172"/>
      <c r="Y150" s="172"/>
      <c r="Z150" s="172"/>
      <c r="AA150" s="172"/>
      <c r="AB150" s="172"/>
      <c r="AC150" s="172"/>
      <c r="AD150" s="172"/>
      <c r="AE150" s="172"/>
      <c r="AF150" s="172"/>
      <c r="AG150" s="172"/>
      <c r="AH150" s="172"/>
    </row>
    <row r="151" spans="3:34" ht="17.25" customHeight="1">
      <c r="C151" s="1345"/>
      <c r="D151" s="1344"/>
      <c r="E151" s="1344"/>
      <c r="F151" s="1344"/>
      <c r="G151" s="1344"/>
      <c r="H151" s="1344"/>
      <c r="I151" s="1344"/>
      <c r="K151" s="1211"/>
      <c r="M151" s="227"/>
      <c r="N151" s="227"/>
      <c r="O151" s="227"/>
      <c r="P151" s="227"/>
      <c r="Q151" s="227"/>
      <c r="R151" s="227"/>
      <c r="S151" s="227"/>
      <c r="X151" s="229"/>
      <c r="Y151" s="229"/>
      <c r="Z151" s="229"/>
    </row>
    <row r="152" spans="3:34" ht="15" customHeight="1">
      <c r="C152" s="1338"/>
      <c r="D152" s="171"/>
      <c r="E152" s="171"/>
      <c r="F152" s="171"/>
      <c r="G152" s="171"/>
      <c r="H152" s="171"/>
      <c r="I152" s="171"/>
      <c r="K152" s="171"/>
      <c r="M152" s="227"/>
      <c r="N152" s="227"/>
      <c r="O152" s="227"/>
      <c r="P152" s="227"/>
      <c r="Q152" s="227"/>
      <c r="R152" s="227"/>
      <c r="S152" s="227"/>
      <c r="X152" s="229"/>
      <c r="Y152" s="229"/>
      <c r="Z152" s="229"/>
    </row>
    <row r="153" spans="3:34" ht="15" customHeight="1">
      <c r="C153" s="1338"/>
      <c r="D153" s="171"/>
      <c r="E153" s="171"/>
      <c r="F153" s="171"/>
      <c r="G153" s="171"/>
      <c r="H153" s="171"/>
      <c r="I153" s="171"/>
      <c r="K153" s="171"/>
      <c r="X153" s="229"/>
      <c r="Y153" s="229"/>
      <c r="Z153" s="229"/>
    </row>
    <row r="154" spans="3:34" ht="15" customHeight="1">
      <c r="C154" s="1354"/>
      <c r="D154" s="1212"/>
      <c r="E154" s="1212"/>
      <c r="F154" s="1212"/>
      <c r="G154" s="1212"/>
      <c r="H154" s="171"/>
      <c r="I154" s="171"/>
      <c r="J154" s="171"/>
      <c r="K154" s="1348" t="str">
        <f>IF(Indice_index!$Z$1=1,"Subscritores","Subscribers")</f>
        <v>Subscribers</v>
      </c>
      <c r="Q154" s="171"/>
      <c r="R154" s="171"/>
      <c r="S154" s="171"/>
      <c r="T154" s="171"/>
    </row>
    <row r="155" spans="3:34" ht="15.75" customHeight="1">
      <c r="C155" s="1213"/>
      <c r="D155" s="1214"/>
      <c r="E155" s="1785" t="str">
        <f>IF(Indice_index!$Z$1=1,"VH do número de pensionistas (%)","YOY Change Rate of the number of subscribers (%)")</f>
        <v>YOY Change Rate of the number of subscribers (%)</v>
      </c>
      <c r="F155" s="1781"/>
      <c r="G155" s="1781"/>
      <c r="H155" s="1786"/>
      <c r="I155" s="1782" t="str">
        <f>IF(Indice_index!$Z$1=1,"VHA Valor médio pago por pensionista","YOY Change Rate of the Average Value paid per Pensioner")</f>
        <v>YOY Change Rate of the Average Value paid per Pensioner</v>
      </c>
      <c r="K155" s="1787" t="str">
        <f>IF(Indice_index!$Z$1=1,"VHA do Número de subscritores (%)","YOY Change Rate of the Number of Subscribers (%)")</f>
        <v>YOY Change Rate of the Number of Subscribers (%)</v>
      </c>
      <c r="Q155" s="171"/>
      <c r="R155" s="171"/>
      <c r="S155" s="171"/>
      <c r="T155" s="171"/>
    </row>
    <row r="156" spans="3:34" ht="40.5" customHeight="1">
      <c r="C156" s="1215"/>
      <c r="D156" s="1216"/>
      <c r="E156" s="1217" t="str">
        <f>IF(Indice_index!$Z$1=1,"Velhice e Outros Motivos","Old age and other Reasons")</f>
        <v>Old age and other Reasons</v>
      </c>
      <c r="F156" s="1342" t="str">
        <f>IF(Indice_index!$Z$1=1,"Invalidez","Disability")</f>
        <v>Disability</v>
      </c>
      <c r="G156" s="1343" t="str">
        <f>IF(Indice_index!$Z$1=1,"Sobrevivência e Outros","Survival and Others")</f>
        <v>Survival and Others</v>
      </c>
      <c r="H156" s="1218" t="str">
        <f>IF(Indice_index!$Z$1=1,"Total de Pensionistas","Total of Pensioners")</f>
        <v>Total of Pensioners</v>
      </c>
      <c r="I156" s="1782"/>
      <c r="K156" s="1787"/>
      <c r="Q156" s="171"/>
      <c r="R156" s="171"/>
      <c r="S156" s="171"/>
      <c r="T156" s="171"/>
    </row>
    <row r="157" spans="3:34" hidden="1">
      <c r="C157" s="1341" t="s">
        <v>10</v>
      </c>
      <c r="D157" s="644"/>
      <c r="E157" s="172"/>
      <c r="F157" s="172"/>
      <c r="G157" s="172"/>
      <c r="H157" s="172"/>
      <c r="I157" s="171"/>
      <c r="K157" s="171"/>
      <c r="Q157" s="171"/>
      <c r="R157" s="171"/>
      <c r="S157" s="171"/>
      <c r="T157" s="171"/>
    </row>
    <row r="158" spans="3:34" ht="10.5" hidden="1">
      <c r="C158" s="1341"/>
      <c r="D158" s="172" t="str">
        <f>IF(Indice_index!$Z$1=1,"janeiro","January")</f>
        <v>January</v>
      </c>
      <c r="E158" s="171">
        <v>3.3</v>
      </c>
      <c r="F158" s="171">
        <v>0.1</v>
      </c>
      <c r="G158" s="171">
        <v>1.1000000000000001</v>
      </c>
      <c r="H158" s="171">
        <v>2.2999999999999998</v>
      </c>
      <c r="I158" s="171">
        <v>1.9</v>
      </c>
      <c r="K158" s="171">
        <v>-4.5999999999999996</v>
      </c>
      <c r="Q158" s="171"/>
      <c r="R158" s="171"/>
      <c r="S158" s="171"/>
      <c r="T158" s="171"/>
      <c r="X158" s="229"/>
      <c r="Y158" s="229"/>
      <c r="Z158" s="229"/>
    </row>
    <row r="159" spans="3:34" ht="10.5" hidden="1">
      <c r="C159" s="1341"/>
      <c r="D159" s="172" t="str">
        <f>IF(Indice_index!$Z$1=1,"fevereiro","February")</f>
        <v>February</v>
      </c>
      <c r="E159" s="171">
        <v>3.3</v>
      </c>
      <c r="F159" s="171">
        <v>0.2</v>
      </c>
      <c r="G159" s="171">
        <v>1.2</v>
      </c>
      <c r="H159" s="171">
        <v>2.4</v>
      </c>
      <c r="I159" s="171">
        <v>1.6</v>
      </c>
      <c r="K159" s="171">
        <v>-4.5</v>
      </c>
      <c r="Q159" s="171"/>
      <c r="R159" s="171"/>
      <c r="S159" s="171"/>
      <c r="T159" s="171"/>
      <c r="X159" s="229"/>
      <c r="Y159" s="229"/>
      <c r="Z159" s="229"/>
    </row>
    <row r="160" spans="3:34" ht="10.5" hidden="1">
      <c r="C160" s="1341"/>
      <c r="D160" s="172" t="str">
        <f>IF(Indice_index!$Z$1=1,"março","March")</f>
        <v>March</v>
      </c>
      <c r="E160" s="171">
        <v>3.2</v>
      </c>
      <c r="F160" s="171">
        <v>0.2</v>
      </c>
      <c r="G160" s="171">
        <v>1.4</v>
      </c>
      <c r="H160" s="171">
        <v>2.4</v>
      </c>
      <c r="I160" s="171">
        <v>1.7</v>
      </c>
      <c r="K160" s="171">
        <v>-5</v>
      </c>
      <c r="Q160" s="171"/>
      <c r="R160" s="171"/>
      <c r="S160" s="171"/>
      <c r="T160" s="171"/>
      <c r="X160" s="229"/>
      <c r="Y160" s="229"/>
      <c r="Z160" s="229"/>
    </row>
    <row r="161" spans="3:26" ht="10.5" hidden="1">
      <c r="C161" s="1341"/>
      <c r="D161" s="172" t="str">
        <f>IF(Indice_index!$Z$1=1,"abril","April")</f>
        <v>April</v>
      </c>
      <c r="E161" s="171">
        <v>3</v>
      </c>
      <c r="F161" s="171">
        <v>0.4</v>
      </c>
      <c r="G161" s="171">
        <v>1.4</v>
      </c>
      <c r="H161" s="171">
        <v>2.2999999999999998</v>
      </c>
      <c r="I161" s="171">
        <v>0.2</v>
      </c>
      <c r="K161" s="171">
        <v>-4.9000000000000004</v>
      </c>
      <c r="Q161" s="171"/>
      <c r="R161" s="171"/>
      <c r="S161" s="171"/>
      <c r="T161" s="171"/>
      <c r="X161" s="229"/>
      <c r="Y161" s="229"/>
      <c r="Z161" s="229"/>
    </row>
    <row r="162" spans="3:26" ht="10.5" hidden="1">
      <c r="C162" s="1341"/>
      <c r="D162" s="172" t="str">
        <f>IF(Indice_index!$Z$1=1,"maio","May")</f>
        <v>May</v>
      </c>
      <c r="E162" s="171">
        <v>2.9</v>
      </c>
      <c r="F162" s="171">
        <v>0.4</v>
      </c>
      <c r="G162" s="171">
        <v>1.5</v>
      </c>
      <c r="H162" s="171">
        <v>2.2000000000000002</v>
      </c>
      <c r="I162" s="171">
        <v>0.6</v>
      </c>
      <c r="K162" s="171">
        <v>-4.9000000000000004</v>
      </c>
      <c r="Q162" s="171"/>
      <c r="R162" s="171"/>
      <c r="S162" s="171"/>
      <c r="T162" s="171"/>
      <c r="X162" s="229"/>
      <c r="Y162" s="229"/>
      <c r="Z162" s="229"/>
    </row>
    <row r="163" spans="3:26" ht="10.5" hidden="1">
      <c r="C163" s="1341"/>
      <c r="D163" s="172" t="str">
        <f>IF(Indice_index!$Z$1=1,"junho","June")</f>
        <v>June</v>
      </c>
      <c r="E163" s="171">
        <v>2.8</v>
      </c>
      <c r="F163" s="171">
        <v>0.6</v>
      </c>
      <c r="G163" s="171">
        <v>1.6</v>
      </c>
      <c r="H163" s="171">
        <v>2.2000000000000002</v>
      </c>
      <c r="I163" s="171">
        <v>1.1000000000000001</v>
      </c>
      <c r="K163" s="171">
        <v>-4.8</v>
      </c>
      <c r="Q163" s="171"/>
      <c r="R163" s="171"/>
      <c r="S163" s="171"/>
      <c r="T163" s="171"/>
      <c r="X163" s="229"/>
      <c r="Y163" s="229"/>
      <c r="Z163" s="229"/>
    </row>
    <row r="164" spans="3:26" ht="10.5" hidden="1">
      <c r="C164" s="1341"/>
      <c r="D164" s="172" t="str">
        <f>IF(Indice_index!$Z$1=1,"julho","July")</f>
        <v>July</v>
      </c>
      <c r="E164" s="171">
        <v>2.7</v>
      </c>
      <c r="F164" s="171">
        <v>0.6</v>
      </c>
      <c r="G164" s="171">
        <v>1.6</v>
      </c>
      <c r="H164" s="171">
        <v>2.2000000000000002</v>
      </c>
      <c r="I164" s="171">
        <v>-39.1</v>
      </c>
      <c r="K164" s="171">
        <v>-4.8</v>
      </c>
      <c r="Q164" s="171"/>
      <c r="R164" s="171"/>
      <c r="S164" s="171"/>
      <c r="T164" s="171"/>
      <c r="X164" s="229"/>
      <c r="Y164" s="229"/>
      <c r="Z164" s="229"/>
    </row>
    <row r="165" spans="3:26" ht="10.5" hidden="1">
      <c r="C165" s="1341"/>
      <c r="D165" s="172" t="str">
        <f>IF(Indice_index!$Z$1=1,"agosto","August")</f>
        <v>August</v>
      </c>
      <c r="E165" s="171">
        <v>2.8</v>
      </c>
      <c r="F165" s="171">
        <v>0.6</v>
      </c>
      <c r="G165" s="171">
        <v>1.7</v>
      </c>
      <c r="H165" s="171">
        <v>2.2999999999999998</v>
      </c>
      <c r="I165" s="171">
        <v>0.6</v>
      </c>
      <c r="K165" s="171">
        <v>-4.8</v>
      </c>
      <c r="Q165" s="171"/>
      <c r="R165" s="171"/>
      <c r="S165" s="171"/>
      <c r="T165" s="171"/>
      <c r="X165" s="229"/>
      <c r="Y165" s="229"/>
      <c r="Z165" s="229"/>
    </row>
    <row r="166" spans="3:26" ht="10.5" hidden="1">
      <c r="C166" s="1341"/>
      <c r="D166" s="172" t="str">
        <f>IF(Indice_index!$Z$1=1,"setembro","September")</f>
        <v>September</v>
      </c>
      <c r="E166" s="171">
        <v>2.9</v>
      </c>
      <c r="F166" s="171">
        <v>0.6</v>
      </c>
      <c r="G166" s="171">
        <v>1.7</v>
      </c>
      <c r="H166" s="171">
        <v>2.2999999999999998</v>
      </c>
      <c r="I166" s="171">
        <v>-0.2</v>
      </c>
      <c r="K166" s="171">
        <v>-4.9000000000000004</v>
      </c>
      <c r="Q166" s="171"/>
      <c r="R166" s="171"/>
      <c r="S166" s="171"/>
      <c r="T166" s="171"/>
      <c r="X166" s="229"/>
      <c r="Y166" s="229"/>
      <c r="Z166" s="229"/>
    </row>
    <row r="167" spans="3:26" ht="10.5" hidden="1">
      <c r="C167" s="1341"/>
      <c r="D167" s="172" t="str">
        <f>IF(Indice_index!$Z$1=1,"outubro","October")</f>
        <v>October</v>
      </c>
      <c r="E167" s="171">
        <v>3</v>
      </c>
      <c r="F167" s="171">
        <v>0.5</v>
      </c>
      <c r="G167" s="171">
        <v>1.8</v>
      </c>
      <c r="H167" s="171">
        <v>2.4</v>
      </c>
      <c r="I167" s="171">
        <v>0.2</v>
      </c>
      <c r="K167" s="171">
        <v>-4.9000000000000004</v>
      </c>
      <c r="Q167" s="171"/>
      <c r="R167" s="171"/>
      <c r="S167" s="171"/>
      <c r="T167" s="171"/>
      <c r="X167" s="229"/>
      <c r="Y167" s="229"/>
      <c r="Z167" s="229"/>
    </row>
    <row r="168" spans="3:26" ht="10.5" hidden="1">
      <c r="C168" s="1341"/>
      <c r="D168" s="172" t="str">
        <f>IF(Indice_index!$Z$1=1,"novembro","November")</f>
        <v>November</v>
      </c>
      <c r="E168" s="171">
        <v>2.8</v>
      </c>
      <c r="F168" s="171">
        <v>-0.1</v>
      </c>
      <c r="G168" s="171">
        <v>1.6</v>
      </c>
      <c r="H168" s="171">
        <v>2.2000000000000002</v>
      </c>
      <c r="I168" s="171">
        <v>-38.799999999999997</v>
      </c>
      <c r="K168" s="171">
        <v>-4.9000000000000004</v>
      </c>
      <c r="Q168" s="171"/>
      <c r="R168" s="171"/>
      <c r="S168" s="171"/>
      <c r="T168" s="171"/>
      <c r="X168" s="229"/>
      <c r="Y168" s="229"/>
      <c r="Z168" s="229"/>
    </row>
    <row r="169" spans="3:26" ht="10.5" hidden="1">
      <c r="C169" s="1341"/>
      <c r="D169" s="172" t="str">
        <f>IF(Indice_index!$Z$1=1,"dezembro","December")</f>
        <v>December</v>
      </c>
      <c r="E169" s="171">
        <v>2.5</v>
      </c>
      <c r="F169" s="171">
        <v>-0.2</v>
      </c>
      <c r="G169" s="171">
        <v>1.6</v>
      </c>
      <c r="H169" s="171">
        <v>1.9</v>
      </c>
      <c r="I169" s="171">
        <v>-0.2</v>
      </c>
      <c r="K169" s="171">
        <v>-4.9000000000000004</v>
      </c>
      <c r="Q169" s="171"/>
      <c r="R169" s="171"/>
      <c r="S169" s="171"/>
      <c r="T169" s="171"/>
      <c r="X169" s="229"/>
      <c r="Y169" s="229"/>
      <c r="Z169" s="229"/>
    </row>
    <row r="170" spans="3:26" ht="10.5" hidden="1">
      <c r="C170" s="1341" t="s">
        <v>11</v>
      </c>
      <c r="D170" s="171"/>
      <c r="E170" s="171"/>
      <c r="F170" s="171"/>
      <c r="G170" s="171"/>
      <c r="H170" s="171"/>
      <c r="I170" s="171"/>
      <c r="K170" s="171"/>
      <c r="Q170" s="171"/>
      <c r="R170" s="171"/>
      <c r="S170" s="171"/>
      <c r="T170" s="171"/>
      <c r="X170" s="229"/>
      <c r="Y170" s="229"/>
      <c r="Z170" s="229"/>
    </row>
    <row r="171" spans="3:26" ht="10.5" hidden="1">
      <c r="C171" s="1341"/>
      <c r="D171" s="172" t="str">
        <f>IF(Indice_index!$Z$1=1,"janeiro","January")</f>
        <v>January</v>
      </c>
      <c r="E171" s="171">
        <v>2.6</v>
      </c>
      <c r="F171" s="171">
        <v>-0.2</v>
      </c>
      <c r="G171" s="171">
        <v>1.7</v>
      </c>
      <c r="H171" s="171">
        <v>2</v>
      </c>
      <c r="I171" s="171">
        <v>0.2</v>
      </c>
      <c r="K171" s="171">
        <v>-4.9000000000000004</v>
      </c>
      <c r="Q171" s="171"/>
      <c r="R171" s="171"/>
      <c r="S171" s="171"/>
      <c r="T171" s="171"/>
      <c r="X171" s="229"/>
      <c r="Y171" s="229"/>
      <c r="Z171" s="229"/>
    </row>
    <row r="172" spans="3:26" ht="10.5" hidden="1">
      <c r="C172" s="1340"/>
      <c r="D172" s="172" t="str">
        <f>IF(Indice_index!$Z$1=1,"fevereiro","February")</f>
        <v>February</v>
      </c>
      <c r="E172" s="171">
        <v>2.4</v>
      </c>
      <c r="F172" s="171">
        <v>-0.2</v>
      </c>
      <c r="G172" s="171">
        <v>1.6</v>
      </c>
      <c r="H172" s="171">
        <v>1.9</v>
      </c>
      <c r="I172" s="171">
        <v>16.600000000000001</v>
      </c>
      <c r="K172" s="171">
        <v>-4.8</v>
      </c>
      <c r="Q172" s="171"/>
      <c r="R172" s="171"/>
      <c r="S172" s="171"/>
      <c r="T172" s="171"/>
      <c r="X172" s="229"/>
      <c r="Y172" s="229"/>
      <c r="Z172" s="229"/>
    </row>
    <row r="173" spans="3:26" ht="10.5" hidden="1">
      <c r="C173" s="1338"/>
      <c r="D173" s="172" t="str">
        <f>IF(Indice_index!$Z$1=1,"março","March")</f>
        <v>March</v>
      </c>
      <c r="E173" s="171">
        <v>2.5</v>
      </c>
      <c r="F173" s="171">
        <v>-0.3</v>
      </c>
      <c r="G173" s="171">
        <v>1.3</v>
      </c>
      <c r="H173" s="171">
        <v>1.9</v>
      </c>
      <c r="I173" s="171">
        <v>7.7</v>
      </c>
      <c r="K173" s="171">
        <v>-4.2</v>
      </c>
      <c r="X173" s="229"/>
      <c r="Y173" s="229"/>
      <c r="Z173" s="229"/>
    </row>
    <row r="174" spans="3:26" ht="10.5" hidden="1">
      <c r="C174" s="1338"/>
      <c r="D174" s="172" t="str">
        <f>IF(Indice_index!$Z$1=1,"abril","April")</f>
        <v>April</v>
      </c>
      <c r="E174" s="171">
        <v>2.7</v>
      </c>
      <c r="F174" s="171">
        <v>-0.4</v>
      </c>
      <c r="G174" s="171">
        <v>1.3</v>
      </c>
      <c r="H174" s="171">
        <v>2</v>
      </c>
      <c r="I174" s="171">
        <v>9</v>
      </c>
      <c r="K174" s="171">
        <v>-4.3</v>
      </c>
      <c r="X174" s="229"/>
      <c r="Y174" s="229"/>
      <c r="Z174" s="229"/>
    </row>
    <row r="175" spans="3:26" ht="10.5" hidden="1">
      <c r="C175" s="1338"/>
      <c r="D175" s="172" t="str">
        <f>IF(Indice_index!$Z$1=1,"maio","May")</f>
        <v>May</v>
      </c>
      <c r="E175" s="171">
        <v>2.7</v>
      </c>
      <c r="F175" s="171">
        <v>-0.3</v>
      </c>
      <c r="G175" s="171">
        <v>1.3</v>
      </c>
      <c r="H175" s="171">
        <v>2</v>
      </c>
      <c r="I175" s="171">
        <v>8.3000000000000007</v>
      </c>
      <c r="K175" s="171">
        <v>-4.2</v>
      </c>
      <c r="X175" s="229"/>
      <c r="Y175" s="229"/>
      <c r="Z175" s="229"/>
    </row>
    <row r="176" spans="3:26" ht="10.5" hidden="1">
      <c r="C176" s="1338"/>
      <c r="D176" s="172" t="str">
        <f>IF(Indice_index!$Z$1=1,"junho","June")</f>
        <v>June</v>
      </c>
      <c r="E176" s="171">
        <v>2.6</v>
      </c>
      <c r="F176" s="171">
        <v>-0.1</v>
      </c>
      <c r="G176" s="171">
        <v>1.2</v>
      </c>
      <c r="H176" s="171">
        <v>1.9</v>
      </c>
      <c r="I176" s="171">
        <v>8.1999999999999993</v>
      </c>
      <c r="K176" s="171">
        <v>-4.3</v>
      </c>
      <c r="X176" s="229"/>
      <c r="Y176" s="229"/>
      <c r="Z176" s="229"/>
    </row>
    <row r="177" spans="3:26" ht="10.5" hidden="1">
      <c r="C177" s="1338"/>
      <c r="D177" s="172" t="str">
        <f>IF(Indice_index!$Z$1=1,"julho","July")</f>
        <v>July</v>
      </c>
      <c r="E177" s="171">
        <v>2.5</v>
      </c>
      <c r="F177" s="171">
        <v>-0.2</v>
      </c>
      <c r="G177" s="171">
        <v>1.1000000000000001</v>
      </c>
      <c r="H177" s="171">
        <v>1.8</v>
      </c>
      <c r="I177" s="171">
        <v>14.7</v>
      </c>
      <c r="K177" s="171">
        <v>-4.3</v>
      </c>
      <c r="X177" s="229"/>
      <c r="Y177" s="229"/>
      <c r="Z177" s="229"/>
    </row>
    <row r="178" spans="3:26" ht="10.5" hidden="1">
      <c r="C178" s="1338"/>
      <c r="D178" s="172" t="str">
        <f>IF(Indice_index!$Z$1=1,"agosto","August")</f>
        <v>August</v>
      </c>
      <c r="E178" s="171">
        <v>2.2999999999999998</v>
      </c>
      <c r="F178" s="171">
        <v>-0.2</v>
      </c>
      <c r="G178" s="171">
        <v>1.1000000000000001</v>
      </c>
      <c r="H178" s="171">
        <v>1.7</v>
      </c>
      <c r="I178" s="171">
        <v>8.6</v>
      </c>
      <c r="K178" s="171">
        <v>-4.4000000000000004</v>
      </c>
      <c r="X178" s="229"/>
      <c r="Y178" s="229"/>
      <c r="Z178" s="229"/>
    </row>
    <row r="179" spans="3:26" ht="10.5" hidden="1">
      <c r="C179" s="1338"/>
      <c r="D179" s="172" t="str">
        <f>IF(Indice_index!$Z$1=1,"setembro","September")</f>
        <v>September</v>
      </c>
      <c r="E179" s="171">
        <v>2</v>
      </c>
      <c r="F179" s="171">
        <v>-0.3</v>
      </c>
      <c r="G179" s="171">
        <v>1</v>
      </c>
      <c r="H179" s="171">
        <v>1.5</v>
      </c>
      <c r="I179" s="171">
        <v>8.6</v>
      </c>
      <c r="K179" s="171">
        <v>-4.4000000000000004</v>
      </c>
      <c r="X179" s="229"/>
      <c r="Y179" s="229"/>
      <c r="Z179" s="229"/>
    </row>
    <row r="180" spans="3:26" ht="10.5" hidden="1">
      <c r="C180" s="1338"/>
      <c r="D180" s="172" t="str">
        <f>IF(Indice_index!$Z$1=1,"outubro","October")</f>
        <v>October</v>
      </c>
      <c r="E180" s="171">
        <v>1.8</v>
      </c>
      <c r="F180" s="171">
        <v>-0.4</v>
      </c>
      <c r="G180" s="171">
        <v>1.1000000000000001</v>
      </c>
      <c r="H180" s="171">
        <v>1.4</v>
      </c>
      <c r="I180" s="171">
        <v>9.8000000000000007</v>
      </c>
      <c r="K180" s="171">
        <v>-4.3</v>
      </c>
      <c r="X180" s="229"/>
      <c r="Y180" s="229"/>
      <c r="Z180" s="229"/>
    </row>
    <row r="181" spans="3:26" ht="10.5" hidden="1">
      <c r="C181" s="1338"/>
      <c r="D181" s="172" t="str">
        <f>IF(Indice_index!$Z$1=1,"novembro","November")</f>
        <v>November</v>
      </c>
      <c r="E181" s="171">
        <v>2</v>
      </c>
      <c r="F181" s="171">
        <v>0</v>
      </c>
      <c r="G181" s="171">
        <v>1.3</v>
      </c>
      <c r="H181" s="171">
        <v>1.6</v>
      </c>
      <c r="I181" s="171">
        <v>53.1</v>
      </c>
      <c r="K181" s="171">
        <v>-4.2</v>
      </c>
      <c r="X181" s="229"/>
      <c r="Y181" s="229"/>
      <c r="Z181" s="229"/>
    </row>
    <row r="182" spans="3:26" ht="10.5" hidden="1">
      <c r="C182" s="1338"/>
      <c r="D182" s="172" t="str">
        <f>IF(Indice_index!$Z$1=1,"dezembro","December")</f>
        <v>December</v>
      </c>
      <c r="E182" s="171">
        <v>2.2000000000000002</v>
      </c>
      <c r="F182" s="171">
        <v>0</v>
      </c>
      <c r="G182" s="171">
        <v>1.4</v>
      </c>
      <c r="H182" s="171">
        <v>1.8</v>
      </c>
      <c r="I182" s="171">
        <v>8.8000000000000007</v>
      </c>
      <c r="K182" s="171">
        <v>-4.0999999999999996</v>
      </c>
      <c r="X182" s="229"/>
      <c r="Y182" s="229"/>
      <c r="Z182" s="229"/>
    </row>
    <row r="183" spans="3:26" ht="10.5" hidden="1">
      <c r="C183" s="1341" t="s">
        <v>12</v>
      </c>
      <c r="D183" s="171"/>
      <c r="E183" s="171"/>
      <c r="F183" s="171"/>
      <c r="G183" s="171"/>
      <c r="H183" s="171"/>
      <c r="I183" s="171"/>
      <c r="K183" s="171"/>
      <c r="X183" s="229"/>
      <c r="Y183" s="229"/>
      <c r="Z183" s="229"/>
    </row>
    <row r="184" spans="3:26" ht="10.5" hidden="1">
      <c r="C184" s="1338"/>
      <c r="D184" s="172" t="str">
        <f>IF(Indice_index!$Z$1=1,"janeiro","January")</f>
        <v>January</v>
      </c>
      <c r="E184" s="171">
        <v>2.2000000000000002</v>
      </c>
      <c r="F184" s="171">
        <v>0.1</v>
      </c>
      <c r="G184" s="171">
        <v>1.3</v>
      </c>
      <c r="H184" s="171">
        <v>1.8</v>
      </c>
      <c r="I184" s="171">
        <v>10.1</v>
      </c>
      <c r="K184" s="171">
        <v>-4.4000000000000004</v>
      </c>
      <c r="X184" s="229"/>
      <c r="Y184" s="229"/>
      <c r="Z184" s="229"/>
    </row>
    <row r="185" spans="3:26" ht="10.5" hidden="1">
      <c r="C185" s="1338"/>
      <c r="D185" s="172" t="str">
        <f>IF(Indice_index!$Z$1=1,"fevereiro","February")</f>
        <v>February</v>
      </c>
      <c r="E185" s="171">
        <v>2.2000000000000002</v>
      </c>
      <c r="F185" s="171">
        <v>0</v>
      </c>
      <c r="G185" s="171">
        <v>1.3</v>
      </c>
      <c r="H185" s="171">
        <v>1.7</v>
      </c>
      <c r="I185" s="171">
        <v>-8</v>
      </c>
      <c r="K185" s="171">
        <v>-4.5</v>
      </c>
      <c r="X185" s="229"/>
      <c r="Y185" s="229"/>
      <c r="Z185" s="229"/>
    </row>
    <row r="186" spans="3:26" ht="10.5" hidden="1">
      <c r="C186" s="1338"/>
      <c r="D186" s="172" t="str">
        <f>IF(Indice_index!$Z$1=1,"março","March")</f>
        <v>March</v>
      </c>
      <c r="E186" s="171">
        <v>2.1</v>
      </c>
      <c r="F186" s="171">
        <v>0</v>
      </c>
      <c r="G186" s="171">
        <v>1.5</v>
      </c>
      <c r="H186" s="171">
        <v>1.7</v>
      </c>
      <c r="I186" s="171">
        <v>-0.7</v>
      </c>
      <c r="K186" s="171">
        <v>-4.5999999999999996</v>
      </c>
      <c r="X186" s="229"/>
      <c r="Y186" s="229"/>
      <c r="Z186" s="229"/>
    </row>
    <row r="187" spans="3:26" ht="10.5" hidden="1">
      <c r="C187" s="1338"/>
      <c r="D187" s="172" t="str">
        <f>IF(Indice_index!$Z$1=1,"abril","April")</f>
        <v>April</v>
      </c>
      <c r="E187" s="171">
        <v>2</v>
      </c>
      <c r="F187" s="171">
        <v>0.1</v>
      </c>
      <c r="G187" s="171">
        <v>1.6</v>
      </c>
      <c r="H187" s="171">
        <v>1.7</v>
      </c>
      <c r="I187" s="171">
        <v>-1.2</v>
      </c>
      <c r="K187" s="171">
        <v>-4.8</v>
      </c>
      <c r="X187" s="229"/>
      <c r="Y187" s="229"/>
      <c r="Z187" s="229"/>
    </row>
    <row r="188" spans="3:26" ht="10.5" hidden="1">
      <c r="C188" s="1338"/>
      <c r="D188" s="172" t="str">
        <f>IF(Indice_index!$Z$1=1,"maio","May")</f>
        <v>May</v>
      </c>
      <c r="E188" s="171">
        <v>1.9</v>
      </c>
      <c r="F188" s="171">
        <v>0.1</v>
      </c>
      <c r="G188" s="171">
        <v>1.6</v>
      </c>
      <c r="H188" s="171">
        <v>1.6</v>
      </c>
      <c r="I188" s="171">
        <v>-0.9</v>
      </c>
      <c r="K188" s="171">
        <v>-4.9000000000000004</v>
      </c>
      <c r="X188" s="229"/>
      <c r="Y188" s="229"/>
      <c r="Z188" s="229"/>
    </row>
    <row r="189" spans="3:26" ht="10.5" hidden="1">
      <c r="C189" s="1338"/>
      <c r="D189" s="172" t="str">
        <f>IF(Indice_index!$Z$1=1,"junho","June")</f>
        <v>June</v>
      </c>
      <c r="E189" s="171">
        <v>2</v>
      </c>
      <c r="F189" s="171">
        <v>-0.2</v>
      </c>
      <c r="G189" s="171">
        <v>1.6</v>
      </c>
      <c r="H189" s="171">
        <v>1.6</v>
      </c>
      <c r="I189" s="171">
        <v>-0.9</v>
      </c>
      <c r="K189" s="171">
        <v>-5</v>
      </c>
      <c r="X189" s="229"/>
      <c r="Y189" s="229"/>
      <c r="Z189" s="229"/>
    </row>
    <row r="190" spans="3:26" ht="10.5" hidden="1">
      <c r="C190" s="1338"/>
      <c r="D190" s="172" t="str">
        <f>IF(Indice_index!$Z$1=1,"julho","July")</f>
        <v>July</v>
      </c>
      <c r="E190" s="171">
        <v>2.1480540184017052</v>
      </c>
      <c r="F190" s="171">
        <v>-0.32109970013003208</v>
      </c>
      <c r="G190" s="171">
        <v>10.527022064016725</v>
      </c>
      <c r="H190" s="171">
        <v>3.7888244605378629</v>
      </c>
      <c r="I190" s="171">
        <v>48.076394613904931</v>
      </c>
      <c r="K190" s="171">
        <v>-5.1713744898311784</v>
      </c>
      <c r="X190" s="229"/>
      <c r="Y190" s="229"/>
      <c r="Z190" s="229"/>
    </row>
    <row r="191" spans="3:26" ht="10.5" hidden="1">
      <c r="C191" s="1338"/>
      <c r="D191" s="172" t="str">
        <f>IF(Indice_index!$Z$1=1,"agosto","August")</f>
        <v>August</v>
      </c>
      <c r="E191" s="171">
        <v>2.6</v>
      </c>
      <c r="F191" s="171">
        <v>-0.1</v>
      </c>
      <c r="G191" s="171">
        <v>10.5</v>
      </c>
      <c r="H191" s="171">
        <v>4.0999999999999996</v>
      </c>
      <c r="I191" s="171">
        <v>1.3</v>
      </c>
      <c r="K191" s="171">
        <v>-5.0999999999999996</v>
      </c>
      <c r="X191" s="229"/>
      <c r="Y191" s="229"/>
      <c r="Z191" s="229"/>
    </row>
    <row r="192" spans="3:26" ht="10.5" hidden="1">
      <c r="C192" s="1338"/>
      <c r="D192" s="172" t="str">
        <f>IF(Indice_index!$Z$1=1,"setembro","September")</f>
        <v>September</v>
      </c>
      <c r="E192" s="171">
        <v>3</v>
      </c>
      <c r="F192" s="171">
        <v>0.1</v>
      </c>
      <c r="G192" s="171">
        <v>10.5</v>
      </c>
      <c r="H192" s="171">
        <v>4.4000000000000004</v>
      </c>
      <c r="I192" s="171">
        <v>-2.2999999999999998</v>
      </c>
      <c r="K192" s="171">
        <v>-5</v>
      </c>
      <c r="X192" s="229"/>
      <c r="Y192" s="229"/>
      <c r="Z192" s="229"/>
    </row>
    <row r="193" spans="3:26" ht="10.5" hidden="1">
      <c r="C193" s="1338"/>
      <c r="D193" s="172" t="str">
        <f>IF(Indice_index!$Z$1=1,"outubro","October")</f>
        <v>October</v>
      </c>
      <c r="E193" s="171">
        <v>3.2</v>
      </c>
      <c r="F193" s="171">
        <v>0.1</v>
      </c>
      <c r="G193" s="171">
        <v>10.6</v>
      </c>
      <c r="H193" s="171">
        <v>4.5</v>
      </c>
      <c r="I193" s="171">
        <v>-3.4</v>
      </c>
      <c r="K193" s="171">
        <v>-5</v>
      </c>
      <c r="X193" s="229"/>
      <c r="Y193" s="229"/>
      <c r="Z193" s="229"/>
    </row>
    <row r="194" spans="3:26" ht="10.5" hidden="1">
      <c r="C194" s="1338"/>
      <c r="D194" s="172" t="str">
        <f>IF(Indice_index!$Z$1=1,"novembro","November")</f>
        <v>November</v>
      </c>
      <c r="E194" s="171">
        <v>3.1</v>
      </c>
      <c r="F194" s="171">
        <v>-0.2</v>
      </c>
      <c r="G194" s="171">
        <v>10.4</v>
      </c>
      <c r="H194" s="171">
        <v>4.4000000000000004</v>
      </c>
      <c r="I194" s="171">
        <v>-41.2</v>
      </c>
      <c r="K194" s="171">
        <v>-5</v>
      </c>
      <c r="X194" s="229"/>
      <c r="Y194" s="229"/>
      <c r="Z194" s="229"/>
    </row>
    <row r="195" spans="3:26" ht="10.5" hidden="1">
      <c r="C195" s="1338"/>
      <c r="D195" s="172" t="str">
        <f>IF(Indice_index!$Z$1=1,"dezembro","December")</f>
        <v>December</v>
      </c>
      <c r="E195" s="171">
        <v>3</v>
      </c>
      <c r="F195" s="171">
        <v>-0.2</v>
      </c>
      <c r="G195" s="171">
        <v>10.199999999999999</v>
      </c>
      <c r="H195" s="171">
        <v>4.2</v>
      </c>
      <c r="I195" s="171">
        <v>0.7</v>
      </c>
      <c r="K195" s="171">
        <v>-5</v>
      </c>
      <c r="X195" s="229"/>
      <c r="Y195" s="229"/>
      <c r="Z195" s="229"/>
    </row>
    <row r="196" spans="3:26" ht="10.5" hidden="1">
      <c r="C196" s="1341" t="s">
        <v>13</v>
      </c>
      <c r="D196" s="171"/>
      <c r="E196" s="171"/>
      <c r="F196" s="171"/>
      <c r="G196" s="171"/>
      <c r="H196" s="171"/>
      <c r="I196" s="171"/>
      <c r="K196" s="171"/>
      <c r="X196" s="229"/>
      <c r="Y196" s="229"/>
      <c r="Z196" s="229"/>
    </row>
    <row r="197" spans="3:26" ht="10.5" hidden="1">
      <c r="C197" s="1338"/>
      <c r="D197" s="172" t="str">
        <f>IF(Indice_index!$Z$1=1,"janeiro","January")</f>
        <v>January</v>
      </c>
      <c r="E197" s="171">
        <v>3</v>
      </c>
      <c r="F197" s="171">
        <v>-0.4</v>
      </c>
      <c r="G197" s="171">
        <v>10.1</v>
      </c>
      <c r="H197" s="171">
        <v>4.2</v>
      </c>
      <c r="I197" s="171">
        <v>-1.9</v>
      </c>
      <c r="K197" s="171">
        <v>-4.7</v>
      </c>
      <c r="M197" s="229"/>
      <c r="X197" s="229"/>
      <c r="Y197" s="229"/>
      <c r="Z197" s="229"/>
    </row>
    <row r="198" spans="3:26" ht="10.5" hidden="1">
      <c r="C198" s="1338"/>
      <c r="D198" s="172" t="str">
        <f>IF(Indice_index!$Z$1=1,"fevereiro","February")</f>
        <v>February</v>
      </c>
      <c r="E198" s="171">
        <v>3.1</v>
      </c>
      <c r="F198" s="171">
        <v>-0.5</v>
      </c>
      <c r="G198" s="171">
        <v>9.9</v>
      </c>
      <c r="H198" s="171">
        <v>4.2</v>
      </c>
      <c r="I198" s="171">
        <v>-1.2</v>
      </c>
      <c r="K198" s="171">
        <v>-4.5</v>
      </c>
      <c r="X198" s="229"/>
      <c r="Y198" s="229"/>
      <c r="Z198" s="229"/>
    </row>
    <row r="199" spans="3:26" ht="10.5" hidden="1">
      <c r="C199" s="1338"/>
      <c r="D199" s="172" t="str">
        <f>IF(Indice_index!$Z$1=1,"março","March")</f>
        <v>March</v>
      </c>
      <c r="E199" s="171">
        <v>3.1</v>
      </c>
      <c r="F199" s="171">
        <v>-0.6</v>
      </c>
      <c r="G199" s="171">
        <v>9.6999999999999993</v>
      </c>
      <c r="H199" s="171">
        <v>4.2</v>
      </c>
      <c r="I199" s="171">
        <v>-1.2</v>
      </c>
      <c r="K199" s="171">
        <v>-4.2</v>
      </c>
      <c r="X199" s="229"/>
      <c r="Y199" s="229"/>
      <c r="Z199" s="229"/>
    </row>
    <row r="200" spans="3:26" ht="10.5" hidden="1">
      <c r="C200" s="1338"/>
      <c r="D200" s="172" t="str">
        <f>IF(Indice_index!$Z$1=1,"abril","April")</f>
        <v>April</v>
      </c>
      <c r="E200" s="171">
        <v>3</v>
      </c>
      <c r="F200" s="171">
        <v>-0.8</v>
      </c>
      <c r="G200" s="171">
        <v>9.6</v>
      </c>
      <c r="H200" s="171">
        <v>4.0999999999999996</v>
      </c>
      <c r="I200" s="171">
        <v>-1</v>
      </c>
      <c r="K200" s="171">
        <v>-4</v>
      </c>
      <c r="X200" s="229"/>
      <c r="Y200" s="229"/>
      <c r="Z200" s="229"/>
    </row>
    <row r="201" spans="3:26" ht="10.5" hidden="1">
      <c r="C201" s="1338"/>
      <c r="D201" s="172" t="str">
        <f>IF(Indice_index!$Z$1=1,"maio","May")</f>
        <v>May</v>
      </c>
      <c r="E201" s="171">
        <v>2.9</v>
      </c>
      <c r="F201" s="171">
        <v>-0.9</v>
      </c>
      <c r="G201" s="171">
        <v>10.7</v>
      </c>
      <c r="H201" s="171">
        <v>4.3</v>
      </c>
      <c r="I201" s="171">
        <v>-1</v>
      </c>
      <c r="K201" s="171">
        <v>-3.7</v>
      </c>
      <c r="X201" s="229"/>
      <c r="Y201" s="229"/>
      <c r="Z201" s="229"/>
    </row>
    <row r="202" spans="3:26" ht="10.5" hidden="1">
      <c r="C202" s="1338"/>
      <c r="D202" s="172" t="str">
        <f>IF(Indice_index!$Z$1=1,"junho","June")</f>
        <v>June</v>
      </c>
      <c r="E202" s="171">
        <v>2.9</v>
      </c>
      <c r="F202" s="171">
        <v>-0.8</v>
      </c>
      <c r="G202" s="171">
        <v>10.6</v>
      </c>
      <c r="H202" s="171">
        <v>4.2</v>
      </c>
      <c r="I202" s="171">
        <v>-1.3</v>
      </c>
      <c r="K202" s="171">
        <v>-3.4</v>
      </c>
      <c r="X202" s="229"/>
      <c r="Y202" s="229"/>
      <c r="Z202" s="229"/>
    </row>
    <row r="203" spans="3:26" ht="10.5" hidden="1">
      <c r="C203" s="1338"/>
      <c r="D203" s="172" t="str">
        <f>IF(Indice_index!$Z$1=1,"julho","July")</f>
        <v>July</v>
      </c>
      <c r="E203" s="171">
        <v>2.6</v>
      </c>
      <c r="F203" s="171">
        <v>-0.8</v>
      </c>
      <c r="G203" s="171">
        <v>1.8</v>
      </c>
      <c r="H203" s="171">
        <v>2</v>
      </c>
      <c r="I203" s="171">
        <v>0.2</v>
      </c>
      <c r="K203" s="171">
        <v>-3.1</v>
      </c>
      <c r="X203" s="229"/>
      <c r="Y203" s="229"/>
      <c r="Z203" s="229"/>
    </row>
    <row r="204" spans="3:26" ht="10.5" hidden="1">
      <c r="C204" s="1338"/>
      <c r="D204" s="172" t="str">
        <f>IF(Indice_index!$Z$1=1,"agosto","August")</f>
        <v>August</v>
      </c>
      <c r="E204" s="171">
        <v>2.2000000000000002</v>
      </c>
      <c r="F204" s="171">
        <v>-0.9</v>
      </c>
      <c r="G204" s="171">
        <v>1.8</v>
      </c>
      <c r="H204" s="171">
        <v>1.7</v>
      </c>
      <c r="I204" s="171">
        <v>-3.6</v>
      </c>
      <c r="K204" s="171">
        <v>-3</v>
      </c>
      <c r="X204" s="229"/>
      <c r="Y204" s="229"/>
      <c r="Z204" s="229"/>
    </row>
    <row r="205" spans="3:26" ht="10.5" hidden="1">
      <c r="C205" s="1338"/>
      <c r="D205" s="172" t="str">
        <f>IF(Indice_index!$Z$1=1,"setembro","September")</f>
        <v>September</v>
      </c>
      <c r="E205" s="171">
        <v>1.8</v>
      </c>
      <c r="F205" s="171">
        <v>-1.1000000000000001</v>
      </c>
      <c r="G205" s="171">
        <v>1.9</v>
      </c>
      <c r="H205" s="171">
        <v>1.5</v>
      </c>
      <c r="I205" s="171">
        <v>0.1</v>
      </c>
      <c r="K205" s="171">
        <v>-2.6</v>
      </c>
      <c r="X205" s="229"/>
      <c r="Y205" s="229"/>
      <c r="Z205" s="229"/>
    </row>
    <row r="206" spans="3:26" ht="10.5" hidden="1">
      <c r="C206" s="1338"/>
      <c r="D206" s="172" t="str">
        <f>IF(Indice_index!$Z$1=1,"outubro","October")</f>
        <v>October</v>
      </c>
      <c r="E206" s="171">
        <v>1.5</v>
      </c>
      <c r="F206" s="171">
        <v>-1</v>
      </c>
      <c r="G206" s="171">
        <v>1.7</v>
      </c>
      <c r="H206" s="171">
        <v>1.3</v>
      </c>
      <c r="I206" s="171">
        <v>0.1</v>
      </c>
      <c r="K206" s="171">
        <v>-2.5</v>
      </c>
      <c r="X206" s="229"/>
      <c r="Y206" s="229"/>
      <c r="Z206" s="229"/>
    </row>
    <row r="207" spans="3:26" ht="10.5" hidden="1">
      <c r="C207" s="1338"/>
      <c r="D207" s="172" t="str">
        <f>IF(Indice_index!$Z$1=1,"novembro","November")</f>
        <v>November</v>
      </c>
      <c r="E207" s="171">
        <v>1.3</v>
      </c>
      <c r="F207" s="171">
        <v>-1</v>
      </c>
      <c r="G207" s="171">
        <v>1.7</v>
      </c>
      <c r="H207" s="171">
        <v>1.1000000000000001</v>
      </c>
      <c r="I207" s="171">
        <v>-0.4</v>
      </c>
      <c r="K207" s="171">
        <v>-2.2999999999999998</v>
      </c>
      <c r="X207" s="229"/>
      <c r="Y207" s="229"/>
      <c r="Z207" s="229"/>
    </row>
    <row r="208" spans="3:26" ht="10.5" hidden="1">
      <c r="C208" s="1338"/>
      <c r="D208" s="172" t="str">
        <f>IF(Indice_index!$Z$1=1,"dezembro","December")</f>
        <v>December</v>
      </c>
      <c r="E208" s="171">
        <v>1</v>
      </c>
      <c r="F208" s="171">
        <v>-0.9</v>
      </c>
      <c r="G208" s="171">
        <v>1.7</v>
      </c>
      <c r="H208" s="171">
        <v>1</v>
      </c>
      <c r="I208" s="171">
        <v>-6.6</v>
      </c>
      <c r="K208" s="171">
        <v>-2.2999999999999998</v>
      </c>
      <c r="X208" s="229"/>
      <c r="Y208" s="229"/>
      <c r="Z208" s="229"/>
    </row>
    <row r="209" spans="3:27" ht="10.5" hidden="1">
      <c r="C209" s="1339">
        <v>2016</v>
      </c>
      <c r="D209" s="171"/>
      <c r="E209" s="171"/>
      <c r="F209" s="171"/>
      <c r="G209" s="171"/>
      <c r="H209" s="171"/>
      <c r="I209" s="171"/>
      <c r="K209" s="171"/>
      <c r="X209" s="229"/>
      <c r="Y209" s="229"/>
      <c r="Z209" s="229"/>
    </row>
    <row r="210" spans="3:27" ht="10.5" hidden="1">
      <c r="C210" s="1338"/>
      <c r="D210" s="172" t="str">
        <f>IF(Indice_index!$Z$1=1,"janeiro","January")</f>
        <v>January</v>
      </c>
      <c r="E210" s="171">
        <v>0.7</v>
      </c>
      <c r="F210" s="171">
        <v>-0.9</v>
      </c>
      <c r="G210" s="171">
        <v>1.6</v>
      </c>
      <c r="H210" s="171">
        <v>0.8</v>
      </c>
      <c r="I210" s="171">
        <v>0.2</v>
      </c>
      <c r="K210" s="171">
        <v>-2.2000000000000002</v>
      </c>
      <c r="X210" s="229"/>
      <c r="Y210" s="229"/>
      <c r="Z210" s="229"/>
    </row>
    <row r="211" spans="3:27" ht="10.5" hidden="1">
      <c r="C211" s="1338"/>
      <c r="D211" s="172" t="str">
        <f>IF(Indice_index!$Z$1=1,"fevereiro","February")</f>
        <v>February</v>
      </c>
      <c r="E211" s="171">
        <v>0.5</v>
      </c>
      <c r="F211" s="171">
        <v>-0.9</v>
      </c>
      <c r="G211" s="171">
        <v>1.7</v>
      </c>
      <c r="H211" s="171">
        <v>0.6</v>
      </c>
      <c r="I211" s="171">
        <v>2.5</v>
      </c>
      <c r="K211" s="171">
        <v>-2.2000000000000002</v>
      </c>
      <c r="X211" s="229"/>
      <c r="Y211" s="229"/>
      <c r="Z211" s="229"/>
    </row>
    <row r="212" spans="3:27" ht="10.5" hidden="1">
      <c r="C212" s="1338"/>
      <c r="D212" s="172" t="str">
        <f>IF(Indice_index!$Z$1=1,"março","March")</f>
        <v>March</v>
      </c>
      <c r="E212" s="171">
        <v>0.3</v>
      </c>
      <c r="F212" s="171">
        <v>-0.8</v>
      </c>
      <c r="G212" s="171">
        <v>1.8</v>
      </c>
      <c r="H212" s="171">
        <v>0.5</v>
      </c>
      <c r="I212" s="171">
        <v>-0.3</v>
      </c>
      <c r="K212" s="171">
        <v>-2.2000000000000002</v>
      </c>
      <c r="X212" s="229"/>
      <c r="Y212" s="229"/>
      <c r="Z212" s="229"/>
    </row>
    <row r="213" spans="3:27" ht="10.5" hidden="1">
      <c r="C213" s="1338"/>
      <c r="D213" s="172" t="str">
        <f>IF(Indice_index!$Z$1=1,"abril","April")</f>
        <v>April</v>
      </c>
      <c r="E213" s="171">
        <v>0.1</v>
      </c>
      <c r="F213" s="171">
        <v>-0.8</v>
      </c>
      <c r="G213" s="171">
        <v>1.7</v>
      </c>
      <c r="H213" s="171">
        <v>0.4</v>
      </c>
      <c r="I213" s="171">
        <v>-0.1</v>
      </c>
      <c r="K213" s="171">
        <v>-2.1</v>
      </c>
      <c r="X213" s="229"/>
      <c r="Y213" s="229"/>
      <c r="Z213" s="229"/>
    </row>
    <row r="214" spans="3:27" ht="10.5" hidden="1">
      <c r="C214" s="1338"/>
      <c r="D214" s="172" t="str">
        <f>IF(Indice_index!$Z$1=1,"maio","May")</f>
        <v>May</v>
      </c>
      <c r="E214" s="171">
        <v>-0.1</v>
      </c>
      <c r="F214" s="171">
        <v>-0.8</v>
      </c>
      <c r="G214" s="171">
        <v>0.5</v>
      </c>
      <c r="H214" s="171">
        <v>0</v>
      </c>
      <c r="I214" s="171">
        <v>-0.3</v>
      </c>
      <c r="K214" s="171">
        <v>-2.2000000000000002</v>
      </c>
      <c r="X214" s="229"/>
      <c r="Y214" s="229"/>
      <c r="Z214" s="229"/>
    </row>
    <row r="215" spans="3:27" ht="10.5" hidden="1">
      <c r="C215" s="1338"/>
      <c r="D215" s="172" t="str">
        <f>IF(Indice_index!$Z$1=1,"junho","June")</f>
        <v>June</v>
      </c>
      <c r="E215" s="171">
        <v>-0.3</v>
      </c>
      <c r="F215" s="171">
        <v>-0.9</v>
      </c>
      <c r="G215" s="171">
        <v>0.5</v>
      </c>
      <c r="H215" s="171">
        <v>-0.1</v>
      </c>
      <c r="I215" s="171">
        <v>1.5</v>
      </c>
      <c r="K215" s="171">
        <v>-2.2000000000000002</v>
      </c>
      <c r="X215" s="229"/>
      <c r="Y215" s="229"/>
      <c r="Z215" s="229"/>
    </row>
    <row r="216" spans="3:27" ht="10.5" hidden="1">
      <c r="C216" s="1338"/>
      <c r="D216" s="172" t="str">
        <f>IF(Indice_index!$Z$1=1,"julho","July")</f>
        <v>July</v>
      </c>
      <c r="E216" s="171">
        <v>-0.3</v>
      </c>
      <c r="F216" s="171">
        <v>-0.9</v>
      </c>
      <c r="G216" s="171">
        <v>0.4</v>
      </c>
      <c r="H216" s="171">
        <v>-0.2</v>
      </c>
      <c r="I216" s="171">
        <v>1.3</v>
      </c>
      <c r="K216" s="171">
        <v>-2.1</v>
      </c>
      <c r="X216" s="229"/>
      <c r="Y216" s="229"/>
      <c r="Z216" s="229"/>
    </row>
    <row r="217" spans="3:27" ht="10.5" hidden="1">
      <c r="C217" s="1338"/>
      <c r="D217" s="172" t="str">
        <f>IF(Indice_index!$Z$1=1,"agosto","August")</f>
        <v>August</v>
      </c>
      <c r="E217" s="171">
        <v>-0.5</v>
      </c>
      <c r="F217" s="171">
        <v>-0.9</v>
      </c>
      <c r="G217" s="171">
        <v>0.3</v>
      </c>
      <c r="H217" s="171">
        <v>-0.3</v>
      </c>
      <c r="I217" s="171">
        <v>2.4</v>
      </c>
      <c r="K217" s="171">
        <v>-2.1</v>
      </c>
      <c r="X217" s="229"/>
      <c r="Y217" s="229"/>
      <c r="Z217" s="229"/>
    </row>
    <row r="218" spans="3:27" ht="10.5" hidden="1">
      <c r="C218" s="1338"/>
      <c r="D218" s="172" t="str">
        <f>IF(Indice_index!$Z$1=1,"setembro","September")</f>
        <v>September</v>
      </c>
      <c r="E218" s="171">
        <v>-0.6</v>
      </c>
      <c r="F218" s="171">
        <v>-0.9</v>
      </c>
      <c r="G218" s="171">
        <v>0.2</v>
      </c>
      <c r="H218" s="171">
        <v>-0.4</v>
      </c>
      <c r="I218" s="171">
        <v>1.7</v>
      </c>
      <c r="K218" s="171">
        <v>-2</v>
      </c>
      <c r="X218" s="229"/>
      <c r="Y218" s="229"/>
      <c r="Z218" s="229"/>
    </row>
    <row r="219" spans="3:27" ht="10.5" hidden="1">
      <c r="C219" s="1338"/>
      <c r="D219" s="172" t="str">
        <f>IF(Indice_index!$Z$1=1,"outubro","October")</f>
        <v>October</v>
      </c>
      <c r="E219" s="171">
        <v>-0.7</v>
      </c>
      <c r="F219" s="171">
        <v>-0.9</v>
      </c>
      <c r="G219" s="171">
        <v>0.2</v>
      </c>
      <c r="H219" s="171">
        <v>-0.5</v>
      </c>
      <c r="I219" s="171">
        <v>1.7</v>
      </c>
      <c r="K219" s="171">
        <v>-2</v>
      </c>
      <c r="X219" s="229"/>
      <c r="Y219" s="229"/>
      <c r="Z219" s="229"/>
    </row>
    <row r="220" spans="3:27" ht="10.5" hidden="1">
      <c r="C220" s="1338"/>
      <c r="D220" s="172" t="str">
        <f>IF(Indice_index!$Z$1=1,"novembro","November")</f>
        <v>November</v>
      </c>
      <c r="E220" s="171">
        <v>-0.7</v>
      </c>
      <c r="F220" s="171">
        <v>-0.9</v>
      </c>
      <c r="G220" s="171">
        <v>0.1</v>
      </c>
      <c r="H220" s="171">
        <v>-0.5</v>
      </c>
      <c r="I220" s="171">
        <v>1.9</v>
      </c>
      <c r="K220" s="171">
        <v>-2</v>
      </c>
      <c r="X220" s="229"/>
      <c r="Y220" s="229"/>
      <c r="Z220" s="229"/>
    </row>
    <row r="221" spans="3:27" ht="10.5" hidden="1">
      <c r="C221" s="1338"/>
      <c r="D221" s="172" t="str">
        <f>IF(Indice_index!$Z$1=1,"dezembro","December")</f>
        <v>December</v>
      </c>
      <c r="E221" s="171">
        <v>-0.7</v>
      </c>
      <c r="F221" s="171">
        <v>-1</v>
      </c>
      <c r="G221" s="171">
        <v>0.1</v>
      </c>
      <c r="H221" s="171">
        <v>-0.6</v>
      </c>
      <c r="I221" s="171">
        <v>4.5999999999999996</v>
      </c>
      <c r="K221" s="171">
        <v>-2</v>
      </c>
      <c r="X221" s="229"/>
      <c r="Y221" s="229"/>
      <c r="Z221" s="229"/>
    </row>
    <row r="222" spans="3:27" ht="10.5" hidden="1">
      <c r="C222" s="1339">
        <v>2017</v>
      </c>
      <c r="D222" s="171"/>
      <c r="E222" s="171"/>
      <c r="F222" s="171"/>
      <c r="G222" s="171"/>
      <c r="H222" s="171"/>
      <c r="I222" s="171"/>
      <c r="K222" s="171"/>
      <c r="X222" s="229"/>
      <c r="Y222" s="229"/>
      <c r="Z222" s="229"/>
    </row>
    <row r="223" spans="3:27" s="171" customFormat="1" ht="10.5" hidden="1">
      <c r="C223" s="1219"/>
      <c r="D223" s="172" t="str">
        <f>IF(Indice_index!$Z$1=1,"janeiro","January")</f>
        <v>January</v>
      </c>
      <c r="E223" s="171">
        <v>-0.7</v>
      </c>
      <c r="F223" s="171">
        <v>-1</v>
      </c>
      <c r="G223" s="171">
        <v>0.1</v>
      </c>
      <c r="H223" s="171">
        <v>-0.5</v>
      </c>
      <c r="I223" s="171">
        <v>-2</v>
      </c>
      <c r="K223" s="171">
        <v>-2.1</v>
      </c>
      <c r="M223" s="229"/>
      <c r="Q223" s="229"/>
      <c r="R223" s="229"/>
      <c r="S223" s="229"/>
      <c r="AA223" s="172"/>
    </row>
    <row r="224" spans="3:27" s="171" customFormat="1" ht="10.5" hidden="1">
      <c r="C224" s="1219"/>
      <c r="D224" s="172" t="str">
        <f>IF(Indice_index!$Z$1=1,"fevereiro","February")</f>
        <v>February</v>
      </c>
      <c r="E224" s="171">
        <v>-0.8</v>
      </c>
      <c r="F224" s="171">
        <v>-1</v>
      </c>
      <c r="G224" s="171">
        <v>0.1</v>
      </c>
      <c r="H224" s="171">
        <v>-0.6</v>
      </c>
      <c r="I224" s="171">
        <v>-4.7</v>
      </c>
      <c r="K224" s="171">
        <v>-2.1</v>
      </c>
      <c r="AA224" s="172"/>
    </row>
    <row r="225" spans="3:27" ht="10.5" hidden="1">
      <c r="C225" s="1339"/>
      <c r="D225" s="172" t="str">
        <f>IF(Indice_index!$Z$1=1,"março","March")</f>
        <v>March</v>
      </c>
      <c r="E225" s="171">
        <v>-0.9</v>
      </c>
      <c r="F225" s="171">
        <v>-1.1000000000000001</v>
      </c>
      <c r="G225" s="171">
        <v>0.1</v>
      </c>
      <c r="H225" s="171">
        <v>-0.7</v>
      </c>
      <c r="I225" s="171">
        <v>-1</v>
      </c>
      <c r="K225" s="171">
        <v>-2</v>
      </c>
      <c r="X225" s="229"/>
      <c r="Y225" s="229"/>
      <c r="Z225" s="229"/>
    </row>
    <row r="226" spans="3:27" ht="10.5" hidden="1">
      <c r="C226" s="1339"/>
      <c r="D226" s="172" t="str">
        <f>IF(Indice_index!$Z$1=1,"abril","April")</f>
        <v>April</v>
      </c>
      <c r="E226" s="171">
        <v>-1</v>
      </c>
      <c r="F226" s="171">
        <v>-1.1000000000000001</v>
      </c>
      <c r="G226" s="171">
        <v>0.1</v>
      </c>
      <c r="H226" s="171">
        <v>-0.7</v>
      </c>
      <c r="I226" s="171">
        <v>-2</v>
      </c>
      <c r="K226" s="171">
        <v>-2</v>
      </c>
      <c r="X226" s="229"/>
      <c r="Y226" s="229"/>
      <c r="Z226" s="229"/>
    </row>
    <row r="227" spans="3:27" ht="10.5" hidden="1">
      <c r="C227" s="1339"/>
      <c r="D227" s="172" t="str">
        <f>IF(Indice_index!$Z$1=1,"maio","May")</f>
        <v>May</v>
      </c>
      <c r="E227" s="171">
        <v>-0.9</v>
      </c>
      <c r="F227" s="171">
        <v>-1.1000000000000001</v>
      </c>
      <c r="G227" s="171">
        <v>0.1</v>
      </c>
      <c r="H227" s="171">
        <v>-0.6</v>
      </c>
      <c r="I227" s="171">
        <v>-1.8</v>
      </c>
      <c r="K227" s="171">
        <v>-2</v>
      </c>
      <c r="X227" s="229"/>
      <c r="Y227" s="229"/>
      <c r="Z227" s="229"/>
    </row>
    <row r="228" spans="3:27" ht="10.5" hidden="1">
      <c r="C228" s="1339"/>
      <c r="D228" s="172" t="str">
        <f>IF(Indice_index!$Z$1=1,"junho","June")</f>
        <v>June</v>
      </c>
      <c r="E228" s="171">
        <v>-0.8</v>
      </c>
      <c r="F228" s="171">
        <v>-1.1000000000000001</v>
      </c>
      <c r="G228" s="171">
        <v>0.1</v>
      </c>
      <c r="H228" s="171">
        <v>-0.6</v>
      </c>
      <c r="I228" s="171">
        <v>-3.4</v>
      </c>
      <c r="K228" s="171">
        <v>-2.1</v>
      </c>
      <c r="X228" s="229"/>
      <c r="Y228" s="229"/>
      <c r="Z228" s="229"/>
    </row>
    <row r="229" spans="3:27" ht="10.5" hidden="1">
      <c r="C229" s="1339"/>
      <c r="D229" s="172" t="str">
        <f>IF(Indice_index!$Z$1=1,"julho","July")</f>
        <v>July</v>
      </c>
      <c r="E229" s="171">
        <v>-0.5</v>
      </c>
      <c r="F229" s="171">
        <v>-1.1000000000000001</v>
      </c>
      <c r="G229" s="171">
        <v>0.1</v>
      </c>
      <c r="H229" s="171">
        <v>-0.4</v>
      </c>
      <c r="I229" s="171">
        <v>-1.5</v>
      </c>
      <c r="K229" s="171">
        <v>-2.2000000000000002</v>
      </c>
      <c r="X229" s="229"/>
      <c r="Y229" s="229"/>
      <c r="Z229" s="229"/>
    </row>
    <row r="230" spans="3:27" ht="10.5" hidden="1">
      <c r="C230" s="1339"/>
      <c r="D230" s="172" t="str">
        <f>IF(Indice_index!$Z$1=1,"agosto","August")</f>
        <v>August</v>
      </c>
      <c r="E230" s="171">
        <v>-0.4</v>
      </c>
      <c r="F230" s="171">
        <v>-1.2</v>
      </c>
      <c r="G230" s="171">
        <v>0.1</v>
      </c>
      <c r="H230" s="171">
        <v>-0.4</v>
      </c>
      <c r="I230" s="171">
        <v>-3.3</v>
      </c>
      <c r="K230" s="171">
        <v>-2.1</v>
      </c>
      <c r="X230" s="229"/>
      <c r="Y230" s="229"/>
      <c r="Z230" s="229"/>
    </row>
    <row r="231" spans="3:27" ht="10.5" hidden="1">
      <c r="C231" s="1339"/>
      <c r="D231" s="172" t="str">
        <f>IF(Indice_index!$Z$1=1,"setembro","September")</f>
        <v>September</v>
      </c>
      <c r="E231" s="171">
        <v>-0.3</v>
      </c>
      <c r="F231" s="171">
        <v>-1.2</v>
      </c>
      <c r="G231" s="171">
        <v>0.1</v>
      </c>
      <c r="H231" s="171">
        <v>-0.3</v>
      </c>
      <c r="I231" s="171">
        <v>-3</v>
      </c>
      <c r="K231" s="171">
        <v>-2.2000000000000002</v>
      </c>
      <c r="X231" s="229"/>
      <c r="Y231" s="229"/>
      <c r="Z231" s="229"/>
    </row>
    <row r="232" spans="3:27" ht="10.5" hidden="1">
      <c r="C232" s="1339"/>
      <c r="D232" s="172" t="str">
        <f>IF(Indice_index!$Z$1=1,"outubro","October")</f>
        <v>October</v>
      </c>
      <c r="E232" s="171">
        <v>-0.1</v>
      </c>
      <c r="F232" s="171">
        <v>-1.3</v>
      </c>
      <c r="G232" s="171">
        <v>2.2999999999999998</v>
      </c>
      <c r="H232" s="171">
        <v>0.3</v>
      </c>
      <c r="I232" s="171">
        <v>-3.6</v>
      </c>
      <c r="K232" s="171">
        <v>-2.2000000000000002</v>
      </c>
      <c r="X232" s="229"/>
      <c r="Y232" s="229"/>
      <c r="Z232" s="229"/>
    </row>
    <row r="233" spans="3:27" ht="10.5" hidden="1">
      <c r="C233" s="1338"/>
      <c r="D233" s="172" t="str">
        <f>IF(Indice_index!$Z$1=1,"novembro","November")</f>
        <v>November</v>
      </c>
      <c r="E233" s="171">
        <v>0</v>
      </c>
      <c r="F233" s="171">
        <v>-1.2</v>
      </c>
      <c r="G233" s="171">
        <v>2.2999999999999998</v>
      </c>
      <c r="H233" s="171">
        <v>0.5</v>
      </c>
      <c r="I233" s="171">
        <v>41.7</v>
      </c>
      <c r="J233" s="171"/>
      <c r="K233" s="171">
        <v>-2.2000000000000002</v>
      </c>
      <c r="X233" s="229"/>
      <c r="Y233" s="229"/>
      <c r="Z233" s="229"/>
    </row>
    <row r="234" spans="3:27" ht="10.5" hidden="1">
      <c r="C234" s="1338"/>
      <c r="D234" s="172" t="str">
        <f>IF(Indice_index!$Z$1=1,"dezembro","December")</f>
        <v>December</v>
      </c>
      <c r="E234" s="171">
        <v>0.1</v>
      </c>
      <c r="F234" s="171">
        <v>-1.3</v>
      </c>
      <c r="G234" s="171">
        <v>2.4</v>
      </c>
      <c r="H234" s="171">
        <v>0.5</v>
      </c>
      <c r="I234" s="171">
        <v>-2.2999999999999998</v>
      </c>
      <c r="K234" s="171">
        <v>-2.1</v>
      </c>
      <c r="X234" s="229"/>
      <c r="Y234" s="229"/>
      <c r="Z234" s="229"/>
    </row>
    <row r="235" spans="3:27" ht="15" hidden="1" customHeight="1">
      <c r="C235" s="1339">
        <v>2018</v>
      </c>
      <c r="D235" s="171"/>
      <c r="E235" s="171"/>
      <c r="F235" s="171"/>
      <c r="G235" s="171"/>
      <c r="H235" s="171"/>
      <c r="I235" s="171"/>
      <c r="K235" s="171"/>
      <c r="X235" s="229"/>
      <c r="Y235" s="229"/>
      <c r="Z235" s="229"/>
    </row>
    <row r="236" spans="3:27" s="171" customFormat="1" ht="15" hidden="1" customHeight="1">
      <c r="C236" s="1219"/>
      <c r="D236" s="172" t="str">
        <f>IF(Indice_index!$Z$1=1,"janeiro","January")</f>
        <v>January</v>
      </c>
      <c r="E236" s="229">
        <v>0</v>
      </c>
      <c r="F236" s="229">
        <v>-1.3</v>
      </c>
      <c r="G236" s="229">
        <v>2.4</v>
      </c>
      <c r="H236" s="229">
        <v>0.5</v>
      </c>
      <c r="I236" s="229">
        <v>-2.4</v>
      </c>
      <c r="J236" s="229"/>
      <c r="K236" s="229">
        <v>-2.1</v>
      </c>
      <c r="M236" s="231"/>
      <c r="N236" s="231"/>
      <c r="O236" s="231"/>
      <c r="P236" s="231"/>
      <c r="Q236" s="231"/>
      <c r="R236" s="231"/>
      <c r="S236" s="231"/>
      <c r="AA236" s="172"/>
    </row>
    <row r="237" spans="3:27" s="171" customFormat="1" ht="15" hidden="1" customHeight="1">
      <c r="C237" s="1219"/>
      <c r="D237" s="172" t="str">
        <f>IF(Indice_index!$Z$1=1,"fevereiro","February")</f>
        <v>February</v>
      </c>
      <c r="E237" s="229">
        <v>0.1</v>
      </c>
      <c r="F237" s="229">
        <v>-1.3</v>
      </c>
      <c r="G237" s="229">
        <v>2.4</v>
      </c>
      <c r="H237" s="229">
        <v>0.5</v>
      </c>
      <c r="I237" s="229">
        <v>-1.5</v>
      </c>
      <c r="J237" s="229"/>
      <c r="K237" s="229">
        <v>-2.2000000000000002</v>
      </c>
      <c r="M237" s="231"/>
      <c r="N237" s="231"/>
      <c r="O237" s="231"/>
      <c r="P237" s="231"/>
      <c r="Q237" s="231"/>
      <c r="R237" s="231"/>
      <c r="S237" s="231"/>
      <c r="AA237" s="172"/>
    </row>
    <row r="238" spans="3:27" ht="15" hidden="1" customHeight="1">
      <c r="C238" s="1339"/>
      <c r="D238" s="172" t="str">
        <f>IF(Indice_index!$Z$1=1,"março","March")</f>
        <v>March</v>
      </c>
      <c r="E238" s="229">
        <v>0.2</v>
      </c>
      <c r="F238" s="229">
        <v>-1.3</v>
      </c>
      <c r="G238" s="229">
        <v>2.2000000000000002</v>
      </c>
      <c r="H238" s="229">
        <v>0.5</v>
      </c>
      <c r="I238" s="229">
        <v>-3.5</v>
      </c>
      <c r="K238" s="229">
        <v>-2.2000000000000002</v>
      </c>
      <c r="M238" s="231"/>
      <c r="N238" s="231"/>
      <c r="O238" s="231"/>
      <c r="P238" s="231"/>
      <c r="Q238" s="231"/>
      <c r="R238" s="231"/>
      <c r="S238" s="231"/>
      <c r="X238" s="229"/>
      <c r="Y238" s="229"/>
      <c r="Z238" s="229"/>
    </row>
    <row r="239" spans="3:27" ht="15" hidden="1" customHeight="1">
      <c r="C239" s="1339"/>
      <c r="D239" s="172" t="str">
        <f>IF(Indice_index!$Z$1=1,"abril","April")</f>
        <v>April</v>
      </c>
      <c r="E239" s="229">
        <v>0.2</v>
      </c>
      <c r="F239" s="229">
        <v>-1.4</v>
      </c>
      <c r="G239" s="229">
        <v>2</v>
      </c>
      <c r="H239" s="229">
        <v>0.4</v>
      </c>
      <c r="I239" s="229">
        <v>-2.2999999999999998</v>
      </c>
      <c r="K239" s="229">
        <v>-2.2000000000000002</v>
      </c>
      <c r="M239" s="231"/>
      <c r="N239" s="231"/>
      <c r="O239" s="231"/>
      <c r="P239" s="231"/>
      <c r="Q239" s="231"/>
      <c r="R239" s="231"/>
      <c r="S239" s="231"/>
      <c r="X239" s="229"/>
      <c r="Y239" s="229"/>
      <c r="Z239" s="229"/>
    </row>
    <row r="240" spans="3:27" ht="15" hidden="1" customHeight="1">
      <c r="C240" s="1339"/>
      <c r="D240" s="172" t="str">
        <f>IF(Indice_index!$Z$1=1,"maio","May")</f>
        <v>May</v>
      </c>
      <c r="E240" s="229">
        <v>0.2</v>
      </c>
      <c r="F240" s="229">
        <v>-1.4</v>
      </c>
      <c r="G240" s="229">
        <v>1.9</v>
      </c>
      <c r="H240" s="229">
        <v>0.4</v>
      </c>
      <c r="I240" s="229">
        <v>-2.4</v>
      </c>
      <c r="K240" s="229">
        <v>-2.2999999999999998</v>
      </c>
      <c r="M240" s="231"/>
      <c r="N240" s="231"/>
      <c r="O240" s="231"/>
      <c r="P240" s="231"/>
      <c r="Q240" s="231"/>
      <c r="R240" s="231"/>
      <c r="S240" s="231"/>
      <c r="X240" s="229"/>
      <c r="Y240" s="229"/>
      <c r="Z240" s="229"/>
    </row>
    <row r="241" spans="3:27" ht="15" hidden="1" customHeight="1">
      <c r="C241" s="1339"/>
      <c r="D241" s="172" t="str">
        <f>IF(Indice_index!$Z$1=1,"junho","June")</f>
        <v>June</v>
      </c>
      <c r="E241" s="229">
        <v>0.1</v>
      </c>
      <c r="F241" s="229">
        <v>-1.5</v>
      </c>
      <c r="G241" s="229">
        <v>1.7</v>
      </c>
      <c r="H241" s="229">
        <v>0.3</v>
      </c>
      <c r="I241" s="229">
        <v>-2.2000000000000002</v>
      </c>
      <c r="K241" s="229">
        <v>-2.2999999999999998</v>
      </c>
      <c r="M241" s="231"/>
      <c r="N241" s="231"/>
      <c r="O241" s="231"/>
      <c r="P241" s="231"/>
      <c r="Q241" s="231"/>
      <c r="R241" s="231"/>
      <c r="S241" s="231"/>
      <c r="X241" s="229"/>
      <c r="Y241" s="229"/>
      <c r="Z241" s="229"/>
    </row>
    <row r="242" spans="3:27" ht="15" hidden="1" customHeight="1">
      <c r="C242" s="1339"/>
      <c r="D242" s="172" t="str">
        <f>IF(Indice_index!$Z$1=1,"julho","July")</f>
        <v>July</v>
      </c>
      <c r="E242" s="229">
        <v>-0.1</v>
      </c>
      <c r="F242" s="229">
        <v>-1.5</v>
      </c>
      <c r="G242" s="229">
        <v>1.8</v>
      </c>
      <c r="H242" s="229">
        <v>0.2</v>
      </c>
      <c r="I242" s="229">
        <v>-0.5</v>
      </c>
      <c r="K242" s="229">
        <v>-2.2000000000000002</v>
      </c>
      <c r="M242" s="231"/>
      <c r="N242" s="231"/>
      <c r="O242" s="231"/>
      <c r="P242" s="231"/>
      <c r="Q242" s="231"/>
      <c r="R242" s="231"/>
      <c r="S242" s="231"/>
      <c r="X242" s="229"/>
      <c r="Y242" s="229"/>
      <c r="Z242" s="229"/>
    </row>
    <row r="243" spans="3:27" ht="15" hidden="1" customHeight="1">
      <c r="C243" s="1339"/>
      <c r="D243" s="172" t="str">
        <f>IF(Indice_index!$Z$1=1,"agosto","August")</f>
        <v>August</v>
      </c>
      <c r="E243" s="171">
        <v>-0.2</v>
      </c>
      <c r="F243" s="171">
        <v>-1.5</v>
      </c>
      <c r="G243" s="171">
        <v>1.7</v>
      </c>
      <c r="H243" s="171">
        <v>0.1</v>
      </c>
      <c r="I243" s="171">
        <v>-3</v>
      </c>
      <c r="K243" s="171">
        <v>-2.2999999999999998</v>
      </c>
      <c r="M243" s="231"/>
      <c r="N243" s="231"/>
      <c r="O243" s="231"/>
      <c r="P243" s="231"/>
      <c r="Q243" s="231"/>
      <c r="R243" s="231"/>
      <c r="S243" s="231"/>
      <c r="X243" s="229"/>
      <c r="Y243" s="229"/>
      <c r="Z243" s="229"/>
    </row>
    <row r="244" spans="3:27" ht="15" hidden="1" customHeight="1">
      <c r="C244" s="1339"/>
      <c r="D244" s="172" t="str">
        <f>IF(Indice_index!$Z$1=1,"setembro","September")</f>
        <v>September</v>
      </c>
      <c r="E244" s="171">
        <v>-0.2</v>
      </c>
      <c r="F244" s="171">
        <v>-1.6</v>
      </c>
      <c r="G244" s="171">
        <v>1.7</v>
      </c>
      <c r="H244" s="171">
        <v>0.1</v>
      </c>
      <c r="I244" s="171">
        <v>-2.5</v>
      </c>
      <c r="K244" s="171">
        <v>-2.2000000000000002</v>
      </c>
      <c r="M244" s="231"/>
      <c r="N244" s="231"/>
      <c r="O244" s="231"/>
      <c r="P244" s="231"/>
      <c r="Q244" s="231"/>
      <c r="R244" s="231"/>
      <c r="S244" s="231"/>
      <c r="X244" s="229"/>
      <c r="Y244" s="229"/>
      <c r="Z244" s="229"/>
    </row>
    <row r="245" spans="3:27" ht="15" hidden="1" customHeight="1">
      <c r="C245" s="1339"/>
      <c r="D245" s="172" t="str">
        <f>IF(Indice_index!$Z$1=1,"outubro","October")</f>
        <v>October</v>
      </c>
      <c r="E245" s="171">
        <v>-0.3</v>
      </c>
      <c r="F245" s="171">
        <v>-1.6</v>
      </c>
      <c r="G245" s="171">
        <v>-0.6</v>
      </c>
      <c r="H245" s="171">
        <v>-0.5</v>
      </c>
      <c r="I245" s="171">
        <v>-1.8</v>
      </c>
      <c r="K245" s="171">
        <v>-2.2999999999999998</v>
      </c>
      <c r="M245" s="231"/>
      <c r="N245" s="231"/>
      <c r="O245" s="231"/>
      <c r="P245" s="231"/>
      <c r="Q245" s="231"/>
      <c r="R245" s="231"/>
      <c r="S245" s="231"/>
      <c r="X245" s="229"/>
      <c r="Y245" s="229"/>
      <c r="Z245" s="229"/>
    </row>
    <row r="246" spans="3:27" ht="15" hidden="1" customHeight="1">
      <c r="C246" s="1338"/>
      <c r="D246" s="172" t="str">
        <f>IF(Indice_index!$Z$1=1,"novembro","November")</f>
        <v>November</v>
      </c>
      <c r="E246" s="221">
        <v>-0.5</v>
      </c>
      <c r="F246" s="221">
        <v>-1.6</v>
      </c>
      <c r="G246" s="221">
        <v>-0.4</v>
      </c>
      <c r="H246" s="221">
        <v>-0.6</v>
      </c>
      <c r="I246" s="221">
        <v>31.9</v>
      </c>
      <c r="J246" s="171"/>
      <c r="K246" s="221">
        <v>-2.2999999999999998</v>
      </c>
      <c r="M246" s="231"/>
      <c r="N246" s="231"/>
      <c r="O246" s="231"/>
      <c r="P246" s="231"/>
      <c r="Q246" s="231"/>
      <c r="R246" s="231"/>
      <c r="S246" s="231"/>
      <c r="X246" s="229"/>
      <c r="Y246" s="229"/>
      <c r="Z246" s="229"/>
    </row>
    <row r="247" spans="3:27" ht="15" hidden="1" customHeight="1">
      <c r="C247" s="1338"/>
      <c r="D247" s="172" t="str">
        <f>IF(Indice_index!$Z$1=1,"dezembro","December")</f>
        <v>December</v>
      </c>
      <c r="E247" s="171">
        <v>-0.4</v>
      </c>
      <c r="F247" s="171">
        <v>-1.5</v>
      </c>
      <c r="G247" s="171">
        <v>-0.4</v>
      </c>
      <c r="H247" s="171">
        <v>-0.5</v>
      </c>
      <c r="I247" s="171">
        <v>-1.1000000000000001</v>
      </c>
      <c r="K247" s="171">
        <v>-2.2999999999999998</v>
      </c>
      <c r="M247" s="231"/>
      <c r="N247" s="231"/>
      <c r="O247" s="231"/>
      <c r="P247" s="231"/>
      <c r="Q247" s="231"/>
      <c r="R247" s="231"/>
      <c r="S247" s="231"/>
      <c r="X247" s="229"/>
      <c r="Y247" s="229"/>
      <c r="Z247" s="229"/>
    </row>
    <row r="248" spans="3:27" ht="15" customHeight="1">
      <c r="C248" s="1339">
        <v>2019</v>
      </c>
      <c r="D248" s="171"/>
      <c r="E248" s="171"/>
      <c r="F248" s="171"/>
      <c r="G248" s="171"/>
      <c r="H248" s="171"/>
      <c r="I248" s="171"/>
      <c r="K248" s="171"/>
      <c r="M248" s="231"/>
      <c r="N248" s="231"/>
      <c r="O248" s="231"/>
      <c r="P248" s="231"/>
      <c r="Q248" s="231"/>
      <c r="R248" s="231"/>
      <c r="S248" s="231"/>
      <c r="X248" s="229"/>
      <c r="Y248" s="229"/>
      <c r="Z248" s="229"/>
    </row>
    <row r="249" spans="3:27" s="171" customFormat="1" ht="15" customHeight="1">
      <c r="C249" s="1219"/>
      <c r="D249" s="172" t="str">
        <f>IF(Indice_index!$Z$1=1,"janeiro","January")</f>
        <v>January</v>
      </c>
      <c r="E249" s="1220">
        <v>-0.4</v>
      </c>
      <c r="F249" s="1220">
        <v>-1.4</v>
      </c>
      <c r="G249" s="1220">
        <v>-0.3</v>
      </c>
      <c r="H249" s="1220">
        <v>-0.5</v>
      </c>
      <c r="I249" s="1220">
        <v>2.6</v>
      </c>
      <c r="J249" s="1220"/>
      <c r="K249" s="1220">
        <v>-2.2000000000000002</v>
      </c>
      <c r="M249" s="231"/>
      <c r="N249" s="231"/>
      <c r="O249" s="231"/>
      <c r="P249" s="231"/>
      <c r="Q249" s="231"/>
      <c r="R249" s="231"/>
      <c r="S249" s="231"/>
      <c r="AA249" s="172"/>
    </row>
    <row r="250" spans="3:27" s="171" customFormat="1" ht="15" customHeight="1">
      <c r="C250" s="1219"/>
      <c r="D250" s="172" t="str">
        <f>IF(Indice_index!$Z$1=1,"fevereiro","February")</f>
        <v>February</v>
      </c>
      <c r="E250" s="1220">
        <v>-0.4</v>
      </c>
      <c r="F250" s="1220">
        <v>-1.3</v>
      </c>
      <c r="G250" s="1220">
        <v>-0.2</v>
      </c>
      <c r="H250" s="1220">
        <v>-0.4</v>
      </c>
      <c r="I250" s="1220">
        <v>1.6</v>
      </c>
      <c r="J250" s="1220"/>
      <c r="K250" s="1220">
        <v>-2.2999999999999998</v>
      </c>
      <c r="M250" s="231"/>
      <c r="N250" s="231"/>
      <c r="O250" s="231"/>
      <c r="P250" s="231"/>
      <c r="Q250" s="231"/>
      <c r="R250" s="231"/>
      <c r="S250" s="231"/>
      <c r="AA250" s="172"/>
    </row>
    <row r="251" spans="3:27" ht="15" customHeight="1">
      <c r="C251" s="1339"/>
      <c r="D251" s="172" t="str">
        <f>IF(Indice_index!$Z$1=1,"março","March")</f>
        <v>March</v>
      </c>
      <c r="E251" s="1220">
        <v>-0.5</v>
      </c>
      <c r="F251" s="1220">
        <v>-1.2</v>
      </c>
      <c r="G251" s="1220">
        <v>0</v>
      </c>
      <c r="H251" s="1220">
        <v>-0.4</v>
      </c>
      <c r="I251" s="1220">
        <v>1.7</v>
      </c>
      <c r="J251" s="1220"/>
      <c r="K251" s="1220">
        <v>-2.4</v>
      </c>
      <c r="M251" s="231"/>
      <c r="N251" s="231"/>
      <c r="O251" s="231"/>
      <c r="P251" s="231"/>
      <c r="Q251" s="231"/>
      <c r="R251" s="231"/>
      <c r="S251" s="231"/>
      <c r="X251" s="229"/>
      <c r="Y251" s="229"/>
      <c r="Z251" s="229"/>
    </row>
    <row r="252" spans="3:27" ht="15" customHeight="1">
      <c r="C252" s="1339"/>
      <c r="D252" s="172" t="str">
        <f>IF(Indice_index!$Z$1=1,"abril","April")</f>
        <v>April</v>
      </c>
      <c r="E252" s="1220">
        <v>-0.3</v>
      </c>
      <c r="F252" s="1220">
        <v>-0.9</v>
      </c>
      <c r="G252" s="1220">
        <v>0.1</v>
      </c>
      <c r="H252" s="1220">
        <v>-0.3</v>
      </c>
      <c r="I252" s="1220">
        <v>1.4</v>
      </c>
      <c r="J252" s="1220"/>
      <c r="K252" s="1220">
        <v>-2.4</v>
      </c>
      <c r="M252" s="231"/>
      <c r="N252" s="231"/>
      <c r="O252" s="231"/>
      <c r="P252" s="231"/>
      <c r="Q252" s="231"/>
      <c r="R252" s="231"/>
      <c r="S252" s="231"/>
      <c r="X252" s="229"/>
      <c r="Y252" s="229"/>
      <c r="Z252" s="229"/>
    </row>
    <row r="253" spans="3:27" ht="15" customHeight="1">
      <c r="C253" s="1339"/>
      <c r="D253" s="172" t="str">
        <f>IF(Indice_index!$Z$1=1,"maio","May")</f>
        <v>May</v>
      </c>
      <c r="E253" s="1220">
        <v>-0.3</v>
      </c>
      <c r="F253" s="1220">
        <v>-0.8</v>
      </c>
      <c r="G253" s="1220">
        <v>0.2</v>
      </c>
      <c r="H253" s="1220">
        <v>-0.2</v>
      </c>
      <c r="I253" s="1220">
        <v>1.5</v>
      </c>
      <c r="J253" s="1220"/>
      <c r="K253" s="1220">
        <v>-2.4</v>
      </c>
      <c r="M253" s="231"/>
      <c r="N253" s="231"/>
      <c r="O253" s="231"/>
      <c r="P253" s="231"/>
      <c r="Q253" s="231"/>
      <c r="R253" s="231"/>
      <c r="S253" s="231"/>
      <c r="X253" s="229"/>
      <c r="Y253" s="229"/>
      <c r="Z253" s="229"/>
    </row>
    <row r="254" spans="3:27" ht="15" customHeight="1">
      <c r="C254" s="1339"/>
      <c r="D254" s="172" t="str">
        <f>IF(Indice_index!$Z$1=1,"junho","June")</f>
        <v>June</v>
      </c>
      <c r="E254" s="1220">
        <v>-0.2</v>
      </c>
      <c r="F254" s="1220">
        <v>-0.7</v>
      </c>
      <c r="G254" s="1220">
        <v>0.5</v>
      </c>
      <c r="H254" s="1220">
        <v>-0.1</v>
      </c>
      <c r="I254" s="1220">
        <v>1.5</v>
      </c>
      <c r="J254" s="1220"/>
      <c r="K254" s="1220">
        <v>-2.5</v>
      </c>
      <c r="M254" s="231"/>
      <c r="N254" s="231"/>
      <c r="O254" s="231"/>
      <c r="P254" s="231"/>
      <c r="Q254" s="231"/>
      <c r="R254" s="231"/>
      <c r="S254" s="231"/>
      <c r="X254" s="229"/>
      <c r="Y254" s="229"/>
      <c r="Z254" s="229"/>
    </row>
    <row r="255" spans="3:27" ht="15" customHeight="1">
      <c r="C255" s="1339"/>
      <c r="D255" s="172" t="str">
        <f>IF(Indice_index!$Z$1=1,"julho","July")</f>
        <v>July</v>
      </c>
      <c r="E255" s="1220">
        <v>-0.1</v>
      </c>
      <c r="F255" s="1220">
        <v>-0.6</v>
      </c>
      <c r="G255" s="1220">
        <v>0.5</v>
      </c>
      <c r="H255" s="1220">
        <v>0</v>
      </c>
      <c r="I255" s="1220">
        <v>1.4</v>
      </c>
      <c r="J255" s="1220"/>
      <c r="K255" s="1220">
        <v>-2.5</v>
      </c>
      <c r="M255" s="231"/>
      <c r="N255" s="231"/>
      <c r="O255" s="231"/>
      <c r="P255" s="231"/>
      <c r="Q255" s="231"/>
      <c r="R255" s="231"/>
      <c r="S255" s="231"/>
      <c r="X255" s="229"/>
      <c r="Y255" s="229"/>
      <c r="Z255" s="229"/>
    </row>
    <row r="256" spans="3:27" ht="15" customHeight="1">
      <c r="C256" s="1339"/>
      <c r="D256" s="172" t="str">
        <f>IF(Indice_index!$Z$1=1,"agosto","August")</f>
        <v>August</v>
      </c>
      <c r="E256" s="1220">
        <v>-0.1</v>
      </c>
      <c r="F256" s="1220">
        <v>-0.6</v>
      </c>
      <c r="G256" s="1220">
        <v>0.7</v>
      </c>
      <c r="H256" s="1220">
        <v>0</v>
      </c>
      <c r="I256" s="1220">
        <v>3.2</v>
      </c>
      <c r="J256" s="1220"/>
      <c r="K256" s="1220">
        <v>-2.5</v>
      </c>
      <c r="X256" s="229"/>
      <c r="Y256" s="229"/>
      <c r="Z256" s="229"/>
    </row>
    <row r="257" spans="3:27" ht="15" customHeight="1">
      <c r="C257" s="1339"/>
      <c r="D257" s="172" t="str">
        <f>IF(Indice_index!$Z$1=1,"setembro","September")</f>
        <v>September</v>
      </c>
      <c r="E257" s="1220">
        <v>-0.1</v>
      </c>
      <c r="F257" s="1220">
        <v>-0.5</v>
      </c>
      <c r="G257" s="1220">
        <v>0.9</v>
      </c>
      <c r="H257" s="1220">
        <v>0.1</v>
      </c>
      <c r="I257" s="1220">
        <v>1.4</v>
      </c>
      <c r="J257" s="1220"/>
      <c r="K257" s="1220">
        <v>-2.5</v>
      </c>
      <c r="X257" s="229"/>
      <c r="Y257" s="229"/>
      <c r="Z257" s="229"/>
    </row>
    <row r="258" spans="3:27" ht="15" customHeight="1">
      <c r="C258" s="1339"/>
      <c r="D258" s="172" t="str">
        <f>IF(Indice_index!$Z$1=1,"outubro","October")</f>
        <v>October</v>
      </c>
      <c r="E258" s="1221">
        <v>0</v>
      </c>
      <c r="F258" s="1221">
        <v>-0.5</v>
      </c>
      <c r="G258" s="1221">
        <v>1</v>
      </c>
      <c r="H258" s="1221">
        <v>0.2</v>
      </c>
      <c r="I258" s="1221">
        <v>0.3</v>
      </c>
      <c r="J258" s="1221"/>
      <c r="K258" s="1221">
        <v>-2.6</v>
      </c>
      <c r="X258" s="229"/>
      <c r="Y258" s="229"/>
      <c r="Z258" s="229"/>
    </row>
    <row r="259" spans="3:27" ht="15" customHeight="1">
      <c r="C259" s="1338"/>
      <c r="D259" s="172" t="str">
        <f>IF(Indice_index!$Z$1=1,"novembro","November")</f>
        <v>November</v>
      </c>
      <c r="E259" s="1222">
        <v>0.28741768342819835</v>
      </c>
      <c r="F259" s="1222">
        <v>-0.478849644003909</v>
      </c>
      <c r="G259" s="1222">
        <v>1.0870232381139442</v>
      </c>
      <c r="H259" s="1222">
        <v>0.40484568665660392</v>
      </c>
      <c r="I259" s="1222">
        <v>2.2368481612740077</v>
      </c>
      <c r="J259" s="1222"/>
      <c r="K259" s="1222">
        <v>-2.7141471799914054</v>
      </c>
      <c r="X259" s="229"/>
      <c r="Y259" s="229"/>
      <c r="Z259" s="229"/>
    </row>
    <row r="260" spans="3:27" ht="15" customHeight="1">
      <c r="C260" s="1338"/>
      <c r="D260" s="172" t="str">
        <f>IF(Indice_index!$Z$1=1,"dezembro","December")</f>
        <v>December</v>
      </c>
      <c r="E260" s="171">
        <v>0.56764079356821018</v>
      </c>
      <c r="F260" s="171">
        <v>-0.60148487216702029</v>
      </c>
      <c r="G260" s="171">
        <v>0.82491665032359296</v>
      </c>
      <c r="H260" s="171">
        <v>0.50256889304063523</v>
      </c>
      <c r="I260" s="171">
        <v>0.89301661010894806</v>
      </c>
      <c r="K260" s="171">
        <v>-2.7948630075215095</v>
      </c>
      <c r="X260" s="229"/>
      <c r="Y260" s="229"/>
      <c r="Z260" s="229"/>
    </row>
    <row r="261" spans="3:27" ht="15" customHeight="1">
      <c r="C261" s="1339">
        <v>2020</v>
      </c>
      <c r="D261" s="171"/>
      <c r="E261" s="171"/>
      <c r="F261" s="171"/>
      <c r="G261" s="171"/>
      <c r="H261" s="171"/>
      <c r="I261" s="171"/>
      <c r="K261" s="171"/>
      <c r="M261" s="231"/>
      <c r="N261" s="231"/>
      <c r="O261" s="231"/>
      <c r="P261" s="231"/>
      <c r="Q261" s="231"/>
      <c r="R261" s="231"/>
      <c r="S261" s="231"/>
      <c r="X261" s="229"/>
      <c r="Y261" s="229"/>
      <c r="Z261" s="229"/>
    </row>
    <row r="262" spans="3:27" s="171" customFormat="1" ht="15" customHeight="1">
      <c r="C262" s="1219"/>
      <c r="D262" s="172" t="str">
        <f>IF(Indice_index!$Z$1=1,"janeiro","January")</f>
        <v>January</v>
      </c>
      <c r="E262" s="1220">
        <v>0.64890282901017782</v>
      </c>
      <c r="F262" s="1220">
        <v>-0.79712977440250177</v>
      </c>
      <c r="G262" s="1220">
        <v>1.2976038113667399</v>
      </c>
      <c r="H262" s="1220">
        <v>0.65256308473045976</v>
      </c>
      <c r="I262" s="1220">
        <v>0.13975019652370591</v>
      </c>
      <c r="J262" s="1220"/>
      <c r="K262" s="1220">
        <v>-2.830792038708132</v>
      </c>
      <c r="M262" s="231"/>
      <c r="N262" s="231"/>
      <c r="O262" s="231"/>
      <c r="P262" s="231"/>
      <c r="Q262" s="231"/>
      <c r="R262" s="231"/>
      <c r="S262" s="231"/>
      <c r="T262" s="231"/>
      <c r="U262" s="231"/>
      <c r="V262" s="231"/>
      <c r="W262" s="231"/>
      <c r="X262" s="231"/>
      <c r="Y262" s="231"/>
      <c r="AA262" s="172"/>
    </row>
    <row r="263" spans="3:27" s="171" customFormat="1" ht="15" customHeight="1">
      <c r="C263" s="1219"/>
      <c r="D263" s="172" t="str">
        <f>IF(Indice_index!$Z$1=1,"fevereiro","February")</f>
        <v>February</v>
      </c>
      <c r="E263" s="1220">
        <v>0.71713812768005814</v>
      </c>
      <c r="F263" s="1220">
        <v>-0.90320596171860801</v>
      </c>
      <c r="G263" s="1220">
        <v>1.0851679441144626</v>
      </c>
      <c r="H263" s="1220">
        <v>0.63035875012068388</v>
      </c>
      <c r="I263" s="1220">
        <v>0.47317203821089027</v>
      </c>
      <c r="J263" s="1220"/>
      <c r="K263" s="1220">
        <v>-2.9193642253336143</v>
      </c>
      <c r="M263" s="231"/>
      <c r="N263" s="231"/>
      <c r="O263" s="231"/>
      <c r="P263" s="231"/>
      <c r="Q263" s="231"/>
      <c r="R263" s="231"/>
      <c r="S263" s="231"/>
      <c r="T263" s="231"/>
      <c r="U263" s="231"/>
      <c r="V263" s="231"/>
      <c r="W263" s="231"/>
      <c r="X263" s="231"/>
      <c r="Y263" s="231"/>
      <c r="AA263" s="172"/>
    </row>
    <row r="264" spans="3:27" ht="15" customHeight="1">
      <c r="C264" s="1339"/>
      <c r="D264" s="172" t="str">
        <f>IF(Indice_index!$Z$1=1,"março","March")</f>
        <v>March</v>
      </c>
      <c r="E264" s="1220">
        <v>0.89035299211746077</v>
      </c>
      <c r="F264" s="1220">
        <v>-0.82113980359790717</v>
      </c>
      <c r="G264" s="1220">
        <v>1.0608878664774117</v>
      </c>
      <c r="H264" s="1220">
        <v>0.74305973476852272</v>
      </c>
      <c r="I264" s="1220">
        <v>1.1182252682838725</v>
      </c>
      <c r="J264" s="1220"/>
      <c r="K264" s="1220">
        <v>-2.9439334000603719</v>
      </c>
      <c r="M264" s="231"/>
      <c r="N264" s="231"/>
      <c r="O264" s="231"/>
      <c r="P264" s="231"/>
      <c r="Q264" s="231"/>
      <c r="R264" s="231"/>
      <c r="S264" s="231"/>
      <c r="T264" s="231"/>
      <c r="U264" s="231"/>
      <c r="V264" s="231"/>
      <c r="W264" s="231"/>
      <c r="X264" s="231"/>
      <c r="Y264" s="231"/>
      <c r="Z264" s="229"/>
    </row>
    <row r="265" spans="3:27" ht="15" customHeight="1">
      <c r="C265" s="1339"/>
      <c r="D265" s="172" t="str">
        <f>IF(Indice_index!$Z$1=1,"abril","April")</f>
        <v>April</v>
      </c>
      <c r="E265" s="1220">
        <v>0.93985054875859053</v>
      </c>
      <c r="F265" s="1220">
        <v>-1.0999762393950829</v>
      </c>
      <c r="G265" s="1220">
        <v>1.1725754432347415</v>
      </c>
      <c r="H265" s="1220">
        <v>0.77162658884929436</v>
      </c>
      <c r="I265" s="1220">
        <v>0.49291987811435745</v>
      </c>
      <c r="J265" s="1220"/>
      <c r="K265" s="1220">
        <v>-2.9996565973114526</v>
      </c>
      <c r="M265" s="231"/>
      <c r="N265" s="231"/>
      <c r="O265" s="231"/>
      <c r="P265" s="231"/>
      <c r="Q265" s="231"/>
      <c r="R265" s="231"/>
      <c r="S265" s="231"/>
      <c r="T265" s="231"/>
      <c r="U265" s="231"/>
      <c r="V265" s="231"/>
      <c r="W265" s="231"/>
      <c r="X265" s="231"/>
      <c r="Y265" s="231"/>
      <c r="Z265" s="229"/>
    </row>
    <row r="266" spans="3:27" ht="15" customHeight="1">
      <c r="C266" s="1339"/>
      <c r="D266" s="172" t="str">
        <f>IF(Indice_index!$Z$1=1,"maio","May")</f>
        <v>May</v>
      </c>
      <c r="E266" s="1223">
        <v>0.9733508339846918</v>
      </c>
      <c r="F266" s="1223">
        <v>-1.362759623179493</v>
      </c>
      <c r="G266" s="1223">
        <v>1.1885662498622218</v>
      </c>
      <c r="H266" s="1223">
        <v>0.76765561155317019</v>
      </c>
      <c r="I266" s="1223">
        <v>0.65629776139530294</v>
      </c>
      <c r="J266" s="1223"/>
      <c r="K266" s="1223">
        <v>-3.0613454149327475</v>
      </c>
      <c r="M266" s="231"/>
      <c r="N266" s="231"/>
      <c r="O266" s="231"/>
      <c r="P266" s="231"/>
      <c r="Q266" s="231"/>
      <c r="R266" s="231"/>
      <c r="S266" s="231"/>
      <c r="T266" s="231"/>
      <c r="U266" s="231"/>
      <c r="V266" s="231"/>
      <c r="W266" s="231"/>
      <c r="X266" s="231"/>
      <c r="Y266" s="231"/>
      <c r="Z266" s="229"/>
    </row>
    <row r="267" spans="3:27" ht="15" customHeight="1">
      <c r="C267" s="1339"/>
      <c r="D267" s="172" t="str">
        <f>IF(Indice_index!$Z$1=1,"junho","June")</f>
        <v>June</v>
      </c>
      <c r="E267" s="1220">
        <v>1.1000000000000001</v>
      </c>
      <c r="F267" s="1220">
        <v>-1.6</v>
      </c>
      <c r="G267" s="1220">
        <v>1</v>
      </c>
      <c r="H267" s="1220">
        <v>0.8</v>
      </c>
      <c r="I267" s="1220">
        <v>0.6</v>
      </c>
      <c r="J267" s="1220"/>
      <c r="K267" s="1220">
        <v>-3.1</v>
      </c>
      <c r="M267" s="231"/>
      <c r="N267" s="231"/>
      <c r="O267" s="231"/>
      <c r="P267" s="231"/>
      <c r="Q267" s="231"/>
      <c r="R267" s="231"/>
      <c r="S267" s="231"/>
      <c r="T267" s="231"/>
      <c r="U267" s="231"/>
      <c r="V267" s="231"/>
      <c r="W267" s="231"/>
      <c r="X267" s="231"/>
      <c r="Y267" s="231"/>
      <c r="Z267" s="229"/>
    </row>
    <row r="268" spans="3:27" ht="15" customHeight="1">
      <c r="C268" s="1339"/>
      <c r="D268" s="172" t="str">
        <f>IF(Indice_index!$Z$1=1,"julho","July")</f>
        <v>July</v>
      </c>
      <c r="E268" s="1220">
        <v>1.2</v>
      </c>
      <c r="F268" s="1220">
        <v>-1.8</v>
      </c>
      <c r="G268" s="1220">
        <v>1.1000000000000001</v>
      </c>
      <c r="H268" s="1220">
        <v>0.8</v>
      </c>
      <c r="I268" s="1220">
        <v>0.5</v>
      </c>
      <c r="J268" s="1220"/>
      <c r="K268" s="1220">
        <v>-3.2</v>
      </c>
      <c r="M268" s="231"/>
      <c r="N268" s="231"/>
      <c r="O268" s="231"/>
      <c r="P268" s="231"/>
      <c r="Q268" s="231"/>
      <c r="R268" s="231"/>
      <c r="S268" s="231"/>
      <c r="X268" s="229"/>
      <c r="Y268" s="229"/>
      <c r="Z268" s="229"/>
    </row>
    <row r="269" spans="3:27" ht="15" customHeight="1">
      <c r="C269" s="1339"/>
      <c r="D269" s="172" t="str">
        <f>IF(Indice_index!$Z$1=1,"agosto","August")</f>
        <v>August</v>
      </c>
      <c r="E269" s="1220">
        <v>1.2534073328258146</v>
      </c>
      <c r="F269" s="1220">
        <v>-1.9747522812517495</v>
      </c>
      <c r="G269" s="1220">
        <v>1.1217665384357454</v>
      </c>
      <c r="H269" s="1220">
        <v>0.86091406574564067</v>
      </c>
      <c r="I269" s="1220">
        <v>-0.76794068320240483</v>
      </c>
      <c r="J269" s="1220"/>
      <c r="K269" s="1220">
        <v>-3.2695709634565215</v>
      </c>
      <c r="X269" s="229"/>
      <c r="Y269" s="229"/>
      <c r="Z269" s="229"/>
    </row>
    <row r="270" spans="3:27" ht="15" customHeight="1">
      <c r="C270" s="1339"/>
      <c r="D270" s="172" t="str">
        <f>IF(Indice_index!$Z$1=1,"setembro","September")</f>
        <v>September</v>
      </c>
      <c r="E270" s="1220">
        <v>1.2688330907743317</v>
      </c>
      <c r="F270" s="1220">
        <v>-2.3009097270818755</v>
      </c>
      <c r="G270" s="1220">
        <v>0.96997521783341767</v>
      </c>
      <c r="H270" s="1220">
        <v>0.79593620071461668</v>
      </c>
      <c r="I270" s="1220">
        <v>1.0147270114942692</v>
      </c>
      <c r="J270" s="1220"/>
      <c r="K270" s="1220">
        <v>-3.4066937656284866</v>
      </c>
      <c r="X270" s="229"/>
      <c r="Y270" s="229"/>
      <c r="Z270" s="229"/>
    </row>
    <row r="271" spans="3:27" ht="15" customHeight="1">
      <c r="C271" s="1339"/>
      <c r="D271" s="172" t="str">
        <f>IF(Indice_index!$Z$1=1,"outubro","October")</f>
        <v>October</v>
      </c>
      <c r="E271" s="1224">
        <v>1.4</v>
      </c>
      <c r="F271" s="1224">
        <v>-2.4</v>
      </c>
      <c r="G271" s="1224">
        <v>0.9</v>
      </c>
      <c r="H271" s="1224">
        <v>0.8</v>
      </c>
      <c r="I271" s="1224">
        <v>0.7</v>
      </c>
      <c r="J271" s="1224"/>
      <c r="K271" s="1224">
        <v>-3.4</v>
      </c>
      <c r="X271" s="229"/>
      <c r="Y271" s="229"/>
      <c r="Z271" s="229"/>
    </row>
    <row r="272" spans="3:27" ht="15" customHeight="1">
      <c r="C272" s="1338"/>
      <c r="D272" s="172" t="str">
        <f>IF(Indice_index!$Z$1=1,"novembro","November")</f>
        <v>November</v>
      </c>
      <c r="E272" s="1225">
        <v>1.1000000000000001</v>
      </c>
      <c r="F272" s="1225">
        <v>-2.5</v>
      </c>
      <c r="G272" s="1225">
        <v>0.8</v>
      </c>
      <c r="H272" s="1225">
        <v>0.6</v>
      </c>
      <c r="I272" s="1225">
        <v>0</v>
      </c>
      <c r="J272" s="1225"/>
      <c r="K272" s="1225">
        <v>-3.3</v>
      </c>
      <c r="X272" s="229"/>
      <c r="Y272" s="229"/>
      <c r="Z272" s="229"/>
    </row>
    <row r="273" spans="3:27" ht="15" customHeight="1">
      <c r="C273" s="1338"/>
      <c r="D273" s="172" t="str">
        <f>IF(Indice_index!$Z$1=1,"dezembro","December")</f>
        <v>December</v>
      </c>
      <c r="E273" s="1226">
        <v>0.8</v>
      </c>
      <c r="F273" s="1226">
        <v>-2.7</v>
      </c>
      <c r="G273" s="1226">
        <v>1</v>
      </c>
      <c r="H273" s="1226">
        <v>0.5</v>
      </c>
      <c r="I273" s="1226">
        <v>0.9</v>
      </c>
      <c r="J273" s="1226"/>
      <c r="K273" s="1226">
        <v>-3.3</v>
      </c>
      <c r="X273" s="229"/>
      <c r="Y273" s="229"/>
      <c r="Z273" s="229"/>
    </row>
    <row r="274" spans="3:27" ht="15" customHeight="1">
      <c r="C274" s="1339" t="s">
        <v>67</v>
      </c>
      <c r="D274" s="171"/>
      <c r="E274" s="171"/>
      <c r="F274" s="171"/>
      <c r="G274" s="171"/>
      <c r="H274" s="171"/>
      <c r="I274" s="171"/>
      <c r="K274" s="171"/>
      <c r="M274" s="231"/>
      <c r="N274" s="231"/>
      <c r="O274" s="231"/>
      <c r="P274" s="231"/>
      <c r="Q274" s="231"/>
      <c r="R274" s="231"/>
      <c r="S274" s="231"/>
      <c r="X274" s="229"/>
      <c r="Y274" s="229"/>
      <c r="Z274" s="229"/>
    </row>
    <row r="275" spans="3:27" s="171" customFormat="1" ht="15" customHeight="1">
      <c r="C275" s="1219"/>
      <c r="D275" s="172" t="str">
        <f>IF(Indice_index!$Z$1=1,"janeiro","January")</f>
        <v>January</v>
      </c>
      <c r="E275" s="1220">
        <v>0.7</v>
      </c>
      <c r="F275" s="1220">
        <v>-2.7</v>
      </c>
      <c r="G275" s="1220">
        <v>0.4</v>
      </c>
      <c r="H275" s="1220">
        <v>0.3</v>
      </c>
      <c r="I275" s="1220">
        <v>0.9</v>
      </c>
      <c r="J275" s="1220"/>
      <c r="K275" s="1220">
        <v>-3.3</v>
      </c>
      <c r="M275" s="231"/>
      <c r="N275" s="231"/>
      <c r="O275" s="231"/>
      <c r="P275" s="231"/>
      <c r="Q275" s="231"/>
      <c r="R275" s="231"/>
      <c r="S275" s="231"/>
      <c r="T275" s="231"/>
      <c r="U275" s="231"/>
      <c r="V275" s="231"/>
      <c r="W275" s="231"/>
      <c r="X275" s="231"/>
      <c r="Y275" s="231"/>
      <c r="AA275" s="172"/>
    </row>
    <row r="276" spans="3:27" s="171" customFormat="1" ht="15" customHeight="1">
      <c r="C276" s="1219"/>
      <c r="D276" s="172" t="str">
        <f>IF(Indice_index!$Z$1=1,"fevereiro","February")</f>
        <v>February</v>
      </c>
      <c r="E276" s="1220">
        <v>0.6</v>
      </c>
      <c r="F276" s="1220">
        <v>-2.8</v>
      </c>
      <c r="G276" s="1220">
        <v>0.4</v>
      </c>
      <c r="H276" s="1220">
        <v>0.2</v>
      </c>
      <c r="I276" s="1220">
        <v>0.3</v>
      </c>
      <c r="J276" s="1220"/>
      <c r="K276" s="1220">
        <v>-3.2</v>
      </c>
      <c r="M276" s="231"/>
      <c r="N276" s="231"/>
      <c r="O276" s="231"/>
      <c r="P276" s="231"/>
      <c r="Q276" s="231"/>
      <c r="R276" s="231"/>
      <c r="S276" s="231"/>
      <c r="T276" s="231"/>
      <c r="U276" s="231"/>
      <c r="V276" s="231"/>
      <c r="W276" s="231"/>
      <c r="X276" s="231"/>
      <c r="Y276" s="231"/>
      <c r="AA276" s="172"/>
    </row>
    <row r="277" spans="3:27" ht="15" customHeight="1">
      <c r="C277" s="1339"/>
      <c r="D277" s="172" t="str">
        <f>IF(Indice_index!$Z$1=1,"março","March")</f>
        <v>March</v>
      </c>
      <c r="E277" s="1227">
        <v>0.39772048370223878</v>
      </c>
      <c r="F277" s="1227">
        <v>-3.1551925979209861</v>
      </c>
      <c r="G277" s="1227">
        <v>0.21430906515237735</v>
      </c>
      <c r="H277" s="1227">
        <v>-3.8999145732998231E-2</v>
      </c>
      <c r="I277" s="1227">
        <v>0.66886649424774824</v>
      </c>
      <c r="J277" s="1227"/>
      <c r="K277" s="1227">
        <v>-3.2832121226293762</v>
      </c>
      <c r="M277" s="231"/>
      <c r="N277" s="231"/>
      <c r="O277" s="231"/>
      <c r="P277" s="231"/>
      <c r="Q277" s="231"/>
      <c r="R277" s="231"/>
      <c r="S277" s="231"/>
      <c r="T277" s="231"/>
      <c r="U277" s="231"/>
      <c r="V277" s="231"/>
      <c r="W277" s="231"/>
      <c r="X277" s="231"/>
      <c r="Y277" s="231"/>
      <c r="Z277" s="229"/>
    </row>
    <row r="278" spans="3:27" ht="15" customHeight="1">
      <c r="C278" s="1339"/>
      <c r="D278" s="172" t="str">
        <f>IF(Indice_index!$Z$1=1,"abril","April")</f>
        <v>April</v>
      </c>
      <c r="E278" s="1220">
        <v>0.25830033505939687</v>
      </c>
      <c r="F278" s="1220">
        <v>-3.4313171283210853</v>
      </c>
      <c r="G278" s="1220">
        <v>0.19114791582232923</v>
      </c>
      <c r="H278" s="1220">
        <v>-0.1627344334923552</v>
      </c>
      <c r="I278" s="1220">
        <v>1.0791046107197124</v>
      </c>
      <c r="J278" s="1220"/>
      <c r="K278" s="1220">
        <v>-3.2977982636503667</v>
      </c>
      <c r="M278" s="231"/>
      <c r="N278" s="231"/>
      <c r="O278" s="231"/>
      <c r="P278" s="231"/>
      <c r="Q278" s="231"/>
      <c r="R278" s="231"/>
      <c r="S278" s="231"/>
      <c r="T278" s="231"/>
      <c r="U278" s="231"/>
      <c r="V278" s="231"/>
      <c r="W278" s="231"/>
      <c r="X278" s="231"/>
      <c r="Y278" s="231"/>
      <c r="Z278" s="229"/>
    </row>
    <row r="279" spans="3:27" ht="15" customHeight="1">
      <c r="C279" s="1339"/>
      <c r="D279" s="172" t="str">
        <f>IF(Indice_index!$Z$1=1,"maio","May")</f>
        <v>May</v>
      </c>
      <c r="E279" s="1228">
        <v>0.2207876300504866</v>
      </c>
      <c r="F279" s="1228">
        <v>-3.334230774680818</v>
      </c>
      <c r="G279" s="1228">
        <v>0.17852063880130956</v>
      </c>
      <c r="H279" s="1228">
        <v>-0.17800253626550369</v>
      </c>
      <c r="I279" s="1228">
        <v>1.152197213290469</v>
      </c>
      <c r="J279" s="1228"/>
      <c r="K279" s="1228">
        <v>-3.3000204532150335</v>
      </c>
      <c r="M279" s="231"/>
      <c r="N279" s="231"/>
      <c r="O279" s="231"/>
      <c r="P279" s="231"/>
      <c r="Q279" s="231"/>
      <c r="R279" s="231"/>
      <c r="S279" s="231"/>
      <c r="T279" s="231"/>
      <c r="U279" s="231"/>
      <c r="V279" s="231"/>
      <c r="W279" s="231"/>
      <c r="X279" s="231"/>
      <c r="Y279" s="231"/>
      <c r="Z279" s="229"/>
    </row>
    <row r="280" spans="3:27" ht="15" customHeight="1">
      <c r="C280" s="1339"/>
      <c r="D280" s="172" t="str">
        <f>IF(Indice_index!$Z$1=1,"junho","June")</f>
        <v>June</v>
      </c>
      <c r="E280" s="1229">
        <v>0.21228479719871607</v>
      </c>
      <c r="F280" s="1229">
        <v>-3.2242937531972946</v>
      </c>
      <c r="G280" s="1229">
        <v>-0.23539663425172311</v>
      </c>
      <c r="H280" s="1229">
        <v>-0.27594629482194893</v>
      </c>
      <c r="I280" s="1229">
        <v>1.1254019292604625</v>
      </c>
      <c r="J280" s="1229"/>
      <c r="K280" s="1229">
        <v>-3.3272507803585407</v>
      </c>
      <c r="M280" s="231"/>
      <c r="N280" s="231"/>
      <c r="O280" s="231"/>
      <c r="P280" s="231"/>
      <c r="Q280" s="231"/>
      <c r="R280" s="231"/>
      <c r="S280" s="231"/>
      <c r="T280" s="231"/>
      <c r="U280" s="231"/>
      <c r="V280" s="231"/>
      <c r="W280" s="231"/>
      <c r="X280" s="231"/>
      <c r="Y280" s="231"/>
      <c r="Z280" s="229"/>
    </row>
    <row r="281" spans="3:27" ht="15" customHeight="1">
      <c r="C281" s="1339"/>
      <c r="D281" s="172" t="str">
        <f>IF(Indice_index!$Z$1=1,"julho","July")</f>
        <v>July</v>
      </c>
      <c r="E281" s="1230">
        <v>0.23993394531060275</v>
      </c>
      <c r="F281" s="1230">
        <v>-3.1877785212921963</v>
      </c>
      <c r="G281" s="1230">
        <v>-0.28332547996182056</v>
      </c>
      <c r="H281" s="1230">
        <v>-0.26561614451989107</v>
      </c>
      <c r="I281" s="1230">
        <v>1.0344196265104315</v>
      </c>
      <c r="J281" s="1230"/>
      <c r="K281" s="1230">
        <v>-3.3993932357371381</v>
      </c>
      <c r="M281" s="231"/>
      <c r="N281" s="231"/>
      <c r="O281" s="231"/>
      <c r="P281" s="231"/>
      <c r="Q281" s="231"/>
      <c r="R281" s="231"/>
      <c r="S281" s="231"/>
      <c r="X281" s="229"/>
      <c r="Y281" s="229"/>
      <c r="Z281" s="229"/>
    </row>
    <row r="282" spans="3:27" ht="15" customHeight="1">
      <c r="C282" s="1339"/>
      <c r="D282" s="172" t="str">
        <f>IF(Indice_index!$Z$1=1,"agosto","August")</f>
        <v>August</v>
      </c>
      <c r="E282" s="1231">
        <v>0.26411909370043218</v>
      </c>
      <c r="F282" s="1231">
        <v>-3.032509530132351</v>
      </c>
      <c r="G282" s="1231">
        <v>-0.32315047598377017</v>
      </c>
      <c r="H282" s="1231">
        <v>-0.2423552424940838</v>
      </c>
      <c r="I282" s="1231">
        <v>0.98736879558796553</v>
      </c>
      <c r="J282" s="1231"/>
      <c r="K282" s="1231">
        <v>-3.4113955126699826</v>
      </c>
      <c r="X282" s="229"/>
      <c r="Y282" s="229"/>
      <c r="Z282" s="229"/>
    </row>
    <row r="283" spans="3:27" ht="15" customHeight="1">
      <c r="C283" s="1339"/>
      <c r="D283" s="172" t="str">
        <f>IF(Indice_index!$Z$1=1,"setembro","September")</f>
        <v>September</v>
      </c>
      <c r="E283" s="1232">
        <v>0.25519168458016966</v>
      </c>
      <c r="F283" s="1232">
        <v>-2.8822737300518582</v>
      </c>
      <c r="G283" s="1232">
        <v>-0.26112022385179467</v>
      </c>
      <c r="H283" s="1232">
        <v>-0.21472832701643321</v>
      </c>
      <c r="I283" s="1232">
        <v>0.6578362521112866</v>
      </c>
      <c r="J283" s="1232"/>
      <c r="K283" s="1232">
        <v>-3.3582285052894303</v>
      </c>
      <c r="X283" s="229"/>
      <c r="Y283" s="229"/>
      <c r="Z283" s="229"/>
    </row>
    <row r="284" spans="3:27" ht="15" customHeight="1">
      <c r="C284" s="1339"/>
      <c r="D284" s="172" t="str">
        <f>IF(Indice_index!$Z$1=1,"outubro","October")</f>
        <v>October</v>
      </c>
      <c r="E284" s="1224">
        <v>0.26374744184356796</v>
      </c>
      <c r="F284" s="1224">
        <v>-2.8337929449615076</v>
      </c>
      <c r="G284" s="1224">
        <v>-0.34665911050286674</v>
      </c>
      <c r="H284" s="1224">
        <v>-0.22501958703739117</v>
      </c>
      <c r="I284" s="1224">
        <v>1.1966422575459985</v>
      </c>
      <c r="J284" s="1224"/>
      <c r="K284" s="1224">
        <v>-3.3137824309350044</v>
      </c>
      <c r="X284" s="229"/>
      <c r="Y284" s="229"/>
      <c r="Z284" s="229"/>
    </row>
    <row r="285" spans="3:27" ht="15" customHeight="1">
      <c r="C285" s="1338"/>
      <c r="D285" s="172" t="str">
        <f>IF(Indice_index!$Z$1=1,"novembro","November")</f>
        <v>November</v>
      </c>
      <c r="E285" s="1225">
        <v>0.28203793591807585</v>
      </c>
      <c r="F285" s="1225">
        <v>-2.826346616011167</v>
      </c>
      <c r="G285" s="1225">
        <v>-0.37037260085878265</v>
      </c>
      <c r="H285" s="1225">
        <v>-0.2180070089099187</v>
      </c>
      <c r="I285" s="1225">
        <v>1.0269345104044763</v>
      </c>
      <c r="J285" s="1225"/>
      <c r="K285" s="1225">
        <v>-3.4625800216261737</v>
      </c>
      <c r="X285" s="229"/>
      <c r="Y285" s="229"/>
      <c r="Z285" s="229"/>
    </row>
    <row r="286" spans="3:27" ht="15" customHeight="1">
      <c r="C286" s="1338"/>
      <c r="D286" s="172" t="str">
        <f>IF(Indice_index!$Z$1=1,"dezembro","December")</f>
        <v>December</v>
      </c>
      <c r="E286" s="1233">
        <v>0.35438674632299544</v>
      </c>
      <c r="F286" s="1233">
        <v>-2.8144429537946656</v>
      </c>
      <c r="G286" s="1233">
        <v>-0.407296442021923</v>
      </c>
      <c r="H286" s="1233">
        <v>-0.17945045610324259</v>
      </c>
      <c r="I286" s="1233">
        <v>0.99973691133912934</v>
      </c>
      <c r="J286" s="1233"/>
      <c r="K286" s="1233">
        <v>-3.5442363879733443</v>
      </c>
      <c r="X286" s="229"/>
      <c r="Y286" s="229"/>
      <c r="Z286" s="229"/>
    </row>
    <row r="287" spans="3:27" ht="15" customHeight="1">
      <c r="C287" s="1339" t="s">
        <v>73</v>
      </c>
      <c r="D287" s="171"/>
      <c r="E287" s="171"/>
      <c r="F287" s="171"/>
      <c r="G287" s="171"/>
      <c r="H287" s="171"/>
      <c r="I287" s="171"/>
      <c r="K287" s="171"/>
      <c r="M287" s="231"/>
      <c r="N287" s="231"/>
      <c r="O287" s="231"/>
      <c r="P287" s="231"/>
      <c r="Q287" s="231"/>
      <c r="R287" s="231"/>
      <c r="S287" s="231"/>
      <c r="X287" s="229"/>
      <c r="Y287" s="229"/>
      <c r="Z287" s="229"/>
    </row>
    <row r="288" spans="3:27" s="171" customFormat="1" ht="15" customHeight="1">
      <c r="C288" s="1219"/>
      <c r="D288" s="172" t="str">
        <f>IF(Indice_index!$Z$1=1,"janeiro","January")</f>
        <v>January</v>
      </c>
      <c r="E288" s="1234">
        <v>0.45754735251965756</v>
      </c>
      <c r="F288" s="1234">
        <v>-2.8359050745491619</v>
      </c>
      <c r="G288" s="1234">
        <v>-0.46889859992536143</v>
      </c>
      <c r="H288" s="1234">
        <v>-0.13110101718965692</v>
      </c>
      <c r="I288" s="1234">
        <v>1.6511065006915748</v>
      </c>
      <c r="J288" s="1234"/>
      <c r="K288" s="1234">
        <v>-3.6132175987724247</v>
      </c>
      <c r="M288" s="231"/>
      <c r="N288" s="231"/>
      <c r="O288" s="231"/>
      <c r="P288" s="231"/>
      <c r="Q288" s="231"/>
      <c r="R288" s="231"/>
      <c r="S288" s="231"/>
      <c r="T288" s="231"/>
      <c r="U288" s="231"/>
      <c r="V288" s="231"/>
      <c r="W288" s="231"/>
      <c r="X288" s="231"/>
      <c r="Y288" s="231"/>
      <c r="AA288" s="172"/>
    </row>
    <row r="289" spans="3:27" s="171" customFormat="1" ht="15" customHeight="1">
      <c r="C289" s="1219"/>
      <c r="D289" s="172" t="str">
        <f>IF(Indice_index!$Z$1=1,"fevereiro","February")</f>
        <v>February</v>
      </c>
      <c r="E289" s="1235">
        <v>0.60177600263685982</v>
      </c>
      <c r="F289" s="1235">
        <v>-2.8556917942392803</v>
      </c>
      <c r="G289" s="1235">
        <v>-0.4489087600477229</v>
      </c>
      <c r="H289" s="1235">
        <v>-3.5522058426063922E-2</v>
      </c>
      <c r="I289" s="1235">
        <v>1.5953203935123637</v>
      </c>
      <c r="J289" s="1235"/>
      <c r="K289" s="1235">
        <v>-3.6276100493983714</v>
      </c>
      <c r="M289" s="231"/>
      <c r="N289" s="231"/>
      <c r="O289" s="231"/>
      <c r="P289" s="231"/>
      <c r="Q289" s="231"/>
      <c r="R289" s="231"/>
      <c r="S289" s="231"/>
      <c r="T289" s="231"/>
      <c r="U289" s="231"/>
      <c r="V289" s="231"/>
      <c r="W289" s="231"/>
      <c r="X289" s="231"/>
      <c r="Y289" s="231"/>
      <c r="AA289" s="172"/>
    </row>
    <row r="290" spans="3:27" ht="15" customHeight="1">
      <c r="C290" s="1339"/>
      <c r="D290" s="172" t="str">
        <f>IF(Indice_index!$Z$1=1,"março","March")</f>
        <v>March</v>
      </c>
      <c r="E290" s="1236">
        <v>0.82022160799382104</v>
      </c>
      <c r="F290" s="1236">
        <v>-2.7890244968104629</v>
      </c>
      <c r="G290" s="1236">
        <v>-0.24768026290353762</v>
      </c>
      <c r="H290" s="1236">
        <v>0.16286947528780832</v>
      </c>
      <c r="I290" s="1236">
        <v>1.6654854712969485</v>
      </c>
      <c r="J290" s="1236"/>
      <c r="K290" s="1236">
        <v>-3.6502333228559682</v>
      </c>
      <c r="M290" s="231"/>
      <c r="N290" s="231"/>
      <c r="O290" s="231"/>
      <c r="P290" s="231"/>
      <c r="Q290" s="231"/>
      <c r="R290" s="231"/>
      <c r="S290" s="231"/>
      <c r="T290" s="231"/>
      <c r="U290" s="231"/>
      <c r="V290" s="231"/>
      <c r="W290" s="231"/>
      <c r="X290" s="231"/>
      <c r="Y290" s="231"/>
      <c r="Z290" s="229"/>
    </row>
    <row r="291" spans="3:27" ht="15" customHeight="1">
      <c r="C291" s="1339"/>
      <c r="D291" s="172" t="str">
        <f>IF(Indice_index!$Z$1=1,"abril","April")</f>
        <v>April</v>
      </c>
      <c r="E291" s="1220">
        <v>0.9306451808912708</v>
      </c>
      <c r="F291" s="1220">
        <v>-2.6078557630392787</v>
      </c>
      <c r="G291" s="1220">
        <v>-0.22157420320829788</v>
      </c>
      <c r="H291" s="1220">
        <v>0.26030368763557482</v>
      </c>
      <c r="I291" s="1220">
        <v>1.4822657490735798</v>
      </c>
      <c r="J291" s="1220"/>
      <c r="K291" s="1220">
        <v>-3.7746599072397151</v>
      </c>
      <c r="M291" s="231"/>
      <c r="N291" s="231"/>
      <c r="O291" s="231"/>
      <c r="P291" s="231"/>
      <c r="Q291" s="231"/>
      <c r="R291" s="231"/>
      <c r="S291" s="231"/>
      <c r="T291" s="231"/>
      <c r="U291" s="231"/>
      <c r="V291" s="231"/>
      <c r="W291" s="231"/>
      <c r="X291" s="231"/>
      <c r="Y291" s="231"/>
      <c r="Z291" s="229"/>
    </row>
    <row r="292" spans="3:27" ht="15" customHeight="1">
      <c r="C292" s="1339"/>
      <c r="D292" s="172" t="str">
        <f>IF(Indice_index!$Z$1=1,"maio","May")</f>
        <v>May</v>
      </c>
      <c r="E292" s="1228">
        <v>0.97617491966413161</v>
      </c>
      <c r="F292" s="1228">
        <v>-2.7250872203817176</v>
      </c>
      <c r="G292" s="1228">
        <v>-0.40473112563579033</v>
      </c>
      <c r="H292" s="1228">
        <v>0.23083990090926135</v>
      </c>
      <c r="I292" s="1228">
        <v>0.653421633554092</v>
      </c>
      <c r="J292" s="1228"/>
      <c r="K292" s="1228">
        <v>-3.8458733261370601</v>
      </c>
      <c r="M292" s="231"/>
      <c r="N292" s="231"/>
      <c r="O292" s="231"/>
      <c r="P292" s="231"/>
      <c r="Q292" s="231"/>
      <c r="R292" s="231"/>
      <c r="S292" s="231"/>
      <c r="T292" s="231"/>
      <c r="U292" s="231"/>
      <c r="V292" s="231"/>
      <c r="W292" s="231"/>
      <c r="X292" s="231"/>
      <c r="Y292" s="231"/>
      <c r="Z292" s="229"/>
    </row>
    <row r="293" spans="3:27" ht="15" customHeight="1">
      <c r="C293" s="1339"/>
      <c r="D293" s="172" t="str">
        <f>IF(Indice_index!$Z$1=1,"junho","June")</f>
        <v>June</v>
      </c>
      <c r="E293" s="1229">
        <v>1.0089465753324938</v>
      </c>
      <c r="F293" s="1229">
        <v>-2.811917242999574</v>
      </c>
      <c r="G293" s="1229">
        <v>3.8819875776397512E-2</v>
      </c>
      <c r="H293" s="1229">
        <v>0.35763006138773484</v>
      </c>
      <c r="I293" s="1229">
        <v>1.6339869281045754</v>
      </c>
      <c r="J293" s="1229"/>
      <c r="K293" s="1229">
        <v>-3.8604954017914848</v>
      </c>
      <c r="M293" s="231"/>
      <c r="N293" s="231"/>
      <c r="O293" s="231"/>
      <c r="P293" s="231"/>
      <c r="Q293" s="231"/>
      <c r="R293" s="231"/>
      <c r="S293" s="231"/>
      <c r="T293" s="231"/>
      <c r="U293" s="231"/>
      <c r="V293" s="231"/>
      <c r="W293" s="231"/>
      <c r="X293" s="231"/>
      <c r="Y293" s="231"/>
      <c r="Z293" s="229"/>
    </row>
    <row r="294" spans="3:27" ht="15" customHeight="1">
      <c r="C294" s="1339"/>
      <c r="D294" s="172" t="str">
        <f>IF(Indice_index!$Z$1=1,"julho","July")</f>
        <v>July</v>
      </c>
      <c r="E294" s="1230">
        <v>0.87046476471044265</v>
      </c>
      <c r="F294" s="1230">
        <v>-2.9544986617253448</v>
      </c>
      <c r="G294" s="1230">
        <v>-0.11328870444976222</v>
      </c>
      <c r="H294" s="1230">
        <v>0.21631045892810968</v>
      </c>
      <c r="I294" s="1230">
        <v>1.9751744133369533</v>
      </c>
      <c r="J294" s="1230"/>
      <c r="K294" s="1230">
        <v>-3.8019891168918276</v>
      </c>
      <c r="M294" s="231"/>
      <c r="N294" s="231"/>
      <c r="O294" s="231"/>
      <c r="P294" s="231"/>
      <c r="Q294" s="231"/>
      <c r="R294" s="231"/>
      <c r="S294" s="231"/>
      <c r="X294" s="229"/>
      <c r="Y294" s="229"/>
      <c r="Z294" s="229"/>
    </row>
    <row r="295" spans="3:27" ht="15" customHeight="1">
      <c r="C295" s="1339"/>
      <c r="D295" s="172" t="str">
        <f>IF(Indice_index!$Z$1=1,"agosto","August")</f>
        <v>August</v>
      </c>
      <c r="E295" s="1231">
        <v>0.73390855896062679</v>
      </c>
      <c r="F295" s="1231">
        <v>-3.1258742288381409</v>
      </c>
      <c r="G295" s="1231">
        <v>-0.26189885744355262</v>
      </c>
      <c r="H295" s="1231">
        <v>7.3919316602000157E-2</v>
      </c>
      <c r="I295" s="1231">
        <v>1.8056901259578966</v>
      </c>
      <c r="J295" s="1231"/>
      <c r="K295" s="1231">
        <v>-3.8096290566176743</v>
      </c>
      <c r="X295" s="229"/>
      <c r="Y295" s="229"/>
      <c r="Z295" s="229"/>
    </row>
    <row r="296" spans="3:27" ht="15" customHeight="1">
      <c r="C296" s="1339"/>
      <c r="D296" s="172" t="str">
        <f>IF(Indice_index!$Z$1=1,"setembro","September")</f>
        <v>September</v>
      </c>
      <c r="E296" s="1237">
        <v>0.73751945929743479</v>
      </c>
      <c r="F296" s="1237">
        <v>-3.2067734607782401</v>
      </c>
      <c r="G296" s="1237">
        <v>-0.2491066623939634</v>
      </c>
      <c r="H296" s="1237">
        <v>7.1884724727881544E-2</v>
      </c>
      <c r="I296" s="1237">
        <v>2.0047690541376002</v>
      </c>
      <c r="J296" s="1237"/>
      <c r="K296" s="1237">
        <v>-3.8470353111068945</v>
      </c>
      <c r="X296" s="229"/>
      <c r="Y296" s="229"/>
      <c r="Z296" s="229"/>
    </row>
    <row r="297" spans="3:27" ht="15" customHeight="1">
      <c r="C297" s="1339"/>
      <c r="D297" s="172" t="str">
        <f>IF(Indice_index!$Z$1=1,"outubro","October")</f>
        <v>October</v>
      </c>
      <c r="E297" s="1238">
        <v>0.7500289866275025</v>
      </c>
      <c r="F297" s="1238">
        <v>-3.2933733425965617</v>
      </c>
      <c r="G297" s="1238">
        <v>-0.17544496472951226</v>
      </c>
      <c r="H297" s="1238">
        <v>9.0736386836886271E-2</v>
      </c>
      <c r="I297" s="1238">
        <v>1.941404871161313</v>
      </c>
      <c r="J297" s="1238"/>
      <c r="K297" s="1238">
        <v>-3.8830706911030974</v>
      </c>
      <c r="X297" s="229"/>
      <c r="Y297" s="229"/>
      <c r="Z297" s="229"/>
    </row>
    <row r="298" spans="3:27" ht="14.25" customHeight="1">
      <c r="C298" s="1338"/>
      <c r="D298" s="172" t="str">
        <f>IF(Indice_index!$Z$1=1,"novembro","November")</f>
        <v>November</v>
      </c>
      <c r="E298" s="1350">
        <v>0.72978779904883762</v>
      </c>
      <c r="F298" s="1350">
        <v>-3.3306182895223988</v>
      </c>
      <c r="G298" s="1350">
        <v>-0.13963272362392254</v>
      </c>
      <c r="H298" s="1350">
        <v>8.3901302401616834E-2</v>
      </c>
      <c r="I298" s="1350">
        <v>1.761034329023629</v>
      </c>
      <c r="J298" s="1350"/>
      <c r="K298" s="1350">
        <v>-3.9483270472669236</v>
      </c>
      <c r="X298" s="229"/>
      <c r="Y298" s="229"/>
      <c r="Z298" s="229"/>
    </row>
    <row r="299" spans="3:27" ht="2.25" hidden="1" customHeight="1">
      <c r="C299" s="1338"/>
      <c r="D299" s="172" t="str">
        <f>IF(Indice_index!$Z$1=1,"dezembro","December")</f>
        <v>December</v>
      </c>
      <c r="E299" s="1233"/>
      <c r="F299" s="1233"/>
      <c r="G299" s="1233"/>
      <c r="H299" s="1233"/>
      <c r="I299" s="1233"/>
      <c r="J299" s="1233"/>
      <c r="K299" s="1233"/>
      <c r="X299" s="229"/>
      <c r="Y299" s="229"/>
      <c r="Z299" s="229"/>
    </row>
    <row r="300" spans="3:27" ht="11.25" customHeight="1">
      <c r="C300" s="1345"/>
      <c r="D300" s="1344"/>
      <c r="E300" s="1344"/>
      <c r="F300" s="1344"/>
      <c r="G300" s="1344"/>
      <c r="H300" s="1344"/>
      <c r="I300" s="1344"/>
      <c r="K300" s="1211"/>
      <c r="X300" s="229"/>
      <c r="Y300" s="229"/>
      <c r="Z300" s="229"/>
    </row>
    <row r="301" spans="3:27" ht="15" customHeight="1">
      <c r="C301" s="1338"/>
      <c r="D301" s="171"/>
      <c r="E301" s="171"/>
      <c r="F301" s="171"/>
      <c r="G301" s="171"/>
      <c r="H301" s="171"/>
      <c r="I301" s="171"/>
      <c r="K301" s="171"/>
      <c r="X301" s="229"/>
      <c r="Y301" s="229"/>
      <c r="Z301" s="229"/>
    </row>
    <row r="302" spans="3:27" ht="15" customHeight="1">
      <c r="C302" s="1338"/>
      <c r="D302" s="171"/>
      <c r="E302" s="171"/>
      <c r="F302" s="171"/>
      <c r="G302" s="171"/>
      <c r="H302" s="171"/>
      <c r="I302" s="171"/>
      <c r="K302" s="171"/>
      <c r="X302" s="229"/>
      <c r="Y302" s="229"/>
      <c r="Z302" s="229"/>
    </row>
    <row r="303" spans="3:27" ht="15" customHeight="1">
      <c r="C303" s="1239" t="str">
        <f>IF(Indice_index!$Z$1=1,"Pensionistas de Aposentação/Reforma - Novos e Abatidos","Retirement Pensioners - New and extinct")</f>
        <v>Retirement Pensioners - New and extinct</v>
      </c>
      <c r="D303" s="1212"/>
      <c r="E303" s="171"/>
      <c r="F303" s="1212"/>
      <c r="G303" s="1212"/>
      <c r="H303" s="171"/>
      <c r="I303" s="171"/>
      <c r="J303" s="171"/>
      <c r="K303" s="171"/>
      <c r="O303" s="85"/>
      <c r="P303" s="229"/>
    </row>
    <row r="304" spans="3:27" ht="11.25" customHeight="1">
      <c r="C304" s="1347"/>
      <c r="D304" s="1240"/>
      <c r="E304" s="1781" t="str">
        <f>IF(Indice_index!$Z$1=1,"Número","Number")</f>
        <v>Number</v>
      </c>
      <c r="F304" s="1781"/>
      <c r="G304" s="1781"/>
      <c r="H304" s="1781"/>
      <c r="I304" s="1781"/>
      <c r="J304" s="1741" t="str">
        <f>IF(Indice_index!$Z$1=1,"Despesa com pensões (€)","Expense with Pensions")</f>
        <v>Expense with Pensions</v>
      </c>
      <c r="K304" s="1741"/>
      <c r="L304" s="1741"/>
      <c r="M304" s="1741"/>
      <c r="N304" s="1741"/>
      <c r="O304" s="1788" t="str">
        <f>IF(Indice_index!$Z$1=1,"Pensão média nova Aposentação/Reforma (€)"," Average Value paid per new Retirment Pensioner")</f>
        <v xml:space="preserve"> Average Value paid per new Retirment Pensioner</v>
      </c>
      <c r="P304" s="1782" t="str">
        <f>IF(Indice_index!$Z$1=1,"Pensão média nova Sobrevivência e Outras (€)"," Average Value paid per new Survival and Others Pensioner")</f>
        <v xml:space="preserve"> Average Value paid per new Survival and Others Pensioner</v>
      </c>
    </row>
    <row r="305" spans="3:20" ht="11.25" customHeight="1">
      <c r="C305" s="1239"/>
      <c r="D305" s="1241"/>
      <c r="E305" s="1781" t="str">
        <f>IF(Indice_index!$Z$1=1,"Novos","New")</f>
        <v>New</v>
      </c>
      <c r="F305" s="1781"/>
      <c r="G305" s="1781"/>
      <c r="H305" s="1781"/>
      <c r="I305" s="1788" t="str">
        <f>IF(Indice_index!$Z$1=1,"Abonos abatidos de Aposentação /Reforma","Allowances deducted from Retirement / Pension")</f>
        <v>Allowances deducted from Retirement / Pension</v>
      </c>
      <c r="J305" s="1741" t="str">
        <f>IF(Indice_index!$Z$1=1,"Novos","New")</f>
        <v>New</v>
      </c>
      <c r="K305" s="1741"/>
      <c r="L305" s="1741"/>
      <c r="M305" s="1741"/>
      <c r="N305" s="1788" t="str">
        <f>IF(Indice_index!$Z$1=1,"Abonos abatidos de Aposentação /Reforma","Allowances deducted from Retirement / Pension")</f>
        <v>Allowances deducted from Retirement / Pension</v>
      </c>
      <c r="O305" s="1788"/>
      <c r="P305" s="1782"/>
      <c r="R305" s="96"/>
      <c r="S305" s="96"/>
      <c r="T305" s="96"/>
    </row>
    <row r="306" spans="3:20" ht="44.25" customHeight="1">
      <c r="C306" s="1345"/>
      <c r="D306" s="1242"/>
      <c r="E306" s="1343" t="str">
        <f>IF(Indice_index!$Z$1=1,"Velhice e Outros Motivos","Old age and other Reasons")</f>
        <v>Old age and other Reasons</v>
      </c>
      <c r="F306" s="1342" t="str">
        <f>IF(Indice_index!$Z$1=1,"Invalidez","Disability")</f>
        <v>Disability</v>
      </c>
      <c r="G306" s="1343" t="str">
        <f>IF(Indice_index!$Z$1=1,"Sobrevivência e Outros","Survival and Others")</f>
        <v>Survival and Others</v>
      </c>
      <c r="H306" s="1343" t="str">
        <f>IF(Indice_index!$Z$1=1,"Total de Pensionistas","Total of Pensioners")</f>
        <v>Total of Pensioners</v>
      </c>
      <c r="I306" s="1788"/>
      <c r="J306" s="1343" t="str">
        <f>IF(Indice_index!$Z$1=1,"Velhice e Outros Motivos","Old age and other Reasons")</f>
        <v>Old age and other Reasons</v>
      </c>
      <c r="K306" s="1342" t="str">
        <f>IF(Indice_index!$Z$1=1,"Invalidez","Disability")</f>
        <v>Disability</v>
      </c>
      <c r="L306" s="1343" t="str">
        <f>IF(Indice_index!$Z$1=1,"Sobrevivência e Outros","Survival and Others")</f>
        <v>Survival and Others</v>
      </c>
      <c r="M306" s="1343" t="str">
        <f>IF(Indice_index!$Z$1=1,"Total","Total")</f>
        <v>Total</v>
      </c>
      <c r="N306" s="1788"/>
      <c r="O306" s="1788"/>
      <c r="P306" s="1782"/>
      <c r="R306" s="96"/>
      <c r="S306" s="96"/>
      <c r="T306" s="96"/>
    </row>
    <row r="307" spans="3:20" hidden="1">
      <c r="C307" s="1341" t="s">
        <v>10</v>
      </c>
      <c r="D307" s="644"/>
      <c r="E307" s="1243"/>
      <c r="F307" s="1243"/>
      <c r="G307" s="1243"/>
      <c r="H307" s="1243"/>
      <c r="I307" s="1243"/>
      <c r="J307" s="1149"/>
      <c r="K307" s="1149"/>
      <c r="L307" s="1149"/>
      <c r="N307" s="1149"/>
      <c r="O307" s="1149"/>
      <c r="P307" s="229"/>
    </row>
    <row r="308" spans="3:20" hidden="1">
      <c r="C308" s="1341"/>
      <c r="D308" s="172" t="str">
        <f>IF(Indice_index!$Z$1=1,"janeiro","January")</f>
        <v>January</v>
      </c>
      <c r="E308" s="1243">
        <v>1471</v>
      </c>
      <c r="F308" s="1243">
        <v>170</v>
      </c>
      <c r="G308" s="1243">
        <v>513</v>
      </c>
      <c r="H308" s="1243">
        <v>2154</v>
      </c>
      <c r="I308" s="1243">
        <v>912</v>
      </c>
      <c r="J308" s="1149">
        <v>2253347.4200000004</v>
      </c>
      <c r="K308" s="1149">
        <v>179900.55</v>
      </c>
      <c r="L308" s="1149">
        <v>249524.43</v>
      </c>
      <c r="M308" s="171">
        <v>2682772.4000000004</v>
      </c>
      <c r="N308" s="1149">
        <v>916372.71</v>
      </c>
      <c r="O308" s="1149">
        <v>1482.8</v>
      </c>
      <c r="P308" s="229">
        <v>486.4</v>
      </c>
    </row>
    <row r="309" spans="3:20" hidden="1">
      <c r="C309" s="1341"/>
      <c r="D309" s="172" t="str">
        <f>IF(Indice_index!$Z$1=1,"fevereiro","February")</f>
        <v>February</v>
      </c>
      <c r="E309" s="1243">
        <v>1939</v>
      </c>
      <c r="F309" s="1243">
        <v>209</v>
      </c>
      <c r="G309" s="1243">
        <v>781</v>
      </c>
      <c r="H309" s="1243">
        <v>2929</v>
      </c>
      <c r="I309" s="1243">
        <v>1065</v>
      </c>
      <c r="J309" s="1149">
        <v>2945192.88</v>
      </c>
      <c r="K309" s="1149">
        <v>229212.15</v>
      </c>
      <c r="L309" s="1149">
        <v>361995.2</v>
      </c>
      <c r="M309" s="171">
        <v>3536400.23</v>
      </c>
      <c r="N309" s="1149">
        <v>1127751.53</v>
      </c>
      <c r="O309" s="1149">
        <v>1477.8</v>
      </c>
      <c r="P309" s="229">
        <v>463.5</v>
      </c>
    </row>
    <row r="310" spans="3:20" hidden="1">
      <c r="C310" s="1341"/>
      <c r="D310" s="172" t="str">
        <f>IF(Indice_index!$Z$1=1,"março","March")</f>
        <v>March</v>
      </c>
      <c r="E310" s="1243">
        <v>1335</v>
      </c>
      <c r="F310" s="1243">
        <v>244</v>
      </c>
      <c r="G310" s="1243">
        <v>917</v>
      </c>
      <c r="H310" s="1243">
        <v>2496</v>
      </c>
      <c r="I310" s="1243">
        <v>1072</v>
      </c>
      <c r="J310" s="1149">
        <v>1800757.79</v>
      </c>
      <c r="K310" s="1149">
        <v>270853.71999999997</v>
      </c>
      <c r="L310" s="1149">
        <v>458403.63</v>
      </c>
      <c r="M310" s="171">
        <v>2530015.14</v>
      </c>
      <c r="N310" s="1149">
        <v>1000274.44</v>
      </c>
      <c r="O310" s="1149">
        <v>1312</v>
      </c>
      <c r="P310" s="229">
        <v>499.9</v>
      </c>
    </row>
    <row r="311" spans="3:20" hidden="1">
      <c r="C311" s="1341"/>
      <c r="D311" s="172" t="str">
        <f>IF(Indice_index!$Z$1=1,"abril","April")</f>
        <v>April</v>
      </c>
      <c r="E311" s="1243">
        <v>1515</v>
      </c>
      <c r="F311" s="1243">
        <v>271</v>
      </c>
      <c r="G311" s="1243">
        <v>913</v>
      </c>
      <c r="H311" s="1243">
        <v>2699</v>
      </c>
      <c r="I311" s="1243">
        <v>1281</v>
      </c>
      <c r="J311" s="1149">
        <v>1784019.16</v>
      </c>
      <c r="K311" s="1149">
        <v>320223.28999999998</v>
      </c>
      <c r="L311" s="1149">
        <v>410277</v>
      </c>
      <c r="M311" s="171">
        <v>2514519.4499999997</v>
      </c>
      <c r="N311" s="1149">
        <v>1232238.1499999999</v>
      </c>
      <c r="O311" s="1149">
        <v>1178.2</v>
      </c>
      <c r="P311" s="229">
        <v>449.4</v>
      </c>
    </row>
    <row r="312" spans="3:20" hidden="1">
      <c r="C312" s="1341"/>
      <c r="D312" s="172" t="str">
        <f>IF(Indice_index!$Z$1=1,"maio","May")</f>
        <v>May</v>
      </c>
      <c r="E312" s="1243">
        <v>1724</v>
      </c>
      <c r="F312" s="1243">
        <v>157</v>
      </c>
      <c r="G312" s="1243">
        <v>787</v>
      </c>
      <c r="H312" s="1243">
        <v>2668</v>
      </c>
      <c r="I312" s="1243">
        <v>1070</v>
      </c>
      <c r="J312" s="1149">
        <v>1822949.91</v>
      </c>
      <c r="K312" s="1149">
        <v>168669.13</v>
      </c>
      <c r="L312" s="1149">
        <v>376886.49</v>
      </c>
      <c r="M312" s="171">
        <v>2368505.5300000003</v>
      </c>
      <c r="N312" s="1149">
        <v>1044103.32</v>
      </c>
      <c r="O312" s="1149">
        <v>1058.8</v>
      </c>
      <c r="P312" s="229">
        <v>478.9</v>
      </c>
    </row>
    <row r="313" spans="3:20" hidden="1">
      <c r="C313" s="1341"/>
      <c r="D313" s="172" t="str">
        <f>IF(Indice_index!$Z$1=1,"junho","June")</f>
        <v>June</v>
      </c>
      <c r="E313" s="1243">
        <v>1732</v>
      </c>
      <c r="F313" s="1243">
        <v>222</v>
      </c>
      <c r="G313" s="1243">
        <v>872</v>
      </c>
      <c r="H313" s="1243">
        <v>2826</v>
      </c>
      <c r="I313" s="1243">
        <v>977</v>
      </c>
      <c r="J313" s="1149">
        <v>1733424.6700000002</v>
      </c>
      <c r="K313" s="1149">
        <v>266897.39999999997</v>
      </c>
      <c r="L313" s="1149">
        <v>419051.86</v>
      </c>
      <c r="M313" s="171">
        <v>2419373.9300000002</v>
      </c>
      <c r="N313" s="1149">
        <v>942522.85</v>
      </c>
      <c r="O313" s="1149">
        <v>1023.7</v>
      </c>
      <c r="P313" s="229">
        <v>480.6</v>
      </c>
    </row>
    <row r="314" spans="3:20" hidden="1">
      <c r="C314" s="1341"/>
      <c r="D314" s="172" t="str">
        <f>IF(Indice_index!$Z$1=1,"julho","July")</f>
        <v>July</v>
      </c>
      <c r="E314" s="1243">
        <v>1581</v>
      </c>
      <c r="F314" s="1243">
        <v>182</v>
      </c>
      <c r="G314" s="1243">
        <v>617</v>
      </c>
      <c r="H314" s="1243">
        <v>2380</v>
      </c>
      <c r="I314" s="1243">
        <v>849</v>
      </c>
      <c r="J314" s="1149">
        <v>1800225.19</v>
      </c>
      <c r="K314" s="1149">
        <v>184002.3</v>
      </c>
      <c r="L314" s="1149">
        <v>274219.46999999997</v>
      </c>
      <c r="M314" s="171">
        <v>2258446.96</v>
      </c>
      <c r="N314" s="1149">
        <v>858439.14</v>
      </c>
      <c r="O314" s="1149">
        <v>1125.5</v>
      </c>
      <c r="P314" s="229">
        <v>444.4</v>
      </c>
    </row>
    <row r="315" spans="3:20" hidden="1">
      <c r="C315" s="1341"/>
      <c r="D315" s="172" t="str">
        <f>IF(Indice_index!$Z$1=1,"agosto","August")</f>
        <v>August</v>
      </c>
      <c r="E315" s="1243">
        <v>1669</v>
      </c>
      <c r="F315" s="1243">
        <v>158</v>
      </c>
      <c r="G315" s="1243">
        <v>772</v>
      </c>
      <c r="H315" s="1243">
        <v>2599</v>
      </c>
      <c r="I315" s="1243">
        <v>741</v>
      </c>
      <c r="J315" s="1149">
        <v>1727876</v>
      </c>
      <c r="K315" s="1149">
        <v>185126</v>
      </c>
      <c r="L315" s="1149">
        <v>352719.34</v>
      </c>
      <c r="M315" s="171">
        <v>2265721.34</v>
      </c>
      <c r="N315" s="1149">
        <v>778258.21</v>
      </c>
      <c r="O315" s="1149">
        <v>1047.0999999999999</v>
      </c>
      <c r="P315" s="229">
        <v>456.9</v>
      </c>
    </row>
    <row r="316" spans="3:20" hidden="1">
      <c r="C316" s="1341"/>
      <c r="D316" s="172" t="str">
        <f>IF(Indice_index!$Z$1=1,"setembro","September")</f>
        <v>September</v>
      </c>
      <c r="E316" s="1243">
        <v>1866</v>
      </c>
      <c r="F316" s="1243">
        <v>170</v>
      </c>
      <c r="G316" s="1243">
        <v>644</v>
      </c>
      <c r="H316" s="1243">
        <v>2680</v>
      </c>
      <c r="I316" s="1243">
        <v>920</v>
      </c>
      <c r="J316" s="1149">
        <v>2272099.3400000003</v>
      </c>
      <c r="K316" s="1149">
        <v>175025.16999999998</v>
      </c>
      <c r="L316" s="1149">
        <v>302947.55</v>
      </c>
      <c r="M316" s="171">
        <v>2750072.06</v>
      </c>
      <c r="N316" s="1149">
        <v>888055.27</v>
      </c>
      <c r="O316" s="1149">
        <v>1201.9000000000001</v>
      </c>
      <c r="P316" s="229">
        <v>470.4</v>
      </c>
    </row>
    <row r="317" spans="3:20" hidden="1">
      <c r="C317" s="1341"/>
      <c r="D317" s="172" t="str">
        <f>IF(Indice_index!$Z$1=1,"outubro","October")</f>
        <v>October</v>
      </c>
      <c r="E317" s="1243">
        <v>1561</v>
      </c>
      <c r="F317" s="1243">
        <v>188</v>
      </c>
      <c r="G317" s="1243">
        <v>580</v>
      </c>
      <c r="H317" s="1243">
        <v>2329</v>
      </c>
      <c r="I317" s="1243">
        <v>832</v>
      </c>
      <c r="J317" s="1149">
        <v>2178361.13</v>
      </c>
      <c r="K317" s="1149">
        <v>234236.07</v>
      </c>
      <c r="L317" s="1149">
        <v>288827.51</v>
      </c>
      <c r="M317" s="171">
        <v>2701424.71</v>
      </c>
      <c r="N317" s="1149">
        <v>809217.05</v>
      </c>
      <c r="O317" s="1149">
        <v>1379.4</v>
      </c>
      <c r="P317" s="229">
        <v>498</v>
      </c>
    </row>
    <row r="318" spans="3:20" hidden="1">
      <c r="C318" s="1341"/>
      <c r="D318" s="172" t="str">
        <f>IF(Indice_index!$Z$1=1,"novembro","November")</f>
        <v>November</v>
      </c>
      <c r="E318" s="1243">
        <v>1234</v>
      </c>
      <c r="F318" s="1243">
        <v>61</v>
      </c>
      <c r="G318" s="1243">
        <v>671</v>
      </c>
      <c r="H318" s="1243">
        <v>1966</v>
      </c>
      <c r="I318" s="1243">
        <v>812</v>
      </c>
      <c r="J318" s="1149">
        <v>1909576.94</v>
      </c>
      <c r="K318" s="1149">
        <v>72721.81</v>
      </c>
      <c r="L318" s="1149">
        <v>305056.65000000002</v>
      </c>
      <c r="M318" s="171">
        <v>2287355.4</v>
      </c>
      <c r="N318" s="1149">
        <v>848710.81</v>
      </c>
      <c r="O318" s="1149">
        <v>1530.7</v>
      </c>
      <c r="P318" s="229">
        <v>454.6</v>
      </c>
    </row>
    <row r="319" spans="3:20" hidden="1">
      <c r="C319" s="1341"/>
      <c r="D319" s="172" t="str">
        <f>IF(Indice_index!$Z$1=1,"dezembro","December")</f>
        <v>December</v>
      </c>
      <c r="E319" s="1243">
        <v>983</v>
      </c>
      <c r="F319" s="1243">
        <v>92</v>
      </c>
      <c r="G319" s="1243">
        <v>718</v>
      </c>
      <c r="H319" s="1243">
        <v>1793</v>
      </c>
      <c r="I319" s="1243">
        <v>886</v>
      </c>
      <c r="J319" s="1149">
        <v>1287264.1600000001</v>
      </c>
      <c r="K319" s="1149">
        <v>95656.23000000001</v>
      </c>
      <c r="L319" s="1149">
        <v>338357.31</v>
      </c>
      <c r="M319" s="171">
        <v>1721277.7000000002</v>
      </c>
      <c r="N319" s="1149">
        <v>931999.81</v>
      </c>
      <c r="O319" s="1149">
        <v>1286.4000000000001</v>
      </c>
      <c r="P319" s="229">
        <v>471.2</v>
      </c>
    </row>
    <row r="320" spans="3:20" hidden="1">
      <c r="C320" s="1341" t="s">
        <v>11</v>
      </c>
      <c r="D320" s="644"/>
      <c r="E320" s="1243"/>
      <c r="F320" s="1243"/>
      <c r="G320" s="1243"/>
      <c r="H320" s="1243"/>
      <c r="I320" s="1243"/>
      <c r="J320" s="1149"/>
      <c r="K320" s="1149"/>
      <c r="L320" s="1149"/>
      <c r="N320" s="1149"/>
      <c r="O320" s="1149"/>
      <c r="P320" s="229"/>
    </row>
    <row r="321" spans="3:16" hidden="1">
      <c r="C321" s="1341"/>
      <c r="D321" s="172" t="str">
        <f>IF(Indice_index!$Z$1=1,"janeiro","January")</f>
        <v>January</v>
      </c>
      <c r="E321" s="1243">
        <v>1613</v>
      </c>
      <c r="F321" s="1243">
        <v>179</v>
      </c>
      <c r="G321" s="1243">
        <v>623</v>
      </c>
      <c r="H321" s="1243">
        <v>2415</v>
      </c>
      <c r="I321" s="1243">
        <v>841</v>
      </c>
      <c r="J321" s="1149">
        <v>2400812.1300000004</v>
      </c>
      <c r="K321" s="1149">
        <v>227341.87</v>
      </c>
      <c r="L321" s="1149">
        <v>301045</v>
      </c>
      <c r="M321" s="171">
        <v>2929199.0000000005</v>
      </c>
      <c r="N321" s="1149">
        <v>866112.06</v>
      </c>
      <c r="O321" s="1149">
        <v>1466.6</v>
      </c>
      <c r="P321" s="229">
        <v>483.2</v>
      </c>
    </row>
    <row r="322" spans="3:16" hidden="1">
      <c r="C322" s="1340"/>
      <c r="D322" s="172" t="str">
        <f>IF(Indice_index!$Z$1=1,"fevereiro","February")</f>
        <v>February</v>
      </c>
      <c r="E322" s="1243">
        <v>1506</v>
      </c>
      <c r="F322" s="1243">
        <v>218</v>
      </c>
      <c r="G322" s="1243">
        <v>731</v>
      </c>
      <c r="H322" s="1243">
        <v>2455</v>
      </c>
      <c r="I322" s="1243">
        <v>1081</v>
      </c>
      <c r="J322" s="1149">
        <v>1862688.8800000001</v>
      </c>
      <c r="K322" s="1149">
        <v>244140.95</v>
      </c>
      <c r="L322" s="1149">
        <v>345412</v>
      </c>
      <c r="M322" s="1149">
        <v>2452241.83</v>
      </c>
      <c r="N322" s="1149">
        <v>1114050.94</v>
      </c>
      <c r="O322" s="1149">
        <v>1222.0999999999999</v>
      </c>
      <c r="P322" s="1149">
        <v>472.5</v>
      </c>
    </row>
    <row r="323" spans="3:16" hidden="1">
      <c r="C323" s="1340"/>
      <c r="D323" s="172" t="str">
        <f>IF(Indice_index!$Z$1=1,"março","March")</f>
        <v>March</v>
      </c>
      <c r="E323" s="1243">
        <v>1681</v>
      </c>
      <c r="F323" s="1243">
        <v>142</v>
      </c>
      <c r="G323" s="1243">
        <v>660</v>
      </c>
      <c r="H323" s="1243">
        <v>2483</v>
      </c>
      <c r="I323" s="1243">
        <v>1094</v>
      </c>
      <c r="J323" s="1149">
        <v>1953254.07</v>
      </c>
      <c r="K323" s="1149">
        <v>165596.85</v>
      </c>
      <c r="L323" s="1149">
        <v>320609</v>
      </c>
      <c r="M323" s="1149">
        <v>2439459.92</v>
      </c>
      <c r="N323" s="1149">
        <v>1038005.63</v>
      </c>
      <c r="O323" s="1149">
        <v>1162.3</v>
      </c>
      <c r="P323" s="1149">
        <v>485.8</v>
      </c>
    </row>
    <row r="324" spans="3:16" hidden="1">
      <c r="C324" s="1340"/>
      <c r="D324" s="172" t="str">
        <f>IF(Indice_index!$Z$1=1,"abril","April")</f>
        <v>April</v>
      </c>
      <c r="E324" s="1243">
        <v>1900</v>
      </c>
      <c r="F324" s="1243">
        <v>177</v>
      </c>
      <c r="G324" s="1243">
        <v>671</v>
      </c>
      <c r="H324" s="1243">
        <v>2748</v>
      </c>
      <c r="I324" s="1243">
        <v>1050</v>
      </c>
      <c r="J324" s="1149">
        <v>2059097.8399999999</v>
      </c>
      <c r="K324" s="1149">
        <v>198424.51</v>
      </c>
      <c r="L324" s="1149">
        <v>356233.68</v>
      </c>
      <c r="M324" s="1149">
        <v>2613756.0299999998</v>
      </c>
      <c r="N324" s="1149">
        <v>1024683.18</v>
      </c>
      <c r="O324" s="1149">
        <v>1086.9000000000001</v>
      </c>
      <c r="P324" s="1149">
        <v>530.9</v>
      </c>
    </row>
    <row r="325" spans="3:16" hidden="1">
      <c r="C325" s="1340"/>
      <c r="D325" s="172" t="str">
        <f>IF(Indice_index!$Z$1=1,"maio","May")</f>
        <v>May</v>
      </c>
      <c r="E325" s="1243">
        <v>1861</v>
      </c>
      <c r="F325" s="1243">
        <v>216</v>
      </c>
      <c r="G325" s="1243">
        <v>735</v>
      </c>
      <c r="H325" s="1243">
        <v>2812</v>
      </c>
      <c r="I325" s="1243">
        <v>1023</v>
      </c>
      <c r="J325" s="1149">
        <v>1969417.4999999998</v>
      </c>
      <c r="K325" s="1149">
        <v>246357.05999999997</v>
      </c>
      <c r="L325" s="1149">
        <v>355275.85</v>
      </c>
      <c r="M325" s="1149">
        <v>2571050.4099999997</v>
      </c>
      <c r="N325" s="1149">
        <v>1030219.37</v>
      </c>
      <c r="O325" s="1149">
        <v>1066.8</v>
      </c>
      <c r="P325" s="1149">
        <v>483.4</v>
      </c>
    </row>
    <row r="326" spans="3:16" hidden="1">
      <c r="C326" s="1340"/>
      <c r="D326" s="172" t="str">
        <f>IF(Indice_index!$Z$1=1,"junho","June")</f>
        <v>June</v>
      </c>
      <c r="E326" s="1243">
        <v>1365</v>
      </c>
      <c r="F326" s="1243">
        <v>384</v>
      </c>
      <c r="G326" s="1243">
        <v>741</v>
      </c>
      <c r="H326" s="1243">
        <v>2490</v>
      </c>
      <c r="I326" s="1243">
        <v>1059</v>
      </c>
      <c r="J326" s="1149">
        <v>1662954.27</v>
      </c>
      <c r="K326" s="1149">
        <v>419758.02999999997</v>
      </c>
      <c r="L326" s="1149">
        <v>355587.63999999996</v>
      </c>
      <c r="M326" s="1149">
        <v>2438299.94</v>
      </c>
      <c r="N326" s="1149">
        <v>1067108.72</v>
      </c>
      <c r="O326" s="1149">
        <v>1190.8</v>
      </c>
      <c r="P326" s="1149">
        <v>479.9</v>
      </c>
    </row>
    <row r="327" spans="3:16" hidden="1">
      <c r="C327" s="1340"/>
      <c r="D327" s="172" t="str">
        <f>IF(Indice_index!$Z$1=1,"julho","July")</f>
        <v>July</v>
      </c>
      <c r="E327" s="1243">
        <v>1213</v>
      </c>
      <c r="F327" s="1243">
        <v>164</v>
      </c>
      <c r="G327" s="1243">
        <v>517</v>
      </c>
      <c r="H327" s="1243">
        <v>1894</v>
      </c>
      <c r="I327" s="1243">
        <v>870</v>
      </c>
      <c r="J327" s="1149">
        <v>1340995.3999999999</v>
      </c>
      <c r="K327" s="1149">
        <v>188130.56</v>
      </c>
      <c r="L327" s="1149">
        <v>252965.25</v>
      </c>
      <c r="M327" s="1149">
        <v>1782091.21</v>
      </c>
      <c r="N327" s="1149">
        <v>901571.89</v>
      </c>
      <c r="O327" s="1149">
        <v>1110.5</v>
      </c>
      <c r="P327" s="1149">
        <v>489.3</v>
      </c>
    </row>
    <row r="328" spans="3:16" hidden="1">
      <c r="C328" s="1340"/>
      <c r="D328" s="172" t="str">
        <f>IF(Indice_index!$Z$1=1,"agosto","August")</f>
        <v>August</v>
      </c>
      <c r="E328" s="1243">
        <v>982</v>
      </c>
      <c r="F328" s="1243">
        <v>127</v>
      </c>
      <c r="G328" s="1243">
        <v>804</v>
      </c>
      <c r="H328" s="1243">
        <v>1913</v>
      </c>
      <c r="I328" s="1243">
        <v>888</v>
      </c>
      <c r="J328" s="1149">
        <v>1183488.18</v>
      </c>
      <c r="K328" s="1149">
        <v>160049.88999999998</v>
      </c>
      <c r="L328" s="1149">
        <v>403157.06999999995</v>
      </c>
      <c r="M328" s="1149">
        <v>1746695.1399999997</v>
      </c>
      <c r="N328" s="1149">
        <v>896681.29</v>
      </c>
      <c r="O328" s="1149">
        <v>1211.5</v>
      </c>
      <c r="P328" s="1149">
        <v>501.4</v>
      </c>
    </row>
    <row r="329" spans="3:16" hidden="1">
      <c r="C329" s="1340"/>
      <c r="D329" s="172" t="str">
        <f>IF(Indice_index!$Z$1=1,"setembro","September")</f>
        <v>September</v>
      </c>
      <c r="E329" s="1243">
        <v>917</v>
      </c>
      <c r="F329" s="1243">
        <v>109</v>
      </c>
      <c r="G329" s="1243">
        <v>593</v>
      </c>
      <c r="H329" s="1243">
        <v>1619</v>
      </c>
      <c r="I329" s="1243">
        <v>1070</v>
      </c>
      <c r="J329" s="1149">
        <v>1135377.3700000001</v>
      </c>
      <c r="K329" s="1149">
        <v>139130.28</v>
      </c>
      <c r="L329" s="1149">
        <v>308089.84000000003</v>
      </c>
      <c r="M329" s="1149">
        <v>1582597.49</v>
      </c>
      <c r="N329" s="1149">
        <v>1129850.44</v>
      </c>
      <c r="O329" s="1149">
        <v>1242.2</v>
      </c>
      <c r="P329" s="1149">
        <v>519.5</v>
      </c>
    </row>
    <row r="330" spans="3:16" hidden="1">
      <c r="C330" s="1340"/>
      <c r="D330" s="172" t="str">
        <f>IF(Indice_index!$Z$1=1,"outubro","October")</f>
        <v>October</v>
      </c>
      <c r="E330" s="1243">
        <v>1029</v>
      </c>
      <c r="F330" s="1243">
        <v>99</v>
      </c>
      <c r="G330" s="1243">
        <v>677</v>
      </c>
      <c r="H330" s="1243">
        <v>1805</v>
      </c>
      <c r="I330" s="1243">
        <v>841</v>
      </c>
      <c r="J330" s="1149">
        <v>1586106.08</v>
      </c>
      <c r="K330" s="1149">
        <v>125250.46</v>
      </c>
      <c r="L330" s="1149">
        <v>298338.21000000002</v>
      </c>
      <c r="M330" s="1149">
        <v>2009694.75</v>
      </c>
      <c r="N330" s="1149">
        <v>890517.06</v>
      </c>
      <c r="O330" s="1149">
        <v>1517.2</v>
      </c>
      <c r="P330" s="1149">
        <v>440.7</v>
      </c>
    </row>
    <row r="331" spans="3:16" hidden="1">
      <c r="C331" s="1340"/>
      <c r="D331" s="172" t="str">
        <f>IF(Indice_index!$Z$1=1,"novembro","November")</f>
        <v>November</v>
      </c>
      <c r="E331" s="1243">
        <v>2024</v>
      </c>
      <c r="F331" s="1243">
        <v>357</v>
      </c>
      <c r="G331" s="1243">
        <v>927</v>
      </c>
      <c r="H331" s="1243">
        <v>3308</v>
      </c>
      <c r="I331" s="1243">
        <v>899</v>
      </c>
      <c r="J331" s="1149">
        <v>3234310.3</v>
      </c>
      <c r="K331" s="1149">
        <v>451766.15</v>
      </c>
      <c r="L331" s="1149">
        <v>474381.68</v>
      </c>
      <c r="M331" s="1149">
        <v>4160458.13</v>
      </c>
      <c r="N331" s="1149">
        <v>973584.25</v>
      </c>
      <c r="O331" s="1149">
        <v>1548.1</v>
      </c>
      <c r="P331" s="1149">
        <v>511.7</v>
      </c>
    </row>
    <row r="332" spans="3:16" hidden="1">
      <c r="C332" s="1340"/>
      <c r="D332" s="172" t="str">
        <f>IF(Indice_index!$Z$1=1,"dezembro","December")</f>
        <v>December</v>
      </c>
      <c r="E332" s="1243">
        <v>1935</v>
      </c>
      <c r="F332" s="1243">
        <v>132</v>
      </c>
      <c r="G332" s="1243">
        <v>881</v>
      </c>
      <c r="H332" s="1243">
        <v>2948</v>
      </c>
      <c r="I332" s="1243">
        <v>911</v>
      </c>
      <c r="J332" s="1149">
        <v>3354755.0300000003</v>
      </c>
      <c r="K332" s="1149">
        <v>152507.60999999999</v>
      </c>
      <c r="L332" s="1149">
        <v>438256.88</v>
      </c>
      <c r="M332" s="1149">
        <v>3945519.52</v>
      </c>
      <c r="N332" s="1149">
        <v>919486.9</v>
      </c>
      <c r="O332" s="1149">
        <v>1696.8</v>
      </c>
      <c r="P332" s="1149">
        <v>497.5</v>
      </c>
    </row>
    <row r="333" spans="3:16" hidden="1">
      <c r="C333" s="1341" t="s">
        <v>12</v>
      </c>
      <c r="D333" s="171"/>
      <c r="E333" s="1243"/>
      <c r="F333" s="1243"/>
      <c r="G333" s="1243"/>
      <c r="H333" s="1243"/>
      <c r="I333" s="1243"/>
      <c r="J333" s="1149"/>
      <c r="K333" s="1149"/>
      <c r="L333" s="1149"/>
      <c r="M333" s="1149"/>
      <c r="N333" s="1149"/>
      <c r="O333" s="1149"/>
      <c r="P333" s="1149"/>
    </row>
    <row r="334" spans="3:16" hidden="1">
      <c r="C334" s="1340"/>
      <c r="D334" s="172" t="str">
        <f>IF(Indice_index!$Z$1=1,"janeiro","January")</f>
        <v>January</v>
      </c>
      <c r="E334" s="1243">
        <v>1562</v>
      </c>
      <c r="F334" s="1243">
        <v>298</v>
      </c>
      <c r="G334" s="1243">
        <v>580</v>
      </c>
      <c r="H334" s="1243">
        <v>2440</v>
      </c>
      <c r="I334" s="1243">
        <v>887</v>
      </c>
      <c r="J334" s="1149">
        <v>2144170.29</v>
      </c>
      <c r="K334" s="1149">
        <v>342562.81</v>
      </c>
      <c r="L334" s="1149">
        <v>264495.68</v>
      </c>
      <c r="M334" s="1149">
        <v>2751228.78</v>
      </c>
      <c r="N334" s="1149">
        <v>938329.29</v>
      </c>
      <c r="O334" s="1149">
        <v>1337</v>
      </c>
      <c r="P334" s="1149">
        <v>456</v>
      </c>
    </row>
    <row r="335" spans="3:16" hidden="1">
      <c r="C335" s="1340"/>
      <c r="D335" s="172" t="str">
        <f>IF(Indice_index!$Z$1=1,"fevereiro","February")</f>
        <v>February</v>
      </c>
      <c r="E335" s="1243">
        <v>1528</v>
      </c>
      <c r="F335" s="1243">
        <v>162</v>
      </c>
      <c r="G335" s="1243">
        <v>750</v>
      </c>
      <c r="H335" s="1243">
        <v>2440</v>
      </c>
      <c r="I335" s="1243">
        <v>1283</v>
      </c>
      <c r="J335" s="1149">
        <v>1757313.13</v>
      </c>
      <c r="K335" s="1149">
        <v>215035.99</v>
      </c>
      <c r="L335" s="1149">
        <v>377259.18</v>
      </c>
      <c r="M335" s="1149">
        <v>2349608.2999999998</v>
      </c>
      <c r="N335" s="1149">
        <v>1295736.5900000001</v>
      </c>
      <c r="O335" s="1149">
        <v>1167.0999999999999</v>
      </c>
      <c r="P335" s="1149">
        <v>503</v>
      </c>
    </row>
    <row r="336" spans="3:16" hidden="1">
      <c r="C336" s="1340"/>
      <c r="D336" s="172" t="str">
        <f>IF(Indice_index!$Z$1=1,"março","March")</f>
        <v>March</v>
      </c>
      <c r="E336" s="1243">
        <v>1569</v>
      </c>
      <c r="F336" s="1243">
        <v>77</v>
      </c>
      <c r="G336" s="1243">
        <v>813</v>
      </c>
      <c r="H336" s="1243">
        <v>2459</v>
      </c>
      <c r="I336" s="1243">
        <v>1102</v>
      </c>
      <c r="J336" s="1149">
        <v>1989226.2</v>
      </c>
      <c r="K336" s="1149">
        <v>95593.09</v>
      </c>
      <c r="L336" s="1149">
        <v>424644.21</v>
      </c>
      <c r="M336" s="1149">
        <v>2509463.5</v>
      </c>
      <c r="N336" s="1149">
        <v>1117527.6599999999</v>
      </c>
      <c r="O336" s="1149">
        <v>1266.5999999999999</v>
      </c>
      <c r="P336" s="1149">
        <v>522.29999999999995</v>
      </c>
    </row>
    <row r="337" spans="3:27" hidden="1">
      <c r="C337" s="1338"/>
      <c r="D337" s="172" t="str">
        <f>IF(Indice_index!$Z$1=1,"abril","April")</f>
        <v>April</v>
      </c>
      <c r="E337" s="1243">
        <v>1334</v>
      </c>
      <c r="F337" s="1243">
        <v>341</v>
      </c>
      <c r="G337" s="1243">
        <v>818</v>
      </c>
      <c r="H337" s="1243">
        <v>2493</v>
      </c>
      <c r="I337" s="1243">
        <v>1031</v>
      </c>
      <c r="J337" s="1149">
        <v>1739113.49</v>
      </c>
      <c r="K337" s="1149">
        <v>381846.29</v>
      </c>
      <c r="L337" s="1149">
        <v>407992.44</v>
      </c>
      <c r="M337" s="1149">
        <v>2528952.2200000002</v>
      </c>
      <c r="N337" s="1149">
        <v>1083317.72</v>
      </c>
      <c r="O337" s="1149">
        <v>1266.2</v>
      </c>
      <c r="P337" s="1149">
        <v>498.8</v>
      </c>
    </row>
    <row r="338" spans="3:27" hidden="1">
      <c r="C338" s="1338"/>
      <c r="D338" s="172" t="str">
        <f>IF(Indice_index!$Z$1=1,"maio","May")</f>
        <v>May</v>
      </c>
      <c r="E338" s="1243">
        <v>1569</v>
      </c>
      <c r="F338" s="1243">
        <v>126</v>
      </c>
      <c r="G338" s="1243">
        <v>646</v>
      </c>
      <c r="H338" s="1243">
        <v>2341</v>
      </c>
      <c r="I338" s="1243">
        <v>921</v>
      </c>
      <c r="J338" s="1149">
        <v>1984561.34</v>
      </c>
      <c r="K338" s="1149">
        <v>142609.82</v>
      </c>
      <c r="L338" s="1149">
        <v>314798.21999999997</v>
      </c>
      <c r="M338" s="1149">
        <v>2441969.38</v>
      </c>
      <c r="N338" s="1149">
        <v>990536</v>
      </c>
      <c r="O338" s="1149">
        <v>1255</v>
      </c>
      <c r="P338" s="1149">
        <v>487.3</v>
      </c>
    </row>
    <row r="339" spans="3:27" hidden="1">
      <c r="C339" s="1338"/>
      <c r="D339" s="172" t="str">
        <f>IF(Indice_index!$Z$1=1,"junho","June")</f>
        <v>June</v>
      </c>
      <c r="E339" s="1243">
        <v>1552</v>
      </c>
      <c r="F339" s="1243">
        <v>186</v>
      </c>
      <c r="G339" s="1243">
        <v>759</v>
      </c>
      <c r="H339" s="1243">
        <v>2497</v>
      </c>
      <c r="I339" s="1243">
        <v>1019</v>
      </c>
      <c r="J339" s="1149">
        <v>1832568.78</v>
      </c>
      <c r="K339" s="1149">
        <v>213884.45</v>
      </c>
      <c r="L339" s="1149">
        <v>378716.78</v>
      </c>
      <c r="M339" s="1149">
        <v>2425170.0099999998</v>
      </c>
      <c r="N339" s="1149">
        <v>1050314.4099999999</v>
      </c>
      <c r="O339" s="1149">
        <v>1177.5</v>
      </c>
      <c r="P339" s="1149">
        <v>499</v>
      </c>
    </row>
    <row r="340" spans="3:27" hidden="1">
      <c r="C340" s="1338"/>
      <c r="D340" s="172" t="str">
        <f>IF(Indice_index!$Z$1=1,"julho","July")</f>
        <v>July</v>
      </c>
      <c r="E340" s="1243">
        <v>1796</v>
      </c>
      <c r="F340" s="1243">
        <v>87</v>
      </c>
      <c r="G340" s="1243">
        <v>13138</v>
      </c>
      <c r="H340" s="1243">
        <v>15021</v>
      </c>
      <c r="I340" s="1243">
        <v>853</v>
      </c>
      <c r="J340" s="1149">
        <v>1927040.2400000002</v>
      </c>
      <c r="K340" s="1149">
        <v>86949.419999999984</v>
      </c>
      <c r="L340" s="1149">
        <v>2496857.39</v>
      </c>
      <c r="M340" s="1149">
        <v>4510847.0500000007</v>
      </c>
      <c r="N340" s="1149">
        <v>877658.51</v>
      </c>
      <c r="O340" s="1149">
        <v>1069.5999999999999</v>
      </c>
      <c r="P340" s="1149">
        <v>190</v>
      </c>
    </row>
    <row r="341" spans="3:27" hidden="1">
      <c r="C341" s="1338"/>
      <c r="D341" s="172" t="str">
        <f>IF(Indice_index!$Z$1=1,"agosto","August")</f>
        <v>August</v>
      </c>
      <c r="E341" s="1243">
        <v>2800</v>
      </c>
      <c r="F341" s="1243">
        <v>285</v>
      </c>
      <c r="G341" s="1243">
        <v>796</v>
      </c>
      <c r="H341" s="1243">
        <v>3881</v>
      </c>
      <c r="I341" s="1243">
        <v>911</v>
      </c>
      <c r="J341" s="1149">
        <v>1784574.77</v>
      </c>
      <c r="K341" s="1149">
        <v>279773.2</v>
      </c>
      <c r="L341" s="1149">
        <v>415378.73</v>
      </c>
      <c r="M341" s="1149">
        <v>2479726.7000000002</v>
      </c>
      <c r="N341" s="1149">
        <v>971128.11</v>
      </c>
      <c r="O341" s="1149">
        <v>669.2</v>
      </c>
      <c r="P341" s="1149">
        <v>521.79999999999995</v>
      </c>
    </row>
    <row r="342" spans="3:27" hidden="1">
      <c r="C342" s="1338"/>
      <c r="D342" s="172" t="str">
        <f>IF(Indice_index!$Z$1=1,"setembro","September")</f>
        <v>September</v>
      </c>
      <c r="E342" s="1243">
        <v>2469</v>
      </c>
      <c r="F342" s="1243">
        <v>270</v>
      </c>
      <c r="G342" s="1243">
        <v>566</v>
      </c>
      <c r="H342" s="1243">
        <v>3305</v>
      </c>
      <c r="I342" s="1243">
        <v>887</v>
      </c>
      <c r="J342" s="1149">
        <v>1750249.17</v>
      </c>
      <c r="K342" s="1149">
        <v>269596.73</v>
      </c>
      <c r="L342" s="1149">
        <v>279032.69</v>
      </c>
      <c r="M342" s="1149">
        <v>2298878.59</v>
      </c>
      <c r="N342" s="1149">
        <v>910999.21</v>
      </c>
      <c r="O342" s="1149">
        <v>737.4</v>
      </c>
      <c r="P342" s="1149">
        <v>493</v>
      </c>
    </row>
    <row r="343" spans="3:27" hidden="1">
      <c r="C343" s="1338"/>
      <c r="D343" s="172" t="str">
        <f>IF(Indice_index!$Z$1=1,"outubro","October")</f>
        <v>October</v>
      </c>
      <c r="E343" s="1243">
        <v>1613</v>
      </c>
      <c r="F343" s="1243">
        <v>100</v>
      </c>
      <c r="G343" s="1243">
        <v>849</v>
      </c>
      <c r="H343" s="1243">
        <v>2562</v>
      </c>
      <c r="I343" s="1243">
        <v>899</v>
      </c>
      <c r="J343" s="1149">
        <v>1797338.73</v>
      </c>
      <c r="K343" s="1149">
        <v>107549.74</v>
      </c>
      <c r="L343" s="1149">
        <v>415703.82</v>
      </c>
      <c r="M343" s="1149">
        <v>2320592.29</v>
      </c>
      <c r="N343" s="1149">
        <v>936966.85</v>
      </c>
      <c r="O343" s="1149">
        <v>1112</v>
      </c>
      <c r="P343" s="1149">
        <v>489</v>
      </c>
    </row>
    <row r="344" spans="3:27" hidden="1">
      <c r="C344" s="1338"/>
      <c r="D344" s="172" t="str">
        <f>IF(Indice_index!$Z$1=1,"novembro","November")</f>
        <v>November</v>
      </c>
      <c r="E344" s="1243">
        <v>1796</v>
      </c>
      <c r="F344" s="1243">
        <v>142</v>
      </c>
      <c r="G344" s="1243">
        <v>834</v>
      </c>
      <c r="H344" s="1243">
        <v>2772</v>
      </c>
      <c r="I344" s="1243">
        <v>1014</v>
      </c>
      <c r="J344" s="1149">
        <v>2281320.89</v>
      </c>
      <c r="K344" s="1149">
        <v>136727.79</v>
      </c>
      <c r="L344" s="1149">
        <v>409322.86</v>
      </c>
      <c r="M344" s="1149">
        <v>2827371.54</v>
      </c>
      <c r="N344" s="1149">
        <v>1047371.52</v>
      </c>
      <c r="O344" s="1149">
        <v>1247.7</v>
      </c>
      <c r="P344" s="1149">
        <v>490.8</v>
      </c>
    </row>
    <row r="345" spans="3:27" hidden="1">
      <c r="C345" s="1338"/>
      <c r="D345" s="172" t="str">
        <f>IF(Indice_index!$Z$1=1,"dezembro","December")</f>
        <v>December</v>
      </c>
      <c r="E345" s="1243">
        <v>1523</v>
      </c>
      <c r="F345" s="1243">
        <v>115</v>
      </c>
      <c r="G345" s="1243">
        <v>677</v>
      </c>
      <c r="H345" s="1243">
        <v>2315</v>
      </c>
      <c r="I345" s="1243">
        <v>936</v>
      </c>
      <c r="J345" s="1149">
        <v>1839898.4</v>
      </c>
      <c r="K345" s="1149">
        <v>100441.60000000001</v>
      </c>
      <c r="L345" s="1149">
        <v>334836.89</v>
      </c>
      <c r="M345" s="1149">
        <v>2275176.89</v>
      </c>
      <c r="N345" s="1149">
        <v>1000387.68</v>
      </c>
      <c r="O345" s="1149">
        <v>1184.5999999999999</v>
      </c>
      <c r="P345" s="1149">
        <v>494.6</v>
      </c>
    </row>
    <row r="346" spans="3:27" hidden="1">
      <c r="C346" s="1339">
        <v>2015</v>
      </c>
      <c r="D346" s="171"/>
      <c r="E346" s="1243"/>
      <c r="F346" s="1243"/>
      <c r="G346" s="1243"/>
      <c r="H346" s="1243"/>
      <c r="I346" s="1243"/>
      <c r="J346" s="1149"/>
      <c r="K346" s="1149"/>
      <c r="L346" s="1149"/>
      <c r="M346" s="1149"/>
      <c r="N346" s="1149"/>
      <c r="O346" s="1149"/>
      <c r="P346" s="1149"/>
    </row>
    <row r="347" spans="3:27" ht="10.5" hidden="1">
      <c r="C347" s="1338"/>
      <c r="D347" s="172" t="str">
        <f>IF(Indice_index!$Z$1=1,"janeiro","January")</f>
        <v>January</v>
      </c>
      <c r="E347" s="1243">
        <v>1770</v>
      </c>
      <c r="F347" s="1243">
        <v>136</v>
      </c>
      <c r="G347" s="1243">
        <v>606</v>
      </c>
      <c r="H347" s="1243">
        <v>2512</v>
      </c>
      <c r="I347" s="1243">
        <v>921</v>
      </c>
      <c r="J347" s="1149">
        <v>2407139.7599999998</v>
      </c>
      <c r="K347" s="1149">
        <v>109758.61</v>
      </c>
      <c r="L347" s="1149">
        <v>299494.09999999998</v>
      </c>
      <c r="M347" s="1149">
        <v>2816392.47</v>
      </c>
      <c r="N347" s="1149">
        <v>975542.06</v>
      </c>
      <c r="O347" s="1149">
        <v>1320.5</v>
      </c>
      <c r="P347" s="1149">
        <v>494.2</v>
      </c>
      <c r="X347" s="229"/>
      <c r="Y347" s="229"/>
      <c r="Z347" s="229"/>
      <c r="AA347" s="229"/>
    </row>
    <row r="348" spans="3:27" hidden="1">
      <c r="C348" s="1338"/>
      <c r="D348" s="172" t="str">
        <f>IF(Indice_index!$Z$1=1,"fevereiro","February")</f>
        <v>February</v>
      </c>
      <c r="E348" s="1243">
        <v>1711</v>
      </c>
      <c r="F348" s="1243">
        <v>94</v>
      </c>
      <c r="G348" s="1243">
        <v>532</v>
      </c>
      <c r="H348" s="1243">
        <v>2337</v>
      </c>
      <c r="I348" s="1243">
        <v>1226</v>
      </c>
      <c r="J348" s="1149">
        <v>2130496.8199999998</v>
      </c>
      <c r="K348" s="1149">
        <v>96635.839999999997</v>
      </c>
      <c r="L348" s="1149">
        <v>306687.09000000003</v>
      </c>
      <c r="M348" s="1149">
        <v>2533819.75</v>
      </c>
      <c r="N348" s="1149">
        <v>1273588.1499999999</v>
      </c>
      <c r="O348" s="1149">
        <v>1233.9000000000001</v>
      </c>
      <c r="P348" s="1149">
        <v>576.5</v>
      </c>
    </row>
    <row r="349" spans="3:27" hidden="1">
      <c r="C349" s="1338"/>
      <c r="D349" s="172" t="str">
        <f>IF(Indice_index!$Z$1=1,"março","March")</f>
        <v>March</v>
      </c>
      <c r="E349" s="1243">
        <v>1863</v>
      </c>
      <c r="F349" s="1243">
        <v>118</v>
      </c>
      <c r="G349" s="1243">
        <v>710</v>
      </c>
      <c r="H349" s="1243">
        <v>2691</v>
      </c>
      <c r="I349" s="1243">
        <v>1438</v>
      </c>
      <c r="J349" s="1149">
        <v>2491570.5099999998</v>
      </c>
      <c r="K349" s="1149">
        <v>123472.14</v>
      </c>
      <c r="L349" s="1149">
        <v>377539.71</v>
      </c>
      <c r="M349" s="1149">
        <v>2992582.36</v>
      </c>
      <c r="N349" s="1149">
        <v>1483538.72</v>
      </c>
      <c r="O349" s="1149">
        <v>1320.1</v>
      </c>
      <c r="P349" s="1149">
        <v>531.70000000000005</v>
      </c>
    </row>
    <row r="350" spans="3:27" hidden="1">
      <c r="C350" s="1338"/>
      <c r="D350" s="172" t="str">
        <f>IF(Indice_index!$Z$1=1,"abril","April")</f>
        <v>April</v>
      </c>
      <c r="E350" s="1243">
        <v>1442</v>
      </c>
      <c r="F350" s="1243">
        <v>218</v>
      </c>
      <c r="G350" s="1243">
        <v>952</v>
      </c>
      <c r="H350" s="1243">
        <v>2612</v>
      </c>
      <c r="I350" s="1243">
        <v>1325</v>
      </c>
      <c r="J350" s="1149">
        <v>1870266.71</v>
      </c>
      <c r="K350" s="1149">
        <v>207453.98</v>
      </c>
      <c r="L350" s="1149">
        <v>493357.47</v>
      </c>
      <c r="M350" s="1149">
        <v>2571078.16</v>
      </c>
      <c r="N350" s="1149">
        <v>1329636.56</v>
      </c>
      <c r="O350" s="1149">
        <v>1251.5999999999999</v>
      </c>
      <c r="P350" s="1149">
        <v>518.20000000000005</v>
      </c>
    </row>
    <row r="351" spans="3:27" hidden="1">
      <c r="C351" s="1338"/>
      <c r="D351" s="172" t="str">
        <f>IF(Indice_index!$Z$1=1,"maio","May")</f>
        <v>May</v>
      </c>
      <c r="E351" s="1243">
        <v>1389</v>
      </c>
      <c r="F351" s="1243">
        <v>135</v>
      </c>
      <c r="G351" s="1243">
        <v>2741</v>
      </c>
      <c r="H351" s="1243">
        <v>4265</v>
      </c>
      <c r="I351" s="1243">
        <v>1072</v>
      </c>
      <c r="J351" s="1149">
        <v>1490666.5</v>
      </c>
      <c r="K351" s="1149">
        <v>128359.52</v>
      </c>
      <c r="L351" s="1149">
        <v>646844.06000000006</v>
      </c>
      <c r="M351" s="1149">
        <v>2265870.08</v>
      </c>
      <c r="N351" s="1149">
        <v>1111609.3999999999</v>
      </c>
      <c r="O351" s="1149">
        <v>1062.4000000000001</v>
      </c>
      <c r="P351" s="1149">
        <v>236</v>
      </c>
    </row>
    <row r="352" spans="3:27" hidden="1">
      <c r="C352" s="1338"/>
      <c r="D352" s="172" t="str">
        <f>IF(Indice_index!$Z$1=1,"junho","June")</f>
        <v>June</v>
      </c>
      <c r="E352" s="1243">
        <v>1220</v>
      </c>
      <c r="F352" s="1243">
        <v>183</v>
      </c>
      <c r="G352" s="1243">
        <v>728</v>
      </c>
      <c r="H352" s="1243">
        <v>2131</v>
      </c>
      <c r="I352" s="1243">
        <v>953</v>
      </c>
      <c r="J352" s="1149">
        <v>1122638.95</v>
      </c>
      <c r="K352" s="1149">
        <v>154324.73000000001</v>
      </c>
      <c r="L352" s="1149">
        <v>340523.99</v>
      </c>
      <c r="M352" s="1149">
        <v>1617487.67</v>
      </c>
      <c r="N352" s="1149">
        <v>979034.81</v>
      </c>
      <c r="O352" s="1149">
        <v>910.2</v>
      </c>
      <c r="P352" s="1149">
        <v>467.8</v>
      </c>
    </row>
    <row r="353" spans="3:16" hidden="1">
      <c r="C353" s="1338"/>
      <c r="D353" s="172" t="str">
        <f>IF(Indice_index!$Z$1=1,"julho","July")</f>
        <v>July</v>
      </c>
      <c r="E353" s="1243">
        <v>665</v>
      </c>
      <c r="F353" s="1243">
        <v>150</v>
      </c>
      <c r="G353" s="1243">
        <v>802</v>
      </c>
      <c r="H353" s="1243">
        <v>1617</v>
      </c>
      <c r="I353" s="1243">
        <v>946</v>
      </c>
      <c r="J353" s="1149">
        <v>799815.27</v>
      </c>
      <c r="K353" s="1149">
        <v>164683.47</v>
      </c>
      <c r="L353" s="1149">
        <v>381132.69</v>
      </c>
      <c r="M353" s="1149">
        <v>1345631.43</v>
      </c>
      <c r="N353" s="1149">
        <v>982409.2</v>
      </c>
      <c r="O353" s="1149">
        <v>1183.4000000000001</v>
      </c>
      <c r="P353" s="1149">
        <v>475.2</v>
      </c>
    </row>
    <row r="354" spans="3:16" hidden="1">
      <c r="C354" s="1338"/>
      <c r="D354" s="172" t="str">
        <f>IF(Indice_index!$Z$1=1,"agosto","August")</f>
        <v>August</v>
      </c>
      <c r="E354" s="1243">
        <v>1267</v>
      </c>
      <c r="F354" s="1243">
        <v>180</v>
      </c>
      <c r="G354" s="1243">
        <v>763</v>
      </c>
      <c r="H354" s="1243">
        <v>2210</v>
      </c>
      <c r="I354" s="1243">
        <v>983</v>
      </c>
      <c r="J354" s="1149">
        <v>729279.21</v>
      </c>
      <c r="K354" s="1149">
        <v>227538.68</v>
      </c>
      <c r="L354" s="1149">
        <v>369190.44</v>
      </c>
      <c r="M354" s="1149">
        <v>1326008.33</v>
      </c>
      <c r="N354" s="1149">
        <v>992158.48</v>
      </c>
      <c r="O354" s="1149">
        <v>661.2</v>
      </c>
      <c r="P354" s="1149">
        <v>483.9</v>
      </c>
    </row>
    <row r="355" spans="3:16" hidden="1">
      <c r="C355" s="1338"/>
      <c r="D355" s="172" t="str">
        <f>IF(Indice_index!$Z$1=1,"setembro","September")</f>
        <v>September</v>
      </c>
      <c r="E355" s="1243">
        <v>967</v>
      </c>
      <c r="F355" s="1243">
        <v>184</v>
      </c>
      <c r="G355" s="1243">
        <v>748</v>
      </c>
      <c r="H355" s="1243">
        <v>1899</v>
      </c>
      <c r="I355" s="1243">
        <v>953</v>
      </c>
      <c r="J355" s="1149">
        <v>1047387.66</v>
      </c>
      <c r="K355" s="1149">
        <v>182236.75</v>
      </c>
      <c r="L355" s="1149">
        <v>397882.89</v>
      </c>
      <c r="M355" s="1149">
        <v>1627507.3000000003</v>
      </c>
      <c r="N355" s="1149">
        <v>1040644.97</v>
      </c>
      <c r="O355" s="1149">
        <v>1068.3</v>
      </c>
      <c r="P355" s="1149">
        <v>531.9</v>
      </c>
    </row>
    <row r="356" spans="3:16" hidden="1">
      <c r="C356" s="1338"/>
      <c r="D356" s="172" t="str">
        <f>IF(Indice_index!$Z$1=1,"outubro","October")</f>
        <v>October</v>
      </c>
      <c r="E356" s="1243">
        <v>788</v>
      </c>
      <c r="F356" s="1243">
        <v>158</v>
      </c>
      <c r="G356" s="1243">
        <v>547</v>
      </c>
      <c r="H356" s="1243">
        <v>1493</v>
      </c>
      <c r="I356" s="1243">
        <v>909</v>
      </c>
      <c r="J356" s="1149">
        <v>718601.03</v>
      </c>
      <c r="K356" s="1149">
        <v>195071.44</v>
      </c>
      <c r="L356" s="1149">
        <v>275368.63</v>
      </c>
      <c r="M356" s="1149">
        <v>1189041.1000000001</v>
      </c>
      <c r="N356" s="1149">
        <v>914422.88</v>
      </c>
      <c r="O356" s="1149">
        <v>965.8</v>
      </c>
      <c r="P356" s="1149">
        <v>503.4</v>
      </c>
    </row>
    <row r="357" spans="3:16" hidden="1">
      <c r="C357" s="1338"/>
      <c r="D357" s="172" t="str">
        <f>IF(Indice_index!$Z$1=1,"novembro","November")</f>
        <v>November</v>
      </c>
      <c r="E357" s="1243">
        <v>646</v>
      </c>
      <c r="F357" s="1243">
        <v>82</v>
      </c>
      <c r="G357" s="1243">
        <v>767</v>
      </c>
      <c r="H357" s="1243">
        <v>1495</v>
      </c>
      <c r="I357" s="1243">
        <v>974</v>
      </c>
      <c r="J357" s="1149">
        <v>678062.34</v>
      </c>
      <c r="K357" s="1149">
        <v>78490.509999999995</v>
      </c>
      <c r="L357" s="1149">
        <v>407768.24</v>
      </c>
      <c r="M357" s="1149">
        <v>1164321.0900000001</v>
      </c>
      <c r="N357" s="1149">
        <v>1016231.87</v>
      </c>
      <c r="O357" s="1149">
        <v>1039.2</v>
      </c>
      <c r="P357" s="1149">
        <v>531.6</v>
      </c>
    </row>
    <row r="358" spans="3:16" hidden="1">
      <c r="C358" s="1338"/>
      <c r="D358" s="172" t="str">
        <f>IF(Indice_index!$Z$1=1,"dezembro","December")</f>
        <v>December</v>
      </c>
      <c r="E358" s="1243">
        <v>647</v>
      </c>
      <c r="F358" s="1243">
        <v>185</v>
      </c>
      <c r="G358" s="1243">
        <v>719</v>
      </c>
      <c r="H358" s="1243">
        <v>1551</v>
      </c>
      <c r="I358" s="1243">
        <v>935</v>
      </c>
      <c r="J358" s="1149">
        <v>645465.87</v>
      </c>
      <c r="K358" s="1149">
        <v>219634.42</v>
      </c>
      <c r="L358" s="1149">
        <v>340514.09</v>
      </c>
      <c r="M358" s="1149">
        <v>1205614.3799999999</v>
      </c>
      <c r="N358" s="1149">
        <v>983801.21</v>
      </c>
      <c r="O358" s="1149">
        <v>1039.8</v>
      </c>
      <c r="P358" s="1149">
        <v>473.6</v>
      </c>
    </row>
    <row r="359" spans="3:16" hidden="1">
      <c r="C359" s="297">
        <v>2016</v>
      </c>
      <c r="D359" s="171"/>
      <c r="E359" s="1243"/>
      <c r="F359" s="1243"/>
      <c r="G359" s="1243"/>
      <c r="H359" s="1243"/>
      <c r="I359" s="1243"/>
      <c r="J359" s="1149"/>
      <c r="K359" s="1149"/>
      <c r="L359" s="1149"/>
      <c r="M359" s="1149"/>
      <c r="N359" s="1149"/>
      <c r="O359" s="1149"/>
      <c r="P359" s="1149"/>
    </row>
    <row r="360" spans="3:16" hidden="1">
      <c r="C360" s="1338"/>
      <c r="D360" s="172" t="str">
        <f>IF(Indice_index!$Z$1=1,"janeiro","January")</f>
        <v>January</v>
      </c>
      <c r="E360" s="1243">
        <v>581</v>
      </c>
      <c r="F360" s="1243">
        <v>114</v>
      </c>
      <c r="G360" s="1243">
        <v>551</v>
      </c>
      <c r="H360" s="1243">
        <v>1246</v>
      </c>
      <c r="I360" s="1243">
        <v>898</v>
      </c>
      <c r="J360" s="1149">
        <v>556067.03</v>
      </c>
      <c r="K360" s="1149">
        <v>121174.09</v>
      </c>
      <c r="L360" s="1149">
        <v>286234.01</v>
      </c>
      <c r="M360" s="1149">
        <v>963475.13</v>
      </c>
      <c r="N360" s="1149">
        <v>965165.38</v>
      </c>
      <c r="O360" s="1149">
        <v>974.4</v>
      </c>
      <c r="P360" s="1149">
        <v>519.5</v>
      </c>
    </row>
    <row r="361" spans="3:16" hidden="1">
      <c r="C361" s="1338"/>
      <c r="D361" s="172" t="str">
        <f>IF(Indice_index!$Z$1=1,"fevereiro","February")</f>
        <v>February</v>
      </c>
      <c r="E361" s="1243">
        <v>608</v>
      </c>
      <c r="F361" s="1243">
        <v>81</v>
      </c>
      <c r="G361" s="1243">
        <v>608</v>
      </c>
      <c r="H361" s="1243">
        <v>1297</v>
      </c>
      <c r="I361" s="1243">
        <v>1117</v>
      </c>
      <c r="J361" s="1149">
        <v>577088.16</v>
      </c>
      <c r="K361" s="1149">
        <v>93877.26</v>
      </c>
      <c r="L361" s="1149">
        <v>298416.71999999997</v>
      </c>
      <c r="M361" s="1149">
        <v>969381.14</v>
      </c>
      <c r="N361" s="1149">
        <v>1166900.32</v>
      </c>
      <c r="O361" s="1149">
        <v>973.8</v>
      </c>
      <c r="P361" s="1149">
        <v>490.8</v>
      </c>
    </row>
    <row r="362" spans="3:16" hidden="1">
      <c r="C362" s="1338"/>
      <c r="D362" s="172" t="str">
        <f>IF(Indice_index!$Z$1=1,"março","March")</f>
        <v>March</v>
      </c>
      <c r="E362" s="1243">
        <v>743</v>
      </c>
      <c r="F362" s="1243">
        <v>142</v>
      </c>
      <c r="G362" s="1243">
        <v>663</v>
      </c>
      <c r="H362" s="1243">
        <v>1548</v>
      </c>
      <c r="I362" s="1243">
        <v>1172</v>
      </c>
      <c r="J362" s="1149">
        <v>757732.41</v>
      </c>
      <c r="K362" s="1149">
        <v>164022.62</v>
      </c>
      <c r="L362" s="1149">
        <v>348417.45</v>
      </c>
      <c r="M362" s="1149">
        <v>1270172.48</v>
      </c>
      <c r="N362" s="1149">
        <v>1212648.3999999999</v>
      </c>
      <c r="O362" s="1149">
        <v>1041.5</v>
      </c>
      <c r="P362" s="1149">
        <v>525.5</v>
      </c>
    </row>
    <row r="363" spans="3:16" hidden="1">
      <c r="C363" s="1338"/>
      <c r="D363" s="172" t="str">
        <f>IF(Indice_index!$Z$1=1,"abril","April")</f>
        <v>April</v>
      </c>
      <c r="E363" s="1243">
        <v>796</v>
      </c>
      <c r="F363" s="1243">
        <v>145</v>
      </c>
      <c r="G363" s="1243">
        <v>810</v>
      </c>
      <c r="H363" s="1243">
        <v>1751</v>
      </c>
      <c r="I363" s="1243">
        <v>1163</v>
      </c>
      <c r="J363" s="1149">
        <v>709955.13</v>
      </c>
      <c r="K363" s="1149">
        <v>144923.67000000001</v>
      </c>
      <c r="L363" s="1149">
        <v>423348.57</v>
      </c>
      <c r="M363" s="1149">
        <v>1278227.3700000001</v>
      </c>
      <c r="N363" s="1149">
        <v>1280346.29</v>
      </c>
      <c r="O363" s="1149">
        <v>908.4</v>
      </c>
      <c r="P363" s="1149">
        <v>522.70000000000005</v>
      </c>
    </row>
    <row r="364" spans="3:16" hidden="1">
      <c r="C364" s="1338"/>
      <c r="D364" s="172" t="str">
        <f>IF(Indice_index!$Z$1=1,"maio","May")</f>
        <v>May</v>
      </c>
      <c r="E364" s="1243">
        <v>540</v>
      </c>
      <c r="F364" s="1243">
        <v>127</v>
      </c>
      <c r="G364" s="1243">
        <v>707</v>
      </c>
      <c r="H364" s="1243">
        <v>1374</v>
      </c>
      <c r="I364" s="1243">
        <v>1143</v>
      </c>
      <c r="J364" s="1149">
        <v>447117.33</v>
      </c>
      <c r="K364" s="1149">
        <v>130857.16</v>
      </c>
      <c r="L364" s="1149">
        <v>347806.21</v>
      </c>
      <c r="M364" s="1149">
        <v>925780.7</v>
      </c>
      <c r="N364" s="1149">
        <v>1225053.6299999999</v>
      </c>
      <c r="O364" s="1149">
        <v>866.5</v>
      </c>
      <c r="P364" s="1149">
        <v>491.9</v>
      </c>
    </row>
    <row r="365" spans="3:16" hidden="1">
      <c r="C365" s="1338"/>
      <c r="D365" s="172" t="str">
        <f>IF(Indice_index!$Z$1=1,"junho","June")</f>
        <v>June</v>
      </c>
      <c r="E365" s="1243">
        <v>602</v>
      </c>
      <c r="F365" s="1243">
        <v>151</v>
      </c>
      <c r="G365" s="1243">
        <v>906</v>
      </c>
      <c r="H365" s="1244">
        <v>1659</v>
      </c>
      <c r="I365" s="1243">
        <v>1092</v>
      </c>
      <c r="J365" s="1149">
        <v>463727.65</v>
      </c>
      <c r="K365" s="1149">
        <v>137148.81</v>
      </c>
      <c r="L365" s="1149">
        <v>458482.88</v>
      </c>
      <c r="M365" s="1245">
        <v>1059359.3400000001</v>
      </c>
      <c r="N365" s="1149">
        <v>1125006.02</v>
      </c>
      <c r="O365" s="229">
        <v>798</v>
      </c>
      <c r="P365" s="229">
        <v>506.1</v>
      </c>
    </row>
    <row r="366" spans="3:16" hidden="1">
      <c r="C366" s="1338"/>
      <c r="D366" s="172" t="str">
        <f>IF(Indice_index!$Z$1=1,"julho","July")</f>
        <v>July</v>
      </c>
      <c r="E366" s="1243">
        <v>489</v>
      </c>
      <c r="F366" s="1243">
        <v>172</v>
      </c>
      <c r="G366" s="1243">
        <v>633</v>
      </c>
      <c r="H366" s="1244">
        <v>1294</v>
      </c>
      <c r="I366" s="1243">
        <v>957</v>
      </c>
      <c r="J366" s="1149">
        <v>416511.64</v>
      </c>
      <c r="K366" s="1149">
        <v>160737.88</v>
      </c>
      <c r="L366" s="1149">
        <v>316744.83</v>
      </c>
      <c r="M366" s="1245">
        <v>893994.35</v>
      </c>
      <c r="N366" s="1149">
        <v>1020151.33</v>
      </c>
      <c r="O366" s="229">
        <v>873.3</v>
      </c>
      <c r="P366" s="229">
        <v>500.4</v>
      </c>
    </row>
    <row r="367" spans="3:16" hidden="1">
      <c r="C367" s="1338"/>
      <c r="D367" s="172" t="str">
        <f>IF(Indice_index!$Z$1=1,"agosto","August")</f>
        <v>August</v>
      </c>
      <c r="E367" s="1243">
        <v>503</v>
      </c>
      <c r="F367" s="1243">
        <v>167</v>
      </c>
      <c r="G367" s="1243">
        <v>559</v>
      </c>
      <c r="H367" s="1244">
        <v>1229</v>
      </c>
      <c r="I367" s="1243">
        <v>911</v>
      </c>
      <c r="J367" s="1149">
        <v>441955.65</v>
      </c>
      <c r="K367" s="1149">
        <v>168720.69</v>
      </c>
      <c r="L367" s="1149">
        <v>270402.07</v>
      </c>
      <c r="M367" s="1245">
        <v>881078.41000000015</v>
      </c>
      <c r="N367" s="1149">
        <v>989137.72</v>
      </c>
      <c r="O367" s="229">
        <v>911.5</v>
      </c>
      <c r="P367" s="229">
        <v>483.7</v>
      </c>
    </row>
    <row r="368" spans="3:16" hidden="1">
      <c r="C368" s="1338"/>
      <c r="D368" s="172" t="str">
        <f>IF(Indice_index!$Z$1=1,"setembro","September")</f>
        <v>September</v>
      </c>
      <c r="E368" s="1243">
        <v>561</v>
      </c>
      <c r="F368" s="1243">
        <v>197</v>
      </c>
      <c r="G368" s="1243">
        <v>647</v>
      </c>
      <c r="H368" s="1244">
        <v>1405</v>
      </c>
      <c r="I368" s="1243">
        <v>966</v>
      </c>
      <c r="J368" s="1149">
        <v>590543.46</v>
      </c>
      <c r="K368" s="1149">
        <v>187237.62</v>
      </c>
      <c r="L368" s="1149">
        <v>341862.92</v>
      </c>
      <c r="M368" s="1245">
        <v>1119644</v>
      </c>
      <c r="N368" s="1149">
        <v>1028801.2</v>
      </c>
      <c r="O368" s="229">
        <v>1026.0999999999999</v>
      </c>
      <c r="P368" s="229">
        <v>528.4</v>
      </c>
    </row>
    <row r="369" spans="3:29" hidden="1">
      <c r="C369" s="1338"/>
      <c r="D369" s="172" t="str">
        <f>IF(Indice_index!$Z$1=1,"outubro","October")</f>
        <v>October</v>
      </c>
      <c r="E369" s="1243">
        <v>523</v>
      </c>
      <c r="F369" s="1243">
        <v>146</v>
      </c>
      <c r="G369" s="1243">
        <v>491</v>
      </c>
      <c r="H369" s="1244">
        <v>1160</v>
      </c>
      <c r="I369" s="1243">
        <v>1004</v>
      </c>
      <c r="J369" s="1149">
        <v>481812.93</v>
      </c>
      <c r="K369" s="1149">
        <v>139106.82</v>
      </c>
      <c r="L369" s="1149">
        <v>246229.43</v>
      </c>
      <c r="M369" s="1245">
        <v>867149.18</v>
      </c>
      <c r="N369" s="1149">
        <v>1043795.75</v>
      </c>
      <c r="O369" s="229">
        <v>928.1</v>
      </c>
      <c r="P369" s="229">
        <v>501.5</v>
      </c>
    </row>
    <row r="370" spans="3:29" hidden="1">
      <c r="C370" s="1338"/>
      <c r="D370" s="172" t="str">
        <f>IF(Indice_index!$Z$1=1,"novembro","November")</f>
        <v>November</v>
      </c>
      <c r="E370" s="1243">
        <v>450</v>
      </c>
      <c r="F370" s="1243">
        <v>80</v>
      </c>
      <c r="G370" s="1243">
        <v>774</v>
      </c>
      <c r="H370" s="1244">
        <v>1304</v>
      </c>
      <c r="I370" s="1243">
        <v>946</v>
      </c>
      <c r="J370" s="1149">
        <v>408562.65</v>
      </c>
      <c r="K370" s="1149">
        <v>72794.44</v>
      </c>
      <c r="L370" s="1149">
        <v>390158.55</v>
      </c>
      <c r="M370" s="1245">
        <v>871515.61</v>
      </c>
      <c r="N370" s="1149">
        <v>977121.49</v>
      </c>
      <c r="O370" s="229">
        <v>908.2</v>
      </c>
      <c r="P370" s="229">
        <v>504.1</v>
      </c>
    </row>
    <row r="371" spans="3:29" hidden="1">
      <c r="C371" s="1338"/>
      <c r="D371" s="172" t="str">
        <f>IF(Indice_index!$Z$1=1,"dezembro","December")</f>
        <v>December</v>
      </c>
      <c r="E371" s="1243">
        <v>634</v>
      </c>
      <c r="F371" s="1243">
        <v>175</v>
      </c>
      <c r="G371" s="1243">
        <v>650</v>
      </c>
      <c r="H371" s="1244">
        <v>1459</v>
      </c>
      <c r="I371" s="1243">
        <v>1013</v>
      </c>
      <c r="J371" s="1149">
        <v>637254.05000000005</v>
      </c>
      <c r="K371" s="1149">
        <v>156384.87</v>
      </c>
      <c r="L371" s="1149">
        <v>321538.2</v>
      </c>
      <c r="M371" s="1245">
        <v>1115177.1200000001</v>
      </c>
      <c r="N371" s="1149">
        <v>1087068.3899999999</v>
      </c>
      <c r="O371" s="229">
        <v>981</v>
      </c>
      <c r="P371" s="229">
        <v>494.7</v>
      </c>
    </row>
    <row r="372" spans="3:29" hidden="1">
      <c r="C372" s="297">
        <v>2017</v>
      </c>
      <c r="D372" s="171"/>
      <c r="E372" s="1243"/>
      <c r="F372" s="1243"/>
      <c r="G372" s="1243"/>
      <c r="H372" s="1243"/>
      <c r="I372" s="1243"/>
      <c r="J372" s="1149"/>
      <c r="K372" s="1149"/>
      <c r="L372" s="1149"/>
      <c r="M372" s="1149"/>
      <c r="N372" s="1149"/>
      <c r="O372" s="1149"/>
      <c r="P372" s="1149"/>
    </row>
    <row r="373" spans="3:29" s="171" customFormat="1" ht="10.5" hidden="1">
      <c r="C373" s="1246"/>
      <c r="D373" s="172" t="str">
        <f>IF(Indice_index!$Z$1=1,"janeiro","January")</f>
        <v>January</v>
      </c>
      <c r="E373" s="1243">
        <v>786</v>
      </c>
      <c r="F373" s="1243">
        <v>140</v>
      </c>
      <c r="G373" s="1243">
        <v>593</v>
      </c>
      <c r="H373" s="1243">
        <v>1519</v>
      </c>
      <c r="I373" s="1243">
        <v>977</v>
      </c>
      <c r="J373" s="1149">
        <v>578370.84</v>
      </c>
      <c r="K373" s="1149">
        <v>138294.88</v>
      </c>
      <c r="L373" s="1149">
        <v>296116.46999999997</v>
      </c>
      <c r="M373" s="1149">
        <v>1012782.19</v>
      </c>
      <c r="N373" s="1149">
        <v>1011409.09</v>
      </c>
      <c r="O373" s="1149">
        <v>773.9</v>
      </c>
      <c r="P373" s="1149">
        <v>499.4</v>
      </c>
      <c r="R373" s="229"/>
      <c r="S373" s="229"/>
      <c r="T373" s="229"/>
      <c r="U373" s="229"/>
      <c r="V373" s="229"/>
      <c r="W373" s="229"/>
      <c r="X373" s="229"/>
      <c r="Y373" s="229"/>
      <c r="Z373" s="229"/>
      <c r="AA373" s="229"/>
      <c r="AB373" s="229"/>
      <c r="AC373" s="229"/>
    </row>
    <row r="374" spans="3:29" s="171" customFormat="1" ht="10.5" hidden="1">
      <c r="C374" s="1246"/>
      <c r="D374" s="172" t="str">
        <f>IF(Indice_index!$Z$1=1,"fevereiro","February")</f>
        <v>February</v>
      </c>
      <c r="E374" s="1243">
        <v>573</v>
      </c>
      <c r="F374" s="1243">
        <v>127</v>
      </c>
      <c r="G374" s="1243">
        <v>756</v>
      </c>
      <c r="H374" s="1243">
        <v>1456</v>
      </c>
      <c r="I374" s="1243">
        <v>1520</v>
      </c>
      <c r="J374" s="1149">
        <v>582431.9</v>
      </c>
      <c r="K374" s="1149">
        <v>128892.18</v>
      </c>
      <c r="L374" s="1149">
        <v>394383.93</v>
      </c>
      <c r="M374" s="1149">
        <v>1105708.01</v>
      </c>
      <c r="N374" s="1149">
        <v>1609971.21</v>
      </c>
      <c r="O374" s="1149">
        <v>1016.2</v>
      </c>
      <c r="P374" s="1149">
        <v>521.70000000000005</v>
      </c>
      <c r="R374" s="229"/>
      <c r="S374" s="229"/>
      <c r="T374" s="229"/>
      <c r="U374" s="229"/>
      <c r="V374" s="229"/>
      <c r="W374" s="229"/>
      <c r="X374" s="229"/>
      <c r="Y374" s="229"/>
      <c r="Z374" s="229"/>
      <c r="AA374" s="229"/>
      <c r="AB374" s="229"/>
      <c r="AC374" s="229"/>
    </row>
    <row r="375" spans="3:29" ht="10.5" hidden="1">
      <c r="C375" s="297"/>
      <c r="D375" s="172" t="str">
        <f>IF(Indice_index!$Z$1=1,"março","March")</f>
        <v>March</v>
      </c>
      <c r="E375" s="1243">
        <v>374</v>
      </c>
      <c r="F375" s="1243">
        <v>148</v>
      </c>
      <c r="G375" s="1243">
        <v>899</v>
      </c>
      <c r="H375" s="1243">
        <v>1421</v>
      </c>
      <c r="I375" s="1243">
        <v>1377</v>
      </c>
      <c r="J375" s="1149">
        <v>394397.49</v>
      </c>
      <c r="K375" s="1149">
        <v>160746.25</v>
      </c>
      <c r="L375" s="1149">
        <v>461100.92</v>
      </c>
      <c r="M375" s="1149">
        <v>1016244.66</v>
      </c>
      <c r="N375" s="1149">
        <v>1410294.92</v>
      </c>
      <c r="O375" s="1149">
        <v>1063.5</v>
      </c>
      <c r="P375" s="1149">
        <v>512.9</v>
      </c>
      <c r="X375" s="229"/>
      <c r="Y375" s="229"/>
      <c r="Z375" s="229"/>
      <c r="AA375" s="229"/>
    </row>
    <row r="376" spans="3:29" ht="10.5" hidden="1">
      <c r="C376" s="297"/>
      <c r="D376" s="172" t="str">
        <f>IF(Indice_index!$Z$1=1,"abril","April")</f>
        <v>April</v>
      </c>
      <c r="E376" s="1243">
        <v>541</v>
      </c>
      <c r="F376" s="1243">
        <v>157</v>
      </c>
      <c r="G376" s="1243">
        <v>820</v>
      </c>
      <c r="H376" s="1243">
        <v>1518</v>
      </c>
      <c r="I376" s="1243">
        <v>1227</v>
      </c>
      <c r="J376" s="1149">
        <v>649425</v>
      </c>
      <c r="K376" s="1149">
        <v>142514.06</v>
      </c>
      <c r="L376" s="1149">
        <v>435970.18</v>
      </c>
      <c r="M376" s="1149">
        <v>1227909.24</v>
      </c>
      <c r="N376" s="1149">
        <v>1306714.6399999999</v>
      </c>
      <c r="O376" s="1149">
        <v>1134.5999999999999</v>
      </c>
      <c r="P376" s="1149">
        <v>531.70000000000005</v>
      </c>
      <c r="X376" s="229"/>
      <c r="Y376" s="229"/>
      <c r="Z376" s="229"/>
      <c r="AA376" s="229"/>
    </row>
    <row r="377" spans="3:29" ht="12.75" hidden="1" customHeight="1">
      <c r="C377" s="297"/>
      <c r="D377" s="172" t="str">
        <f>IF(Indice_index!$Z$1=1,"maio","May")</f>
        <v>May</v>
      </c>
      <c r="E377" s="1243">
        <v>787</v>
      </c>
      <c r="F377" s="1243">
        <v>137</v>
      </c>
      <c r="G377" s="1243">
        <v>667</v>
      </c>
      <c r="H377" s="1243">
        <v>1591</v>
      </c>
      <c r="I377" s="1243">
        <v>965</v>
      </c>
      <c r="J377" s="1149">
        <v>1126009.55</v>
      </c>
      <c r="K377" s="1149">
        <v>142162</v>
      </c>
      <c r="L377" s="1149">
        <v>344238.68</v>
      </c>
      <c r="M377" s="1149">
        <v>1612410.23</v>
      </c>
      <c r="N377" s="1149">
        <v>1013052.58</v>
      </c>
      <c r="O377" s="1149">
        <v>1372.5</v>
      </c>
      <c r="P377" s="1149">
        <v>516.1</v>
      </c>
      <c r="X377" s="229"/>
      <c r="Y377" s="229"/>
      <c r="Z377" s="229"/>
      <c r="AA377" s="229"/>
    </row>
    <row r="378" spans="3:29" ht="12.75" hidden="1" customHeight="1">
      <c r="C378" s="297"/>
      <c r="D378" s="172" t="str">
        <f>IF(Indice_index!$Z$1=1,"junho","June")</f>
        <v>June</v>
      </c>
      <c r="E378" s="1243">
        <v>1047</v>
      </c>
      <c r="F378" s="1243">
        <v>142</v>
      </c>
      <c r="G378" s="1243">
        <v>828</v>
      </c>
      <c r="H378" s="1243">
        <v>2017</v>
      </c>
      <c r="I378" s="1243">
        <v>1057</v>
      </c>
      <c r="J378" s="1149">
        <v>1177461.47</v>
      </c>
      <c r="K378" s="1149">
        <v>163205.15</v>
      </c>
      <c r="L378" s="1149">
        <v>427465.75</v>
      </c>
      <c r="M378" s="1149">
        <v>1768132.37</v>
      </c>
      <c r="N378" s="1149">
        <v>1121550.1299999999</v>
      </c>
      <c r="O378" s="1149">
        <v>1127.5999999999999</v>
      </c>
      <c r="P378" s="1149">
        <v>516.29999999999995</v>
      </c>
      <c r="X378" s="229"/>
      <c r="Y378" s="229"/>
      <c r="Z378" s="229"/>
      <c r="AA378" s="229"/>
    </row>
    <row r="379" spans="3:29" ht="12.75" hidden="1" customHeight="1">
      <c r="C379" s="297"/>
      <c r="D379" s="172" t="str">
        <f>IF(Indice_index!$Z$1=1,"julho","July")</f>
        <v>July</v>
      </c>
      <c r="E379" s="1243">
        <v>1387</v>
      </c>
      <c r="F379" s="1243">
        <v>166</v>
      </c>
      <c r="G379" s="1243">
        <v>557</v>
      </c>
      <c r="H379" s="1243">
        <v>2110</v>
      </c>
      <c r="I379" s="1243">
        <v>988</v>
      </c>
      <c r="J379" s="1149">
        <v>1562695.69</v>
      </c>
      <c r="K379" s="1149">
        <v>159216.19</v>
      </c>
      <c r="L379" s="1149">
        <v>302530.78999999998</v>
      </c>
      <c r="M379" s="1149">
        <v>2024442.67</v>
      </c>
      <c r="N379" s="1149">
        <v>1023568.02</v>
      </c>
      <c r="O379" s="1149">
        <v>1108.8</v>
      </c>
      <c r="P379" s="1149">
        <v>543.1</v>
      </c>
      <c r="X379" s="229"/>
      <c r="Y379" s="229"/>
      <c r="Z379" s="229"/>
      <c r="AA379" s="229"/>
    </row>
    <row r="380" spans="3:29" ht="12.75" hidden="1" customHeight="1">
      <c r="C380" s="297"/>
      <c r="D380" s="172" t="str">
        <f>IF(Indice_index!$Z$1=1,"agosto","August")</f>
        <v>August</v>
      </c>
      <c r="E380" s="1243">
        <v>1277</v>
      </c>
      <c r="F380" s="1243">
        <v>113</v>
      </c>
      <c r="G380" s="1243">
        <v>567</v>
      </c>
      <c r="H380" s="1243">
        <v>1957</v>
      </c>
      <c r="I380" s="1243">
        <v>995</v>
      </c>
      <c r="J380" s="1149">
        <v>1333807.08</v>
      </c>
      <c r="K380" s="1149">
        <v>126989.99</v>
      </c>
      <c r="L380" s="1149">
        <v>297063.33</v>
      </c>
      <c r="M380" s="1149">
        <v>1757860.4</v>
      </c>
      <c r="N380" s="1149">
        <v>914810.8</v>
      </c>
      <c r="O380" s="1149">
        <v>1050.9000000000001</v>
      </c>
      <c r="P380" s="1149">
        <v>523.9</v>
      </c>
      <c r="X380" s="229"/>
      <c r="Y380" s="229"/>
      <c r="Z380" s="229"/>
      <c r="AA380" s="229"/>
    </row>
    <row r="381" spans="3:29" ht="12.75" hidden="1" customHeight="1">
      <c r="C381" s="297"/>
      <c r="D381" s="172" t="str">
        <f>IF(Indice_index!$Z$1=1,"setembro","September")</f>
        <v>September</v>
      </c>
      <c r="E381" s="1243">
        <v>935</v>
      </c>
      <c r="F381" s="1243">
        <v>180</v>
      </c>
      <c r="G381" s="1243">
        <v>648</v>
      </c>
      <c r="H381" s="1243">
        <v>1763</v>
      </c>
      <c r="I381" s="1243">
        <v>925</v>
      </c>
      <c r="J381" s="1149">
        <v>1395259.46</v>
      </c>
      <c r="K381" s="1149">
        <v>185588.5</v>
      </c>
      <c r="L381" s="1149">
        <v>325847.75</v>
      </c>
      <c r="M381" s="1149">
        <v>1906695.71</v>
      </c>
      <c r="N381" s="1149">
        <v>1001667.37</v>
      </c>
      <c r="O381" s="1149">
        <v>1417.8</v>
      </c>
      <c r="P381" s="1149">
        <v>502.9</v>
      </c>
      <c r="X381" s="229"/>
      <c r="Y381" s="229"/>
      <c r="Z381" s="229"/>
      <c r="AA381" s="229"/>
    </row>
    <row r="382" spans="3:29" ht="12.75" hidden="1" customHeight="1">
      <c r="C382" s="297"/>
      <c r="D382" s="172" t="str">
        <f>IF(Indice_index!$Z$1=1,"outubro","October")</f>
        <v>October</v>
      </c>
      <c r="E382" s="1243">
        <v>1011</v>
      </c>
      <c r="F382" s="1243">
        <v>67</v>
      </c>
      <c r="G382" s="1243">
        <v>4020</v>
      </c>
      <c r="H382" s="1243">
        <v>5098</v>
      </c>
      <c r="I382" s="1243">
        <v>941</v>
      </c>
      <c r="J382" s="1149">
        <v>1275119.77</v>
      </c>
      <c r="K382" s="1149">
        <v>80781.440000000002</v>
      </c>
      <c r="L382" s="1149">
        <v>886881.41</v>
      </c>
      <c r="M382" s="1149">
        <v>2242782.62</v>
      </c>
      <c r="N382" s="1149">
        <v>1009636.48</v>
      </c>
      <c r="O382" s="1149">
        <v>1257.8</v>
      </c>
      <c r="P382" s="1149">
        <v>220.6</v>
      </c>
      <c r="X382" s="229"/>
      <c r="Y382" s="229"/>
      <c r="Z382" s="229"/>
      <c r="AA382" s="229"/>
    </row>
    <row r="383" spans="3:29" s="171" customFormat="1" ht="12.75" hidden="1" customHeight="1">
      <c r="C383" s="1246"/>
      <c r="D383" s="172" t="str">
        <f>IF(Indice_index!$Z$1=1,"novembro","November")</f>
        <v>November</v>
      </c>
      <c r="E383" s="1243">
        <v>1160</v>
      </c>
      <c r="F383" s="1243">
        <v>161</v>
      </c>
      <c r="G383" s="1243">
        <v>717</v>
      </c>
      <c r="H383" s="1243">
        <v>2038</v>
      </c>
      <c r="I383" s="1243">
        <v>979</v>
      </c>
      <c r="J383" s="1149">
        <v>1888615.66</v>
      </c>
      <c r="K383" s="1149">
        <v>155626.68</v>
      </c>
      <c r="L383" s="1149">
        <v>360787.04</v>
      </c>
      <c r="M383" s="1149">
        <v>2405029.38</v>
      </c>
      <c r="N383" s="1149">
        <v>1056929.01</v>
      </c>
      <c r="O383" s="1149">
        <v>1547.5</v>
      </c>
      <c r="P383" s="1149">
        <v>503.2</v>
      </c>
      <c r="R383" s="229"/>
      <c r="S383" s="229"/>
      <c r="T383" s="229"/>
      <c r="U383" s="229"/>
      <c r="V383" s="229"/>
      <c r="W383" s="229"/>
      <c r="X383" s="229"/>
      <c r="Y383" s="229"/>
      <c r="Z383" s="229"/>
      <c r="AA383" s="229"/>
      <c r="AB383" s="229"/>
      <c r="AC383" s="229"/>
    </row>
    <row r="384" spans="3:29" ht="10.5" hidden="1">
      <c r="C384" s="1338"/>
      <c r="D384" s="172" t="str">
        <f>IF(Indice_index!$Z$1=1,"dezembro","December")</f>
        <v>December</v>
      </c>
      <c r="E384" s="1243">
        <v>698</v>
      </c>
      <c r="F384" s="1243">
        <v>184</v>
      </c>
      <c r="G384" s="1243">
        <v>851</v>
      </c>
      <c r="H384" s="1243">
        <v>1733</v>
      </c>
      <c r="I384" s="1243">
        <v>1084</v>
      </c>
      <c r="J384" s="1149">
        <v>798282.51</v>
      </c>
      <c r="K384" s="1149">
        <v>152255.45000000001</v>
      </c>
      <c r="L384" s="1149">
        <v>447597.94</v>
      </c>
      <c r="M384" s="1149">
        <v>1398135.9</v>
      </c>
      <c r="N384" s="1149">
        <v>1138241.57</v>
      </c>
      <c r="O384" s="1149">
        <v>1077.7</v>
      </c>
      <c r="P384" s="1149">
        <v>526</v>
      </c>
      <c r="X384" s="229"/>
      <c r="Y384" s="229"/>
      <c r="Z384" s="229"/>
      <c r="AA384" s="229"/>
    </row>
    <row r="385" spans="3:29" ht="15" hidden="1" customHeight="1">
      <c r="C385" s="297">
        <v>2018</v>
      </c>
      <c r="D385" s="171"/>
      <c r="E385" s="1243"/>
      <c r="F385" s="1243"/>
      <c r="G385" s="1243"/>
      <c r="H385" s="1243"/>
      <c r="I385" s="1243"/>
      <c r="J385" s="1149"/>
      <c r="K385" s="1149"/>
      <c r="L385" s="1149"/>
      <c r="M385" s="1149"/>
      <c r="N385" s="1149"/>
      <c r="O385" s="1149"/>
      <c r="P385" s="1149"/>
    </row>
    <row r="386" spans="3:29" s="171" customFormat="1" ht="15" hidden="1" customHeight="1">
      <c r="C386" s="1246"/>
      <c r="D386" s="172" t="str">
        <f>IF(Indice_index!$Z$1=1,"janeiro","January")</f>
        <v>January</v>
      </c>
      <c r="E386" s="170">
        <v>704</v>
      </c>
      <c r="F386" s="170">
        <v>125</v>
      </c>
      <c r="G386" s="170">
        <v>557</v>
      </c>
      <c r="H386" s="170">
        <v>1386</v>
      </c>
      <c r="I386" s="170">
        <v>982</v>
      </c>
      <c r="J386" s="229">
        <v>649244.81999999995</v>
      </c>
      <c r="K386" s="229">
        <v>118696.11</v>
      </c>
      <c r="L386" s="229">
        <v>289384.83</v>
      </c>
      <c r="M386" s="229">
        <v>1057325.76</v>
      </c>
      <c r="N386" s="229">
        <v>1016310.96</v>
      </c>
      <c r="O386" s="229">
        <v>926.3</v>
      </c>
      <c r="P386" s="229">
        <v>519.5</v>
      </c>
      <c r="R386" s="230"/>
      <c r="S386" s="230"/>
      <c r="T386" s="230"/>
      <c r="U386" s="230"/>
      <c r="V386" s="230"/>
      <c r="W386" s="230"/>
      <c r="X386" s="230"/>
      <c r="Y386" s="230"/>
      <c r="Z386" s="230"/>
      <c r="AA386" s="230"/>
      <c r="AB386" s="230"/>
      <c r="AC386" s="230"/>
    </row>
    <row r="387" spans="3:29" s="171" customFormat="1" ht="15" hidden="1" customHeight="1">
      <c r="C387" s="1246"/>
      <c r="D387" s="172" t="str">
        <f>IF(Indice_index!$Z$1=1,"fevereiro","February")</f>
        <v>February</v>
      </c>
      <c r="E387" s="170">
        <v>736</v>
      </c>
      <c r="F387" s="170">
        <v>82</v>
      </c>
      <c r="G387" s="170">
        <v>677</v>
      </c>
      <c r="H387" s="170">
        <v>1495</v>
      </c>
      <c r="I387" s="170">
        <v>1351</v>
      </c>
      <c r="J387" s="229">
        <v>984989.74</v>
      </c>
      <c r="K387" s="229">
        <v>91052.5</v>
      </c>
      <c r="L387" s="229">
        <v>356073.66</v>
      </c>
      <c r="M387" s="229">
        <v>1432115.9</v>
      </c>
      <c r="N387" s="229">
        <v>1446462.79</v>
      </c>
      <c r="O387" s="229">
        <v>1315.5</v>
      </c>
      <c r="P387" s="229">
        <v>526</v>
      </c>
      <c r="R387" s="230"/>
      <c r="S387" s="230"/>
      <c r="T387" s="230"/>
      <c r="U387" s="230"/>
      <c r="V387" s="230"/>
      <c r="W387" s="230"/>
      <c r="X387" s="230"/>
      <c r="Y387" s="230"/>
      <c r="Z387" s="230"/>
      <c r="AA387" s="230"/>
      <c r="AB387" s="230"/>
      <c r="AC387" s="230"/>
    </row>
    <row r="388" spans="3:29" ht="15" hidden="1" customHeight="1">
      <c r="C388" s="297"/>
      <c r="D388" s="172" t="str">
        <f>IF(Indice_index!$Z$1=1,"março","March")</f>
        <v>March</v>
      </c>
      <c r="E388" s="170">
        <v>671</v>
      </c>
      <c r="F388" s="170">
        <v>170</v>
      </c>
      <c r="G388" s="170">
        <v>607</v>
      </c>
      <c r="H388" s="170">
        <v>1448</v>
      </c>
      <c r="I388" s="170">
        <v>1314</v>
      </c>
      <c r="J388" s="229">
        <v>906528.91</v>
      </c>
      <c r="K388" s="229">
        <v>161943.29999999999</v>
      </c>
      <c r="L388" s="229">
        <v>334897.33</v>
      </c>
      <c r="M388" s="229">
        <v>1403369.54</v>
      </c>
      <c r="N388" s="229">
        <v>1384282.53</v>
      </c>
      <c r="O388" s="229">
        <v>1270.5</v>
      </c>
      <c r="P388" s="229">
        <v>551.70000000000005</v>
      </c>
      <c r="R388" s="230"/>
      <c r="S388" s="230"/>
      <c r="T388" s="230"/>
      <c r="U388" s="230"/>
      <c r="V388" s="230"/>
      <c r="W388" s="230"/>
      <c r="X388" s="230"/>
      <c r="Y388" s="230"/>
      <c r="Z388" s="230"/>
      <c r="AA388" s="230"/>
      <c r="AB388" s="230"/>
      <c r="AC388" s="230"/>
    </row>
    <row r="389" spans="3:29" ht="15" hidden="1" customHeight="1">
      <c r="C389" s="297"/>
      <c r="D389" s="172" t="str">
        <f>IF(Indice_index!$Z$1=1,"abril","April")</f>
        <v>April</v>
      </c>
      <c r="E389" s="170">
        <v>662</v>
      </c>
      <c r="F389" s="170">
        <v>121</v>
      </c>
      <c r="G389" s="170">
        <v>664</v>
      </c>
      <c r="H389" s="170">
        <v>1447</v>
      </c>
      <c r="I389" s="170">
        <v>1498</v>
      </c>
      <c r="J389" s="229">
        <v>880272.05</v>
      </c>
      <c r="K389" s="229">
        <v>130755.48</v>
      </c>
      <c r="L389" s="229">
        <v>334385.78000000003</v>
      </c>
      <c r="M389" s="229">
        <v>1345413.31</v>
      </c>
      <c r="N389" s="229">
        <v>1619775.04</v>
      </c>
      <c r="O389" s="229">
        <v>1291.2</v>
      </c>
      <c r="P389" s="229">
        <v>503.6</v>
      </c>
      <c r="R389" s="230"/>
      <c r="S389" s="230"/>
      <c r="T389" s="230"/>
      <c r="U389" s="230"/>
      <c r="V389" s="230"/>
      <c r="W389" s="230"/>
      <c r="X389" s="230"/>
      <c r="Y389" s="230"/>
      <c r="Z389" s="230"/>
      <c r="AA389" s="230"/>
      <c r="AB389" s="230"/>
      <c r="AC389" s="230"/>
    </row>
    <row r="390" spans="3:29" ht="15" hidden="1" customHeight="1">
      <c r="C390" s="297"/>
      <c r="D390" s="172" t="str">
        <f>IF(Indice_index!$Z$1=1,"maio","May")</f>
        <v>May</v>
      </c>
      <c r="E390" s="170">
        <v>960</v>
      </c>
      <c r="F390" s="170">
        <v>137</v>
      </c>
      <c r="G390" s="170">
        <v>652</v>
      </c>
      <c r="H390" s="170">
        <v>1749</v>
      </c>
      <c r="I390" s="170">
        <v>995</v>
      </c>
      <c r="J390" s="229">
        <v>1360647.94</v>
      </c>
      <c r="K390" s="229">
        <v>138764.43</v>
      </c>
      <c r="L390" s="229">
        <v>364375</v>
      </c>
      <c r="M390" s="229">
        <v>1863787.37</v>
      </c>
      <c r="N390" s="229">
        <v>1084089.8</v>
      </c>
      <c r="O390" s="229">
        <v>1366.8</v>
      </c>
      <c r="P390" s="229">
        <v>558.9</v>
      </c>
      <c r="R390" s="230"/>
      <c r="S390" s="230"/>
      <c r="T390" s="230"/>
      <c r="U390" s="230"/>
      <c r="V390" s="230"/>
      <c r="W390" s="230"/>
      <c r="X390" s="230"/>
      <c r="Y390" s="230"/>
      <c r="Z390" s="230"/>
      <c r="AA390" s="230"/>
      <c r="AB390" s="230"/>
      <c r="AC390" s="230"/>
    </row>
    <row r="391" spans="3:29" ht="15" hidden="1" customHeight="1">
      <c r="C391" s="297"/>
      <c r="D391" s="172" t="str">
        <f>IF(Indice_index!$Z$1=1,"junho","June")</f>
        <v>June</v>
      </c>
      <c r="E391" s="170">
        <v>719</v>
      </c>
      <c r="F391" s="170">
        <v>122</v>
      </c>
      <c r="G391" s="170">
        <v>607</v>
      </c>
      <c r="H391" s="170">
        <v>1448</v>
      </c>
      <c r="I391" s="170">
        <v>1188</v>
      </c>
      <c r="J391" s="229">
        <v>1057409.9099999999</v>
      </c>
      <c r="K391" s="229">
        <v>111931.88</v>
      </c>
      <c r="L391" s="229">
        <v>329419.95</v>
      </c>
      <c r="M391" s="229">
        <v>1498761.74</v>
      </c>
      <c r="N391" s="229">
        <v>1318705.6299999999</v>
      </c>
      <c r="O391" s="229">
        <v>1390.4</v>
      </c>
      <c r="P391" s="229">
        <v>542.70000000000005</v>
      </c>
      <c r="R391" s="230"/>
      <c r="S391" s="230"/>
      <c r="T391" s="230"/>
      <c r="U391" s="230"/>
      <c r="V391" s="230"/>
      <c r="W391" s="230"/>
      <c r="X391" s="230"/>
      <c r="Y391" s="230"/>
      <c r="Z391" s="230"/>
      <c r="AA391" s="230"/>
      <c r="AB391" s="230"/>
      <c r="AC391" s="230"/>
    </row>
    <row r="392" spans="3:29" ht="15" hidden="1" customHeight="1">
      <c r="C392" s="297"/>
      <c r="D392" s="172" t="str">
        <f>IF(Indice_index!$Z$1=1,"julho","July")</f>
        <v>July</v>
      </c>
      <c r="E392" s="170">
        <v>693</v>
      </c>
      <c r="F392" s="170">
        <v>129</v>
      </c>
      <c r="G392" s="170">
        <v>701</v>
      </c>
      <c r="H392" s="170">
        <v>1523</v>
      </c>
      <c r="I392" s="170">
        <v>988</v>
      </c>
      <c r="J392" s="229">
        <v>919354.92</v>
      </c>
      <c r="K392" s="229">
        <v>121307.29</v>
      </c>
      <c r="L392" s="229">
        <v>370489.63</v>
      </c>
      <c r="M392" s="229">
        <v>1411151.84</v>
      </c>
      <c r="N392" s="229">
        <v>1101581.99</v>
      </c>
      <c r="O392" s="229">
        <v>1266</v>
      </c>
      <c r="P392" s="229">
        <v>528.5</v>
      </c>
      <c r="R392" s="230"/>
      <c r="S392" s="230"/>
      <c r="T392" s="230"/>
      <c r="U392" s="230"/>
      <c r="V392" s="230"/>
      <c r="W392" s="230"/>
      <c r="X392" s="230"/>
      <c r="Y392" s="230"/>
      <c r="Z392" s="230"/>
      <c r="AA392" s="230"/>
      <c r="AB392" s="230"/>
      <c r="AC392" s="230"/>
    </row>
    <row r="393" spans="3:29" ht="15" hidden="1" customHeight="1">
      <c r="C393" s="297"/>
      <c r="D393" s="172" t="str">
        <f>IF(Indice_index!$Z$1=1,"agosto","August")</f>
        <v>August</v>
      </c>
      <c r="E393" s="1243">
        <v>808</v>
      </c>
      <c r="F393" s="1243">
        <v>99</v>
      </c>
      <c r="G393" s="1243">
        <v>576</v>
      </c>
      <c r="H393" s="1243">
        <v>1483</v>
      </c>
      <c r="I393" s="1243">
        <v>948</v>
      </c>
      <c r="J393" s="1149">
        <v>1121156.8400000001</v>
      </c>
      <c r="K393" s="1149">
        <v>125035.88</v>
      </c>
      <c r="L393" s="1149">
        <v>296873.08</v>
      </c>
      <c r="M393" s="1149">
        <v>1543065.8</v>
      </c>
      <c r="N393" s="1149">
        <v>997270.6</v>
      </c>
      <c r="O393" s="1149">
        <v>1374</v>
      </c>
      <c r="P393" s="1149">
        <v>515.4</v>
      </c>
      <c r="R393" s="230"/>
      <c r="S393" s="230"/>
      <c r="T393" s="230"/>
      <c r="U393" s="230"/>
      <c r="V393" s="230"/>
      <c r="W393" s="230"/>
      <c r="X393" s="230"/>
      <c r="Y393" s="230"/>
      <c r="Z393" s="230"/>
      <c r="AA393" s="230"/>
      <c r="AB393" s="230"/>
      <c r="AC393" s="230"/>
    </row>
    <row r="394" spans="3:29" ht="15" hidden="1" customHeight="1">
      <c r="C394" s="297"/>
      <c r="D394" s="172" t="str">
        <f>IF(Indice_index!$Z$1=1,"setembro","September")</f>
        <v>September</v>
      </c>
      <c r="E394" s="1243">
        <v>898</v>
      </c>
      <c r="F394" s="1243">
        <v>139</v>
      </c>
      <c r="G394" s="1243">
        <v>635</v>
      </c>
      <c r="H394" s="1243">
        <v>1672</v>
      </c>
      <c r="I394" s="1243">
        <v>1000</v>
      </c>
      <c r="J394" s="1149">
        <v>1227038.67</v>
      </c>
      <c r="K394" s="1149">
        <v>134826.20000000001</v>
      </c>
      <c r="L394" s="1149">
        <v>335400.65999999997</v>
      </c>
      <c r="M394" s="1149">
        <v>1697265.53</v>
      </c>
      <c r="N394" s="1149">
        <v>1112186.8</v>
      </c>
      <c r="O394" s="1149">
        <v>1313.3</v>
      </c>
      <c r="P394" s="1149">
        <v>528.20000000000005</v>
      </c>
      <c r="R394" s="230"/>
      <c r="S394" s="230"/>
      <c r="T394" s="230"/>
      <c r="U394" s="230"/>
      <c r="V394" s="230"/>
      <c r="W394" s="230"/>
      <c r="X394" s="230"/>
      <c r="Y394" s="230"/>
      <c r="Z394" s="230"/>
      <c r="AA394" s="230"/>
      <c r="AB394" s="230"/>
      <c r="AC394" s="230"/>
    </row>
    <row r="395" spans="3:29" ht="15" hidden="1" customHeight="1">
      <c r="C395" s="297"/>
      <c r="D395" s="172" t="str">
        <f>IF(Indice_index!$Z$1=1,"outubro","October")</f>
        <v>October</v>
      </c>
      <c r="E395" s="1243">
        <v>595</v>
      </c>
      <c r="F395" s="1243">
        <v>90</v>
      </c>
      <c r="G395" s="1243">
        <v>549</v>
      </c>
      <c r="H395" s="1243">
        <v>1234</v>
      </c>
      <c r="I395" s="1243">
        <v>1098</v>
      </c>
      <c r="J395" s="1149">
        <v>853401.65</v>
      </c>
      <c r="K395" s="1149">
        <v>109404.93</v>
      </c>
      <c r="L395" s="1149">
        <v>297062.19</v>
      </c>
      <c r="M395" s="1149">
        <v>1259868.77</v>
      </c>
      <c r="N395" s="1149">
        <v>1220062.75</v>
      </c>
      <c r="O395" s="1149">
        <v>1405.6</v>
      </c>
      <c r="P395" s="1149">
        <v>541.1</v>
      </c>
      <c r="R395" s="230"/>
      <c r="S395" s="230"/>
      <c r="T395" s="230"/>
      <c r="U395" s="230"/>
      <c r="V395" s="230"/>
      <c r="W395" s="230"/>
      <c r="X395" s="230"/>
      <c r="Y395" s="230"/>
      <c r="Z395" s="230"/>
      <c r="AA395" s="230"/>
      <c r="AB395" s="230"/>
      <c r="AC395" s="230"/>
    </row>
    <row r="396" spans="3:29" s="171" customFormat="1" ht="15" hidden="1" customHeight="1">
      <c r="C396" s="1246"/>
      <c r="D396" s="172" t="str">
        <f>IF(Indice_index!$Z$1=1,"novembro","November")</f>
        <v>November</v>
      </c>
      <c r="E396" s="1243">
        <v>721</v>
      </c>
      <c r="F396" s="1243">
        <v>134</v>
      </c>
      <c r="G396" s="1243">
        <v>920</v>
      </c>
      <c r="H396" s="1243">
        <v>1775</v>
      </c>
      <c r="I396" s="1243">
        <v>979</v>
      </c>
      <c r="J396" s="1149">
        <v>913278.22</v>
      </c>
      <c r="K396" s="1149">
        <v>154092.66</v>
      </c>
      <c r="L396" s="1149">
        <v>529161.11</v>
      </c>
      <c r="M396" s="1149">
        <v>1596531.99</v>
      </c>
      <c r="N396" s="1149">
        <v>1070531.94</v>
      </c>
      <c r="O396" s="1149">
        <v>1248.4000000000001</v>
      </c>
      <c r="P396" s="1149">
        <v>575.20000000000005</v>
      </c>
      <c r="R396" s="230"/>
      <c r="S396" s="230"/>
      <c r="T396" s="230"/>
      <c r="U396" s="230"/>
      <c r="V396" s="230"/>
      <c r="W396" s="230"/>
      <c r="X396" s="230"/>
      <c r="Y396" s="230"/>
      <c r="Z396" s="230"/>
      <c r="AA396" s="230"/>
      <c r="AB396" s="230"/>
      <c r="AC396" s="230"/>
    </row>
    <row r="397" spans="3:29" ht="15" hidden="1" customHeight="1">
      <c r="C397" s="1338"/>
      <c r="D397" s="172" t="str">
        <f>IF(Indice_index!$Z$1=1,"dezembro","December")</f>
        <v>December</v>
      </c>
      <c r="E397" s="1243">
        <v>876</v>
      </c>
      <c r="F397" s="1243">
        <v>218</v>
      </c>
      <c r="G397" s="1243">
        <v>830</v>
      </c>
      <c r="H397" s="1243">
        <v>1924</v>
      </c>
      <c r="I397" s="1243">
        <v>1013</v>
      </c>
      <c r="J397" s="1149">
        <v>1300968.45</v>
      </c>
      <c r="K397" s="1149">
        <v>230659.94</v>
      </c>
      <c r="L397" s="1149">
        <v>471993.47</v>
      </c>
      <c r="M397" s="1149">
        <v>2003621.86</v>
      </c>
      <c r="N397" s="1149">
        <v>1096958.03</v>
      </c>
      <c r="O397" s="1149">
        <v>1400</v>
      </c>
      <c r="P397" s="1149">
        <v>568.70000000000005</v>
      </c>
      <c r="R397" s="230"/>
      <c r="S397" s="230"/>
      <c r="T397" s="230"/>
      <c r="U397" s="230"/>
      <c r="V397" s="230"/>
      <c r="W397" s="230"/>
      <c r="X397" s="230"/>
      <c r="Y397" s="230"/>
      <c r="Z397" s="230"/>
      <c r="AA397" s="230"/>
      <c r="AB397" s="230"/>
      <c r="AC397" s="230"/>
    </row>
    <row r="398" spans="3:29" ht="15" customHeight="1">
      <c r="C398" s="297">
        <v>2019</v>
      </c>
      <c r="D398" s="171"/>
      <c r="E398" s="1243"/>
      <c r="F398" s="1243"/>
      <c r="G398" s="1243"/>
      <c r="H398" s="1243"/>
      <c r="I398" s="1243"/>
      <c r="J398" s="1149"/>
      <c r="K398" s="1149"/>
      <c r="L398" s="1149"/>
      <c r="M398" s="1149"/>
      <c r="N398" s="1149"/>
      <c r="O398" s="1149"/>
      <c r="P398" s="1149"/>
      <c r="R398" s="230"/>
      <c r="S398" s="230"/>
      <c r="T398" s="230"/>
      <c r="U398" s="230"/>
      <c r="V398" s="230"/>
      <c r="W398" s="230"/>
      <c r="X398" s="230"/>
      <c r="Y398" s="230"/>
      <c r="Z398" s="230"/>
      <c r="AA398" s="230"/>
      <c r="AB398" s="230"/>
      <c r="AC398" s="230"/>
    </row>
    <row r="399" spans="3:29" s="171" customFormat="1" ht="15" customHeight="1">
      <c r="C399" s="1246"/>
      <c r="D399" s="172" t="str">
        <f>IF(Indice_index!$Z$1=1,"janeiro","January")</f>
        <v>January</v>
      </c>
      <c r="E399" s="1247">
        <v>800</v>
      </c>
      <c r="F399" s="1247">
        <v>175</v>
      </c>
      <c r="G399" s="1247">
        <v>760</v>
      </c>
      <c r="H399" s="1247">
        <v>1735</v>
      </c>
      <c r="I399" s="1247">
        <v>1018</v>
      </c>
      <c r="J399" s="1248">
        <v>1089572.17</v>
      </c>
      <c r="K399" s="1248">
        <v>171869</v>
      </c>
      <c r="L399" s="1248">
        <v>395310.99</v>
      </c>
      <c r="M399" s="1248">
        <v>1656752.16</v>
      </c>
      <c r="N399" s="1248">
        <v>1079656.3899999999</v>
      </c>
      <c r="O399" s="1248">
        <v>1293.8</v>
      </c>
      <c r="P399" s="1248">
        <v>520.1</v>
      </c>
      <c r="R399" s="230"/>
      <c r="S399" s="230"/>
      <c r="T399" s="230"/>
      <c r="U399" s="230"/>
      <c r="V399" s="230"/>
      <c r="W399" s="230"/>
      <c r="X399" s="230"/>
      <c r="Y399" s="230"/>
      <c r="Z399" s="230"/>
      <c r="AA399" s="230"/>
      <c r="AB399" s="230"/>
      <c r="AC399" s="230"/>
    </row>
    <row r="400" spans="3:29" s="171" customFormat="1" ht="15" customHeight="1">
      <c r="C400" s="1246"/>
      <c r="D400" s="172" t="str">
        <f>IF(Indice_index!$Z$1=1,"fevereiro","February")</f>
        <v>February</v>
      </c>
      <c r="E400" s="1247">
        <v>681</v>
      </c>
      <c r="F400" s="1247">
        <v>166</v>
      </c>
      <c r="G400" s="1247">
        <v>899</v>
      </c>
      <c r="H400" s="1247">
        <v>1746</v>
      </c>
      <c r="I400" s="1247">
        <v>1239</v>
      </c>
      <c r="J400" s="1248">
        <v>811436.59</v>
      </c>
      <c r="K400" s="1248">
        <v>182202.01</v>
      </c>
      <c r="L400" s="1248">
        <v>501172.89</v>
      </c>
      <c r="M400" s="1248">
        <v>1494811.49</v>
      </c>
      <c r="N400" s="1248">
        <v>1399159.51</v>
      </c>
      <c r="O400" s="1248">
        <v>1173.0999999999999</v>
      </c>
      <c r="P400" s="1248">
        <v>557.5</v>
      </c>
      <c r="R400" s="230"/>
      <c r="S400" s="230"/>
      <c r="T400" s="230"/>
      <c r="U400" s="230"/>
      <c r="V400" s="230"/>
      <c r="W400" s="230"/>
      <c r="X400" s="230"/>
      <c r="Y400" s="230"/>
      <c r="Z400" s="230"/>
      <c r="AA400" s="230"/>
      <c r="AB400" s="230"/>
      <c r="AC400" s="230"/>
    </row>
    <row r="401" spans="3:41" ht="15" customHeight="1">
      <c r="C401" s="297"/>
      <c r="D401" s="172" t="str">
        <f>IF(Indice_index!$Z$1=1,"março","March")</f>
        <v>March</v>
      </c>
      <c r="E401" s="1247">
        <v>515</v>
      </c>
      <c r="F401" s="1247">
        <v>256</v>
      </c>
      <c r="G401" s="1247">
        <v>907</v>
      </c>
      <c r="H401" s="1247">
        <v>1678</v>
      </c>
      <c r="I401" s="1247">
        <v>1514</v>
      </c>
      <c r="J401" s="1248">
        <v>716359.79</v>
      </c>
      <c r="K401" s="1248">
        <v>275750.90000000002</v>
      </c>
      <c r="L401" s="1248">
        <v>494600.39</v>
      </c>
      <c r="M401" s="1248">
        <v>1486711.08</v>
      </c>
      <c r="N401" s="1248">
        <v>1614644.05</v>
      </c>
      <c r="O401" s="1248">
        <v>1286.8</v>
      </c>
      <c r="P401" s="1248">
        <v>545.29999999999995</v>
      </c>
      <c r="R401" s="230"/>
      <c r="S401" s="230"/>
      <c r="T401" s="230"/>
      <c r="U401" s="230"/>
      <c r="V401" s="230"/>
      <c r="W401" s="230"/>
      <c r="X401" s="230"/>
      <c r="Y401" s="230"/>
      <c r="Z401" s="230"/>
      <c r="AA401" s="230"/>
      <c r="AB401" s="230"/>
      <c r="AC401" s="230"/>
    </row>
    <row r="402" spans="3:41" ht="15" customHeight="1">
      <c r="C402" s="297"/>
      <c r="D402" s="172" t="str">
        <f>IF(Indice_index!$Z$1=1,"abril","April")</f>
        <v>April</v>
      </c>
      <c r="E402" s="1247">
        <v>1065</v>
      </c>
      <c r="F402" s="1247">
        <v>314</v>
      </c>
      <c r="G402" s="1247">
        <v>733</v>
      </c>
      <c r="H402" s="1247">
        <v>2112</v>
      </c>
      <c r="I402" s="1247">
        <v>1232</v>
      </c>
      <c r="J402" s="1248">
        <v>1303373.69</v>
      </c>
      <c r="K402" s="1248">
        <v>353465.21</v>
      </c>
      <c r="L402" s="1248">
        <v>409577.3</v>
      </c>
      <c r="M402" s="1248">
        <v>2066416.2</v>
      </c>
      <c r="N402" s="1248">
        <v>1325659.73</v>
      </c>
      <c r="O402" s="1248">
        <v>1201.5</v>
      </c>
      <c r="P402" s="1248">
        <v>558.79999999999995</v>
      </c>
      <c r="R402" s="230"/>
      <c r="S402" s="230"/>
      <c r="T402" s="230"/>
      <c r="U402" s="230"/>
      <c r="V402" s="230"/>
      <c r="W402" s="230"/>
      <c r="X402" s="230"/>
      <c r="Y402" s="230"/>
      <c r="Z402" s="230"/>
      <c r="AA402" s="230"/>
      <c r="AB402" s="230"/>
      <c r="AC402" s="230"/>
    </row>
    <row r="403" spans="3:41" ht="15" customHeight="1">
      <c r="C403" s="297"/>
      <c r="D403" s="172" t="str">
        <f>IF(Indice_index!$Z$1=1,"maio","May")</f>
        <v>May</v>
      </c>
      <c r="E403" s="1247">
        <v>1128</v>
      </c>
      <c r="F403" s="1247">
        <v>244</v>
      </c>
      <c r="G403" s="1247">
        <v>882</v>
      </c>
      <c r="H403" s="1247">
        <v>2254</v>
      </c>
      <c r="I403" s="1247">
        <v>1085</v>
      </c>
      <c r="J403" s="1248">
        <v>1546773.28</v>
      </c>
      <c r="K403" s="1248">
        <v>248128.21</v>
      </c>
      <c r="L403" s="1248">
        <v>454247.7</v>
      </c>
      <c r="M403" s="1248">
        <v>2249149.19</v>
      </c>
      <c r="N403" s="1248">
        <v>1794901.49</v>
      </c>
      <c r="O403" s="1248">
        <v>1308.2</v>
      </c>
      <c r="P403" s="1248">
        <v>515</v>
      </c>
      <c r="R403" s="230"/>
      <c r="S403" s="230"/>
      <c r="T403" s="230"/>
      <c r="U403" s="230"/>
      <c r="V403" s="230"/>
      <c r="W403" s="230"/>
      <c r="X403" s="230"/>
      <c r="Y403" s="230"/>
      <c r="Z403" s="230"/>
      <c r="AA403" s="230"/>
      <c r="AB403" s="230"/>
      <c r="AC403" s="230"/>
    </row>
    <row r="404" spans="3:41" ht="15" customHeight="1">
      <c r="C404" s="297"/>
      <c r="D404" s="172" t="str">
        <f>IF(Indice_index!$Z$1=1,"junho","June")</f>
        <v>June</v>
      </c>
      <c r="E404" s="1247">
        <v>945</v>
      </c>
      <c r="F404" s="1247">
        <v>258</v>
      </c>
      <c r="G404" s="1247">
        <v>982</v>
      </c>
      <c r="H404" s="1247">
        <v>2185</v>
      </c>
      <c r="I404" s="1247">
        <v>1255</v>
      </c>
      <c r="J404" s="1248">
        <v>1136649.44</v>
      </c>
      <c r="K404" s="1248">
        <v>315491.37</v>
      </c>
      <c r="L404" s="1248">
        <v>500211.27</v>
      </c>
      <c r="M404" s="1248">
        <v>1952352.08</v>
      </c>
      <c r="N404" s="1248">
        <v>1423669.42</v>
      </c>
      <c r="O404" s="1248">
        <v>1207.0999999999999</v>
      </c>
      <c r="P404" s="1248">
        <v>509.4</v>
      </c>
      <c r="R404" s="230"/>
      <c r="S404" s="230"/>
      <c r="T404" s="230"/>
      <c r="U404" s="230"/>
      <c r="V404" s="230"/>
      <c r="W404" s="230"/>
      <c r="X404" s="230"/>
      <c r="Y404" s="230"/>
      <c r="Z404" s="230"/>
      <c r="AA404" s="230"/>
      <c r="AB404" s="230"/>
      <c r="AC404" s="230"/>
    </row>
    <row r="405" spans="3:41" ht="15" customHeight="1">
      <c r="C405" s="297"/>
      <c r="D405" s="172" t="str">
        <f>IF(Indice_index!$Z$1=1,"julho","July")</f>
        <v>July</v>
      </c>
      <c r="E405" s="1247">
        <v>1013</v>
      </c>
      <c r="F405" s="1247">
        <v>164</v>
      </c>
      <c r="G405" s="1247">
        <v>747</v>
      </c>
      <c r="H405" s="1247">
        <v>1924</v>
      </c>
      <c r="I405" s="1247">
        <v>920</v>
      </c>
      <c r="J405" s="1248">
        <v>1350515.13</v>
      </c>
      <c r="K405" s="1248">
        <v>191515.13</v>
      </c>
      <c r="L405" s="1248">
        <v>414170.55</v>
      </c>
      <c r="M405" s="1248">
        <v>1956200.8099999998</v>
      </c>
      <c r="N405" s="1248">
        <v>966080.69</v>
      </c>
      <c r="O405" s="1248">
        <v>1310</v>
      </c>
      <c r="P405" s="1248">
        <v>554.4</v>
      </c>
      <c r="R405" s="230"/>
      <c r="S405" s="230"/>
      <c r="T405" s="230"/>
      <c r="U405" s="230"/>
      <c r="V405" s="230"/>
      <c r="W405" s="230"/>
      <c r="X405" s="230"/>
      <c r="Y405" s="230"/>
      <c r="Z405" s="230"/>
      <c r="AA405" s="230"/>
      <c r="AB405" s="230"/>
      <c r="AC405" s="230"/>
    </row>
    <row r="406" spans="3:41" ht="15" customHeight="1">
      <c r="C406" s="297"/>
      <c r="D406" s="172" t="str">
        <f>IF(Indice_index!$Z$1=1,"agosto","August")</f>
        <v>August</v>
      </c>
      <c r="E406" s="1247">
        <v>973</v>
      </c>
      <c r="F406" s="1247">
        <v>157</v>
      </c>
      <c r="G406" s="1247">
        <v>853</v>
      </c>
      <c r="H406" s="1247">
        <v>1983</v>
      </c>
      <c r="I406" s="1247">
        <v>1061</v>
      </c>
      <c r="J406" s="1248">
        <v>1053354.69</v>
      </c>
      <c r="K406" s="1248">
        <v>161216.37</v>
      </c>
      <c r="L406" s="1248">
        <v>418478.12</v>
      </c>
      <c r="M406" s="1248">
        <v>1633049.1800000002</v>
      </c>
      <c r="N406" s="1248">
        <v>1130360.99</v>
      </c>
      <c r="O406" s="1248">
        <v>1074.8</v>
      </c>
      <c r="P406" s="1248">
        <v>490.6</v>
      </c>
      <c r="X406" s="229"/>
      <c r="Y406" s="229"/>
      <c r="Z406" s="229"/>
      <c r="AA406" s="229"/>
    </row>
    <row r="407" spans="3:41" ht="15" customHeight="1">
      <c r="C407" s="297"/>
      <c r="D407" s="172" t="str">
        <f>IF(Indice_index!$Z$1=1,"setembro","September")</f>
        <v>September</v>
      </c>
      <c r="E407" s="1247">
        <v>1018</v>
      </c>
      <c r="F407" s="1247">
        <v>188</v>
      </c>
      <c r="G407" s="1247">
        <v>921</v>
      </c>
      <c r="H407" s="1247">
        <v>2127</v>
      </c>
      <c r="I407" s="1247">
        <v>957</v>
      </c>
      <c r="J407" s="1248">
        <v>1180241.8500000001</v>
      </c>
      <c r="K407" s="1248">
        <v>212205.83</v>
      </c>
      <c r="L407" s="1248">
        <v>399925.98</v>
      </c>
      <c r="M407" s="1248">
        <v>1792373.66</v>
      </c>
      <c r="N407" s="1248">
        <v>1085699.8899999999</v>
      </c>
      <c r="O407" s="1248">
        <v>1154.5999999999999</v>
      </c>
      <c r="P407" s="1248">
        <v>434.2</v>
      </c>
      <c r="X407" s="229"/>
      <c r="Y407" s="229"/>
      <c r="Z407" s="229"/>
      <c r="AA407" s="229"/>
    </row>
    <row r="408" spans="3:41" ht="15" customHeight="1">
      <c r="C408" s="297"/>
      <c r="D408" s="172" t="str">
        <f>IF(Indice_index!$Z$1=1,"outubro","October")</f>
        <v>October</v>
      </c>
      <c r="E408" s="1249">
        <v>830</v>
      </c>
      <c r="F408" s="1249">
        <v>87</v>
      </c>
      <c r="G408" s="1249">
        <v>735</v>
      </c>
      <c r="H408" s="1249">
        <v>1652</v>
      </c>
      <c r="I408" s="1249">
        <v>1129</v>
      </c>
      <c r="J408" s="1250">
        <v>937535.28</v>
      </c>
      <c r="K408" s="1250">
        <v>96065.17</v>
      </c>
      <c r="L408" s="1250">
        <v>327182.71999999997</v>
      </c>
      <c r="M408" s="1250">
        <v>1360783.17</v>
      </c>
      <c r="N408" s="1250">
        <v>1273577.6299999999</v>
      </c>
      <c r="O408" s="1250">
        <v>1127.2</v>
      </c>
      <c r="P408" s="1250">
        <v>445.1</v>
      </c>
      <c r="X408" s="229"/>
      <c r="Y408" s="229"/>
      <c r="Z408" s="229"/>
      <c r="AA408" s="229"/>
    </row>
    <row r="409" spans="3:41" s="171" customFormat="1" ht="15" customHeight="1">
      <c r="C409" s="1246"/>
      <c r="D409" s="172" t="str">
        <f>IF(Indice_index!$Z$1=1,"novembro","November")</f>
        <v>November</v>
      </c>
      <c r="E409" s="1251">
        <v>2057</v>
      </c>
      <c r="F409" s="1251">
        <v>176</v>
      </c>
      <c r="G409" s="1251">
        <v>1034</v>
      </c>
      <c r="H409" s="1251">
        <v>3267</v>
      </c>
      <c r="I409" s="1251">
        <v>1052</v>
      </c>
      <c r="J409" s="1252">
        <v>1512838.7399999998</v>
      </c>
      <c r="K409" s="1252">
        <v>194177.99999999997</v>
      </c>
      <c r="L409" s="1252">
        <v>482554.58</v>
      </c>
      <c r="M409" s="1252">
        <v>2189571.3199999998</v>
      </c>
      <c r="N409" s="1252">
        <v>1179613.68</v>
      </c>
      <c r="O409" s="1252">
        <v>764.4</v>
      </c>
      <c r="P409" s="1252">
        <v>466.7</v>
      </c>
      <c r="R409" s="229"/>
      <c r="S409" s="229"/>
      <c r="T409" s="229"/>
      <c r="U409" s="229"/>
      <c r="V409" s="229"/>
      <c r="W409" s="229"/>
      <c r="X409" s="229"/>
      <c r="Y409" s="229"/>
      <c r="Z409" s="229"/>
      <c r="AA409" s="229"/>
      <c r="AB409" s="229"/>
      <c r="AC409" s="229"/>
    </row>
    <row r="410" spans="3:41" ht="15" customHeight="1">
      <c r="C410" s="1338"/>
      <c r="D410" s="172" t="str">
        <f>IF(Indice_index!$Z$1=1,"dezembro","December")</f>
        <v>December</v>
      </c>
      <c r="E410" s="1243">
        <v>2065</v>
      </c>
      <c r="F410" s="1243">
        <v>165</v>
      </c>
      <c r="G410" s="1243">
        <v>643</v>
      </c>
      <c r="H410" s="1243">
        <v>2873</v>
      </c>
      <c r="I410" s="1243">
        <v>1095</v>
      </c>
      <c r="J410" s="1149">
        <v>1764593.98</v>
      </c>
      <c r="K410" s="1149">
        <v>160955.39000000001</v>
      </c>
      <c r="L410" s="1149">
        <v>305412.8</v>
      </c>
      <c r="M410" s="1149">
        <v>2230962.17</v>
      </c>
      <c r="N410" s="1149">
        <v>1240568.53</v>
      </c>
      <c r="O410" s="1149">
        <v>863.5</v>
      </c>
      <c r="P410" s="1149">
        <v>475</v>
      </c>
    </row>
    <row r="411" spans="3:41" ht="15" customHeight="1">
      <c r="C411" s="297">
        <v>2020</v>
      </c>
      <c r="D411" s="171"/>
      <c r="E411" s="1243"/>
      <c r="F411" s="1243"/>
      <c r="G411" s="1243"/>
      <c r="H411" s="1243"/>
      <c r="I411" s="1243"/>
      <c r="J411" s="1149"/>
      <c r="K411" s="1149"/>
      <c r="L411" s="1149"/>
      <c r="M411" s="1149"/>
      <c r="N411" s="1149"/>
      <c r="O411" s="1149"/>
      <c r="P411" s="1149"/>
      <c r="R411" s="230"/>
      <c r="S411" s="230"/>
      <c r="T411" s="230"/>
      <c r="U411" s="230"/>
      <c r="V411" s="230"/>
      <c r="W411" s="230"/>
      <c r="X411" s="230"/>
      <c r="Y411" s="230"/>
      <c r="Z411" s="230"/>
      <c r="AA411" s="230"/>
      <c r="AB411" s="230"/>
      <c r="AC411" s="230"/>
    </row>
    <row r="412" spans="3:41" s="171" customFormat="1" ht="15" customHeight="1">
      <c r="C412" s="1246"/>
      <c r="D412" s="172" t="str">
        <f>IF(Indice_index!$Z$1=1,"janeiro","January")</f>
        <v>January</v>
      </c>
      <c r="E412" s="1247">
        <v>1301</v>
      </c>
      <c r="F412" s="1247">
        <v>101</v>
      </c>
      <c r="G412" s="1247">
        <v>1606</v>
      </c>
      <c r="H412" s="1247">
        <v>3008</v>
      </c>
      <c r="I412" s="1247">
        <v>1254</v>
      </c>
      <c r="J412" s="1248">
        <v>1406215.8599999999</v>
      </c>
      <c r="K412" s="1248">
        <v>120721.40999999999</v>
      </c>
      <c r="L412" s="1248">
        <v>1121634.8500000001</v>
      </c>
      <c r="M412" s="1248">
        <v>2648572.12</v>
      </c>
      <c r="N412" s="1248">
        <v>1181130.18</v>
      </c>
      <c r="O412" s="1248">
        <v>1089.0999999999999</v>
      </c>
      <c r="P412" s="1248">
        <v>698.4</v>
      </c>
      <c r="R412" s="230"/>
      <c r="S412" s="230"/>
      <c r="T412" s="230"/>
      <c r="U412" s="230"/>
      <c r="V412" s="230"/>
      <c r="W412" s="230"/>
      <c r="X412" s="230"/>
      <c r="Y412" s="230"/>
      <c r="Z412" s="230"/>
      <c r="AA412" s="230"/>
      <c r="AB412" s="230"/>
      <c r="AC412" s="230"/>
      <c r="AD412" s="417"/>
      <c r="AE412" s="417"/>
      <c r="AF412" s="417"/>
      <c r="AG412" s="417"/>
      <c r="AH412" s="417"/>
      <c r="AI412" s="417"/>
      <c r="AJ412" s="417"/>
      <c r="AK412" s="417"/>
      <c r="AL412" s="417"/>
      <c r="AM412" s="417"/>
      <c r="AN412" s="417"/>
      <c r="AO412" s="417"/>
    </row>
    <row r="413" spans="3:41" s="171" customFormat="1" ht="15" customHeight="1">
      <c r="C413" s="1246"/>
      <c r="D413" s="172" t="str">
        <f>IF(Indice_index!$Z$1=1,"fevereiro","February")</f>
        <v>February</v>
      </c>
      <c r="E413" s="1247">
        <v>1156</v>
      </c>
      <c r="F413" s="1247">
        <v>86</v>
      </c>
      <c r="G413" s="1247">
        <v>784</v>
      </c>
      <c r="H413" s="1247">
        <v>2026</v>
      </c>
      <c r="I413" s="1247">
        <v>1433</v>
      </c>
      <c r="J413" s="1248">
        <v>1256302.7600000002</v>
      </c>
      <c r="K413" s="1248">
        <v>93955.06</v>
      </c>
      <c r="L413" s="1248">
        <v>340075.64</v>
      </c>
      <c r="M413" s="1248">
        <v>1690333.4600000004</v>
      </c>
      <c r="N413" s="1248">
        <v>1470168.61</v>
      </c>
      <c r="O413" s="1248">
        <v>1087.2</v>
      </c>
      <c r="P413" s="1248">
        <v>433.8</v>
      </c>
      <c r="R413" s="230"/>
      <c r="S413" s="230"/>
      <c r="T413" s="230"/>
      <c r="U413" s="230"/>
      <c r="V413" s="230"/>
      <c r="W413" s="230"/>
      <c r="X413" s="230"/>
      <c r="Y413" s="230"/>
      <c r="Z413" s="230"/>
      <c r="AA413" s="230"/>
      <c r="AB413" s="230"/>
      <c r="AC413" s="230"/>
      <c r="AD413" s="417"/>
      <c r="AE413" s="417"/>
      <c r="AF413" s="417"/>
      <c r="AG413" s="417"/>
      <c r="AH413" s="417"/>
      <c r="AI413" s="417"/>
      <c r="AJ413" s="417"/>
      <c r="AK413" s="417"/>
      <c r="AL413" s="417"/>
      <c r="AM413" s="417"/>
      <c r="AN413" s="417"/>
      <c r="AO413" s="417"/>
    </row>
    <row r="414" spans="3:41" ht="15" customHeight="1">
      <c r="C414" s="297"/>
      <c r="D414" s="172" t="str">
        <f>IF(Indice_index!$Z$1=1,"março","March")</f>
        <v>March</v>
      </c>
      <c r="E414" s="1247">
        <v>1124</v>
      </c>
      <c r="F414" s="1247">
        <v>296</v>
      </c>
      <c r="G414" s="1247">
        <v>885</v>
      </c>
      <c r="H414" s="1247">
        <v>2305</v>
      </c>
      <c r="I414" s="1247">
        <v>1405</v>
      </c>
      <c r="J414" s="1248">
        <v>1455949.83</v>
      </c>
      <c r="K414" s="1248">
        <v>284777.40000000002</v>
      </c>
      <c r="L414" s="1248">
        <v>458761.12</v>
      </c>
      <c r="M414" s="1248">
        <v>2199488.35</v>
      </c>
      <c r="N414" s="1248">
        <v>1464110.3</v>
      </c>
      <c r="O414" s="1248">
        <v>1225.9000000000001</v>
      </c>
      <c r="P414" s="1248">
        <v>518.4</v>
      </c>
      <c r="R414" s="230"/>
      <c r="S414" s="230"/>
      <c r="T414" s="230"/>
      <c r="U414" s="230"/>
      <c r="V414" s="230"/>
      <c r="W414" s="230"/>
      <c r="X414" s="230"/>
      <c r="Y414" s="230"/>
      <c r="Z414" s="230"/>
      <c r="AA414" s="230"/>
      <c r="AB414" s="230"/>
      <c r="AC414" s="230"/>
      <c r="AD414" s="417"/>
      <c r="AE414" s="417"/>
      <c r="AF414" s="417"/>
      <c r="AG414" s="417"/>
      <c r="AH414" s="417"/>
      <c r="AI414" s="417"/>
      <c r="AJ414" s="417"/>
      <c r="AK414" s="417"/>
      <c r="AL414" s="417"/>
      <c r="AM414" s="417"/>
      <c r="AN414" s="417"/>
      <c r="AO414" s="417"/>
    </row>
    <row r="415" spans="3:41" ht="15" customHeight="1">
      <c r="C415" s="297"/>
      <c r="D415" s="172" t="str">
        <f>IF(Indice_index!$Z$1=1,"abril","April")</f>
        <v>April</v>
      </c>
      <c r="E415" s="1247">
        <v>1369</v>
      </c>
      <c r="F415" s="1247">
        <v>110</v>
      </c>
      <c r="G415" s="1247">
        <v>958</v>
      </c>
      <c r="H415" s="1247">
        <v>2437</v>
      </c>
      <c r="I415" s="1247">
        <v>1330</v>
      </c>
      <c r="J415" s="1248">
        <v>1733658.78</v>
      </c>
      <c r="K415" s="1248">
        <v>136607.13</v>
      </c>
      <c r="L415" s="1248">
        <v>469100.58</v>
      </c>
      <c r="M415" s="1248">
        <v>2339366.4900000002</v>
      </c>
      <c r="N415" s="1248">
        <v>1389223.38</v>
      </c>
      <c r="O415" s="1248">
        <v>1264.5</v>
      </c>
      <c r="P415" s="1248">
        <v>489.7</v>
      </c>
      <c r="R415" s="230"/>
      <c r="S415" s="230"/>
      <c r="T415" s="230"/>
      <c r="U415" s="230"/>
      <c r="V415" s="230"/>
      <c r="W415" s="230"/>
      <c r="X415" s="230"/>
      <c r="Y415" s="230"/>
      <c r="Z415" s="230"/>
      <c r="AA415" s="230"/>
      <c r="AB415" s="230"/>
      <c r="AC415" s="230"/>
      <c r="AD415" s="417"/>
      <c r="AE415" s="417"/>
      <c r="AF415" s="417"/>
      <c r="AG415" s="417"/>
      <c r="AH415" s="417"/>
      <c r="AI415" s="417"/>
      <c r="AJ415" s="417"/>
      <c r="AK415" s="417"/>
      <c r="AL415" s="417"/>
      <c r="AM415" s="417"/>
      <c r="AN415" s="417"/>
      <c r="AO415" s="417"/>
    </row>
    <row r="416" spans="3:41" ht="15" customHeight="1">
      <c r="C416" s="297"/>
      <c r="D416" s="172" t="str">
        <f>IF(Indice_index!$Z$1=1,"maio","May")</f>
        <v>May</v>
      </c>
      <c r="E416" s="1247">
        <v>1531</v>
      </c>
      <c r="F416" s="1247">
        <v>78</v>
      </c>
      <c r="G416" s="1247">
        <v>981</v>
      </c>
      <c r="H416" s="1247">
        <v>2590</v>
      </c>
      <c r="I416" s="1247">
        <v>1371</v>
      </c>
      <c r="J416" s="1248">
        <v>1984223.61</v>
      </c>
      <c r="K416" s="1248">
        <v>92547.049999999988</v>
      </c>
      <c r="L416" s="1248">
        <v>505983.3</v>
      </c>
      <c r="M416" s="1248">
        <v>2582753.96</v>
      </c>
      <c r="N416" s="1248">
        <v>1531210.28</v>
      </c>
      <c r="O416" s="1248">
        <v>1290.7</v>
      </c>
      <c r="P416" s="1248">
        <v>515.79999999999995</v>
      </c>
      <c r="R416" s="230"/>
      <c r="S416" s="230"/>
      <c r="T416" s="230"/>
      <c r="U416" s="230"/>
      <c r="V416" s="230"/>
      <c r="W416" s="230"/>
      <c r="X416" s="230"/>
      <c r="Y416" s="230"/>
      <c r="Z416" s="230"/>
      <c r="AA416" s="230"/>
      <c r="AB416" s="230"/>
      <c r="AC416" s="230"/>
      <c r="AD416" s="417"/>
      <c r="AE416" s="417"/>
      <c r="AF416" s="417"/>
      <c r="AG416" s="417"/>
      <c r="AH416" s="417"/>
      <c r="AI416" s="417"/>
      <c r="AJ416" s="417"/>
      <c r="AK416" s="417"/>
      <c r="AL416" s="417"/>
      <c r="AM416" s="417"/>
      <c r="AN416" s="417"/>
      <c r="AO416" s="417"/>
    </row>
    <row r="417" spans="3:41" ht="15" customHeight="1">
      <c r="C417" s="297"/>
      <c r="D417" s="172" t="str">
        <f>IF(Indice_index!$Z$1=1,"junho","June")</f>
        <v>June</v>
      </c>
      <c r="E417" s="1247">
        <v>1499</v>
      </c>
      <c r="F417" s="1247">
        <v>89</v>
      </c>
      <c r="G417" s="1247">
        <v>865</v>
      </c>
      <c r="H417" s="1247">
        <v>2453</v>
      </c>
      <c r="I417" s="1247">
        <v>1349</v>
      </c>
      <c r="J417" s="1248">
        <v>1855493.75</v>
      </c>
      <c r="K417" s="1248">
        <v>106652.79</v>
      </c>
      <c r="L417" s="1248">
        <v>464286.68</v>
      </c>
      <c r="M417" s="1248">
        <v>2426433.2200000002</v>
      </c>
      <c r="N417" s="1248">
        <v>1540020.1</v>
      </c>
      <c r="O417" s="1248">
        <v>1235.5999999999999</v>
      </c>
      <c r="P417" s="1248">
        <v>536.70000000000005</v>
      </c>
      <c r="R417" s="230"/>
      <c r="S417" s="230"/>
      <c r="T417" s="230"/>
      <c r="U417" s="230"/>
      <c r="V417" s="230"/>
      <c r="W417" s="230"/>
      <c r="X417" s="230"/>
      <c r="Y417" s="230"/>
      <c r="Z417" s="230"/>
      <c r="AA417" s="230"/>
      <c r="AB417" s="230"/>
      <c r="AC417" s="230"/>
    </row>
    <row r="418" spans="3:41" ht="15" customHeight="1">
      <c r="C418" s="297"/>
      <c r="D418" s="172" t="str">
        <f>IF(Indice_index!$Z$1=1,"julho","July")</f>
        <v>July</v>
      </c>
      <c r="E418" s="1247">
        <v>1452</v>
      </c>
      <c r="F418" s="1247">
        <v>58</v>
      </c>
      <c r="G418" s="1247">
        <v>929</v>
      </c>
      <c r="H418" s="1247">
        <v>2439</v>
      </c>
      <c r="I418" s="1247">
        <v>1105</v>
      </c>
      <c r="J418" s="1248">
        <v>1944599.44</v>
      </c>
      <c r="K418" s="1248">
        <v>67974.77</v>
      </c>
      <c r="L418" s="1248">
        <v>541800.02</v>
      </c>
      <c r="M418" s="1248">
        <v>2554374.23</v>
      </c>
      <c r="N418" s="1248">
        <v>1241641.8799999999</v>
      </c>
      <c r="O418" s="1248">
        <v>1332.8</v>
      </c>
      <c r="P418" s="1248">
        <v>583.20000000000005</v>
      </c>
      <c r="R418" s="230"/>
      <c r="S418" s="230"/>
      <c r="T418" s="230"/>
      <c r="U418" s="230"/>
      <c r="V418" s="230"/>
      <c r="W418" s="230"/>
      <c r="X418" s="230"/>
      <c r="Y418" s="230"/>
      <c r="Z418" s="230"/>
      <c r="AA418" s="230"/>
      <c r="AB418" s="230"/>
      <c r="AC418" s="230"/>
    </row>
    <row r="419" spans="3:41" ht="15" customHeight="1">
      <c r="C419" s="297"/>
      <c r="D419" s="172" t="str">
        <f>IF(Indice_index!$Z$1=1,"agosto","August")</f>
        <v>August</v>
      </c>
      <c r="E419" s="1247">
        <v>1470</v>
      </c>
      <c r="F419" s="1247">
        <v>36</v>
      </c>
      <c r="G419" s="1247">
        <v>1000</v>
      </c>
      <c r="H419" s="1247">
        <v>2506</v>
      </c>
      <c r="I419" s="1247">
        <v>1168</v>
      </c>
      <c r="J419" s="1248">
        <v>1875739.22</v>
      </c>
      <c r="K419" s="1248">
        <v>36978.129999999997</v>
      </c>
      <c r="L419" s="1248">
        <v>554835.69000000006</v>
      </c>
      <c r="M419" s="1248">
        <v>2467553.04</v>
      </c>
      <c r="N419" s="1248">
        <v>1282507.42</v>
      </c>
      <c r="O419" s="1248">
        <v>1270.0999999999999</v>
      </c>
      <c r="P419" s="1248">
        <v>554.79999999999995</v>
      </c>
      <c r="X419" s="229"/>
      <c r="Y419" s="229"/>
      <c r="Z419" s="229"/>
      <c r="AA419" s="229"/>
    </row>
    <row r="420" spans="3:41" ht="15" customHeight="1">
      <c r="C420" s="297"/>
      <c r="D420" s="172" t="str">
        <f>IF(Indice_index!$Z$1=1,"setembro","September")</f>
        <v>September</v>
      </c>
      <c r="E420" s="1247">
        <v>1318</v>
      </c>
      <c r="F420" s="1247">
        <v>29</v>
      </c>
      <c r="G420" s="1247">
        <v>773</v>
      </c>
      <c r="H420" s="1247">
        <v>2120</v>
      </c>
      <c r="I420" s="1247">
        <v>1265</v>
      </c>
      <c r="J420" s="1248">
        <v>2047092.5899999999</v>
      </c>
      <c r="K420" s="1248">
        <v>39101.64</v>
      </c>
      <c r="L420" s="1248">
        <v>431175.01</v>
      </c>
      <c r="M420" s="1248">
        <v>2517369.2399999998</v>
      </c>
      <c r="N420" s="1248">
        <v>1390071.15</v>
      </c>
      <c r="O420" s="1248">
        <v>1548.8</v>
      </c>
      <c r="P420" s="1248">
        <v>557.79999999999995</v>
      </c>
      <c r="X420" s="229"/>
      <c r="Y420" s="229"/>
      <c r="Z420" s="229"/>
      <c r="AA420" s="229"/>
    </row>
    <row r="421" spans="3:41" ht="15" customHeight="1">
      <c r="C421" s="297"/>
      <c r="D421" s="172" t="str">
        <f>IF(Indice_index!$Z$1=1,"outubro","October")</f>
        <v>October</v>
      </c>
      <c r="E421" s="1253">
        <v>1206</v>
      </c>
      <c r="F421" s="1253">
        <v>27</v>
      </c>
      <c r="G421" s="1253">
        <v>773</v>
      </c>
      <c r="H421" s="1253">
        <v>2006</v>
      </c>
      <c r="I421" s="1253">
        <v>1151</v>
      </c>
      <c r="J421" s="1254">
        <v>1774555.76</v>
      </c>
      <c r="K421" s="1254">
        <v>41696.28</v>
      </c>
      <c r="L421" s="1254">
        <v>424627.48</v>
      </c>
      <c r="M421" s="1254">
        <v>2240879.52</v>
      </c>
      <c r="N421" s="1254">
        <v>1317894.17</v>
      </c>
      <c r="O421" s="1254">
        <v>1473</v>
      </c>
      <c r="P421" s="1254">
        <v>549.29999999999995</v>
      </c>
      <c r="X421" s="229"/>
      <c r="Y421" s="229"/>
      <c r="Z421" s="229"/>
      <c r="AA421" s="229"/>
    </row>
    <row r="422" spans="3:41" s="171" customFormat="1" ht="15" customHeight="1">
      <c r="C422" s="1246"/>
      <c r="D422" s="172" t="str">
        <f>IF(Indice_index!$Z$1=1,"novembro","November")</f>
        <v>November</v>
      </c>
      <c r="E422" s="1255">
        <v>1111</v>
      </c>
      <c r="F422" s="1255">
        <v>86</v>
      </c>
      <c r="G422" s="1255">
        <v>871</v>
      </c>
      <c r="H422" s="1255">
        <v>2068</v>
      </c>
      <c r="I422" s="1255">
        <v>1162</v>
      </c>
      <c r="J422" s="1256">
        <v>1770166.95</v>
      </c>
      <c r="K422" s="1256">
        <v>101722.77</v>
      </c>
      <c r="L422" s="1256">
        <v>447410.54</v>
      </c>
      <c r="M422" s="1256">
        <v>2319300.2599999998</v>
      </c>
      <c r="N422" s="1256">
        <v>1306216.53</v>
      </c>
      <c r="O422" s="1256">
        <v>1563.8</v>
      </c>
      <c r="P422" s="1256">
        <v>513.70000000000005</v>
      </c>
      <c r="R422" s="229"/>
      <c r="S422" s="229"/>
      <c r="T422" s="229"/>
      <c r="U422" s="229"/>
      <c r="V422" s="229"/>
      <c r="W422" s="229"/>
      <c r="X422" s="229"/>
      <c r="Y422" s="229"/>
      <c r="Z422" s="229"/>
      <c r="AA422" s="229"/>
      <c r="AB422" s="229"/>
      <c r="AC422" s="229"/>
    </row>
    <row r="423" spans="3:41" ht="15" customHeight="1">
      <c r="C423" s="1338"/>
      <c r="D423" s="172" t="str">
        <f>IF(Indice_index!$Z$1=1,"dezembro","December")</f>
        <v>December</v>
      </c>
      <c r="E423" s="1257">
        <v>1057</v>
      </c>
      <c r="F423" s="1257">
        <v>106</v>
      </c>
      <c r="G423" s="1257">
        <v>889</v>
      </c>
      <c r="H423" s="1257">
        <v>2052</v>
      </c>
      <c r="I423" s="1257">
        <v>1288</v>
      </c>
      <c r="J423" s="1258">
        <v>1823991.91</v>
      </c>
      <c r="K423" s="1258">
        <v>121644.84</v>
      </c>
      <c r="L423" s="1258">
        <v>467474.39</v>
      </c>
      <c r="M423" s="1258">
        <v>2413111.14</v>
      </c>
      <c r="N423" s="1258">
        <v>1486433.23</v>
      </c>
      <c r="O423" s="1258">
        <v>1672.9</v>
      </c>
      <c r="P423" s="1258">
        <v>525.79999999999995</v>
      </c>
    </row>
    <row r="424" spans="3:41" ht="15" customHeight="1">
      <c r="C424" s="1259" t="s">
        <v>67</v>
      </c>
      <c r="D424" s="171"/>
      <c r="E424" s="1243"/>
      <c r="F424" s="1243"/>
      <c r="G424" s="1243"/>
      <c r="H424" s="1243"/>
      <c r="I424" s="1243"/>
      <c r="J424" s="1149"/>
      <c r="K424" s="1149"/>
      <c r="L424" s="1149"/>
      <c r="M424" s="1149"/>
      <c r="N424" s="1149"/>
      <c r="O424" s="1149"/>
      <c r="P424" s="1149"/>
      <c r="R424" s="230"/>
      <c r="S424" s="230"/>
      <c r="T424" s="230"/>
      <c r="U424" s="230"/>
      <c r="V424" s="230"/>
      <c r="W424" s="230"/>
      <c r="X424" s="230"/>
      <c r="Y424" s="230"/>
      <c r="Z424" s="230"/>
      <c r="AA424" s="230"/>
      <c r="AB424" s="230"/>
      <c r="AC424" s="230"/>
    </row>
    <row r="425" spans="3:41" s="171" customFormat="1" ht="15" customHeight="1">
      <c r="C425" s="1246"/>
      <c r="D425" s="172" t="str">
        <f>IF(Indice_index!$Z$1=1,"janeiro","January")</f>
        <v>January</v>
      </c>
      <c r="E425" s="1247">
        <v>1024</v>
      </c>
      <c r="F425" s="1247">
        <v>87</v>
      </c>
      <c r="G425" s="1247">
        <v>678</v>
      </c>
      <c r="H425" s="1247">
        <v>1789</v>
      </c>
      <c r="I425" s="1247">
        <v>1319</v>
      </c>
      <c r="J425" s="1248">
        <v>1639431.98</v>
      </c>
      <c r="K425" s="1248">
        <v>104309.67</v>
      </c>
      <c r="L425" s="1248">
        <v>372691.26</v>
      </c>
      <c r="M425" s="1248">
        <v>2116432.91</v>
      </c>
      <c r="N425" s="1248">
        <v>1451929.72</v>
      </c>
      <c r="O425" s="1248">
        <v>1569.5</v>
      </c>
      <c r="P425" s="1248">
        <v>549.70000000000005</v>
      </c>
      <c r="R425" s="230"/>
      <c r="S425" s="230"/>
      <c r="T425" s="230"/>
      <c r="U425" s="230"/>
      <c r="V425" s="230"/>
      <c r="W425" s="230"/>
      <c r="X425" s="230"/>
      <c r="Y425" s="230"/>
      <c r="Z425" s="230"/>
      <c r="AA425" s="230"/>
      <c r="AB425" s="230"/>
      <c r="AC425" s="230"/>
      <c r="AD425" s="417"/>
      <c r="AE425" s="417"/>
      <c r="AF425" s="417"/>
      <c r="AG425" s="417"/>
      <c r="AH425" s="417"/>
      <c r="AI425" s="417"/>
      <c r="AJ425" s="417"/>
      <c r="AK425" s="417"/>
      <c r="AL425" s="417"/>
      <c r="AM425" s="417"/>
      <c r="AN425" s="417"/>
      <c r="AO425" s="417"/>
    </row>
    <row r="426" spans="3:41" s="171" customFormat="1" ht="15" customHeight="1">
      <c r="C426" s="1246"/>
      <c r="D426" s="172" t="str">
        <f>IF(Indice_index!$Z$1=1,"fevereiro","February")</f>
        <v>February</v>
      </c>
      <c r="E426" s="1247">
        <v>883</v>
      </c>
      <c r="F426" s="1247">
        <v>101</v>
      </c>
      <c r="G426" s="1247">
        <v>836</v>
      </c>
      <c r="H426" s="1247">
        <v>1820</v>
      </c>
      <c r="I426" s="1247">
        <v>1678</v>
      </c>
      <c r="J426" s="1248">
        <v>1306138.5900000001</v>
      </c>
      <c r="K426" s="1248">
        <v>100339.62</v>
      </c>
      <c r="L426" s="1248">
        <v>458772.69</v>
      </c>
      <c r="M426" s="1248">
        <v>1865250.9</v>
      </c>
      <c r="N426" s="1248">
        <v>1928449.74</v>
      </c>
      <c r="O426" s="1248">
        <v>1429.3</v>
      </c>
      <c r="P426" s="1248">
        <v>548.79999999999995</v>
      </c>
      <c r="R426" s="230"/>
      <c r="S426" s="230"/>
      <c r="T426" s="230"/>
      <c r="U426" s="230"/>
      <c r="V426" s="230"/>
      <c r="W426" s="230"/>
      <c r="X426" s="230"/>
      <c r="Y426" s="230"/>
      <c r="Z426" s="230"/>
      <c r="AA426" s="230"/>
      <c r="AB426" s="230"/>
      <c r="AC426" s="230"/>
      <c r="AD426" s="417"/>
      <c r="AE426" s="417"/>
      <c r="AF426" s="417"/>
      <c r="AG426" s="417"/>
      <c r="AH426" s="417"/>
      <c r="AI426" s="417"/>
      <c r="AJ426" s="417"/>
      <c r="AK426" s="417"/>
      <c r="AL426" s="417"/>
      <c r="AM426" s="417"/>
      <c r="AN426" s="417"/>
      <c r="AO426" s="417"/>
    </row>
    <row r="427" spans="3:41" ht="15" customHeight="1">
      <c r="C427" s="297"/>
      <c r="D427" s="172" t="str">
        <f>IF(Indice_index!$Z$1=1,"março","March")</f>
        <v>March</v>
      </c>
      <c r="E427" s="1260">
        <v>1036</v>
      </c>
      <c r="F427" s="1260">
        <v>222</v>
      </c>
      <c r="G427" s="1260">
        <v>1078</v>
      </c>
      <c r="H427" s="1260">
        <v>2336</v>
      </c>
      <c r="I427" s="1260">
        <v>2405</v>
      </c>
      <c r="J427" s="1261">
        <v>1613764.1900000002</v>
      </c>
      <c r="K427" s="1261">
        <v>133205.26999999999</v>
      </c>
      <c r="L427" s="1261">
        <v>613383.06000000006</v>
      </c>
      <c r="M427" s="1261">
        <v>2360352.5200000005</v>
      </c>
      <c r="N427" s="1261">
        <v>2673440.56</v>
      </c>
      <c r="O427" s="1261">
        <v>1388.7</v>
      </c>
      <c r="P427" s="1261">
        <v>569</v>
      </c>
      <c r="R427" s="230"/>
      <c r="S427" s="230"/>
      <c r="T427" s="230"/>
      <c r="U427" s="230"/>
      <c r="V427" s="230"/>
      <c r="W427" s="230"/>
      <c r="X427" s="230"/>
      <c r="Y427" s="230"/>
      <c r="Z427" s="230"/>
      <c r="AA427" s="230"/>
      <c r="AB427" s="230"/>
      <c r="AC427" s="230"/>
      <c r="AD427" s="417"/>
      <c r="AE427" s="417"/>
      <c r="AF427" s="417"/>
      <c r="AG427" s="417"/>
      <c r="AH427" s="417"/>
      <c r="AI427" s="417"/>
      <c r="AJ427" s="417"/>
      <c r="AK427" s="417"/>
      <c r="AL427" s="417"/>
      <c r="AM427" s="417"/>
      <c r="AN427" s="417"/>
      <c r="AO427" s="417"/>
    </row>
    <row r="428" spans="3:41" ht="15" customHeight="1">
      <c r="C428" s="297"/>
      <c r="D428" s="172" t="str">
        <f>IF(Indice_index!$Z$1=1,"abril","April")</f>
        <v>April</v>
      </c>
      <c r="E428" s="1247">
        <v>1283</v>
      </c>
      <c r="F428" s="1247">
        <v>72</v>
      </c>
      <c r="G428" s="1247">
        <v>1236</v>
      </c>
      <c r="H428" s="1247">
        <v>2591</v>
      </c>
      <c r="I428" s="1247">
        <v>1968</v>
      </c>
      <c r="J428" s="1248">
        <v>1804177.68</v>
      </c>
      <c r="K428" s="1248">
        <v>70996.08</v>
      </c>
      <c r="L428" s="1248">
        <v>710753.37</v>
      </c>
      <c r="M428" s="1248">
        <v>2585927.13</v>
      </c>
      <c r="N428" s="1248">
        <v>2223482.38</v>
      </c>
      <c r="O428" s="1248">
        <v>1383.9</v>
      </c>
      <c r="P428" s="1248">
        <v>575</v>
      </c>
      <c r="R428" s="230"/>
      <c r="S428" s="230"/>
      <c r="T428" s="230"/>
      <c r="U428" s="230"/>
      <c r="V428" s="230"/>
      <c r="W428" s="230"/>
      <c r="X428" s="230"/>
      <c r="Y428" s="230"/>
      <c r="Z428" s="230"/>
      <c r="AA428" s="230"/>
      <c r="AB428" s="230"/>
      <c r="AC428" s="230"/>
      <c r="AD428" s="417"/>
      <c r="AE428" s="417"/>
      <c r="AF428" s="417"/>
      <c r="AG428" s="417"/>
      <c r="AH428" s="417"/>
      <c r="AI428" s="417"/>
      <c r="AJ428" s="417"/>
      <c r="AK428" s="417"/>
      <c r="AL428" s="417"/>
      <c r="AM428" s="417"/>
      <c r="AN428" s="417"/>
      <c r="AO428" s="417"/>
    </row>
    <row r="429" spans="3:41" ht="15" customHeight="1">
      <c r="C429" s="297"/>
      <c r="D429" s="172" t="str">
        <f>IF(Indice_index!$Z$1=1,"maio","May")</f>
        <v>May</v>
      </c>
      <c r="E429" s="1262">
        <v>1308</v>
      </c>
      <c r="F429" s="1262">
        <v>110</v>
      </c>
      <c r="G429" s="1262">
        <v>1023</v>
      </c>
      <c r="H429" s="1262">
        <v>2441</v>
      </c>
      <c r="I429" s="1262">
        <v>1258</v>
      </c>
      <c r="J429" s="1263">
        <v>1815930.3900000001</v>
      </c>
      <c r="K429" s="1263">
        <v>133305.41</v>
      </c>
      <c r="L429" s="1263">
        <v>555171.43000000005</v>
      </c>
      <c r="M429" s="1263">
        <v>2504407.23</v>
      </c>
      <c r="N429" s="1263">
        <v>1405971.93</v>
      </c>
      <c r="O429" s="1263">
        <v>1374.6</v>
      </c>
      <c r="P429" s="1263">
        <v>542.70000000000005</v>
      </c>
      <c r="R429" s="230"/>
      <c r="S429" s="230"/>
      <c r="T429" s="230"/>
      <c r="U429" s="230"/>
      <c r="V429" s="230"/>
      <c r="W429" s="230"/>
      <c r="X429" s="230"/>
      <c r="Y429" s="230"/>
      <c r="Z429" s="230"/>
      <c r="AA429" s="230"/>
      <c r="AB429" s="230"/>
      <c r="AC429" s="230"/>
      <c r="AD429" s="417"/>
      <c r="AE429" s="417"/>
      <c r="AF429" s="417"/>
      <c r="AG429" s="417"/>
      <c r="AH429" s="417"/>
      <c r="AI429" s="417"/>
      <c r="AJ429" s="417"/>
      <c r="AK429" s="417"/>
      <c r="AL429" s="417"/>
      <c r="AM429" s="417"/>
      <c r="AN429" s="417"/>
      <c r="AO429" s="417"/>
    </row>
    <row r="430" spans="3:41" ht="15" customHeight="1">
      <c r="C430" s="297"/>
      <c r="D430" s="172" t="str">
        <f>IF(Indice_index!$Z$1=1,"junho","June")</f>
        <v>June</v>
      </c>
      <c r="E430" s="1264">
        <v>1295</v>
      </c>
      <c r="F430" s="1264">
        <v>111</v>
      </c>
      <c r="G430" s="1264">
        <v>934</v>
      </c>
      <c r="H430" s="1264">
        <v>2340</v>
      </c>
      <c r="I430" s="1264">
        <v>1117</v>
      </c>
      <c r="J430" s="1265">
        <v>1705979.83</v>
      </c>
      <c r="K430" s="1265">
        <v>133788.29999999999</v>
      </c>
      <c r="L430" s="1265">
        <v>509751.18</v>
      </c>
      <c r="M430" s="1265">
        <v>2349519.31</v>
      </c>
      <c r="N430" s="1265">
        <v>1237118.06</v>
      </c>
      <c r="O430" s="1265">
        <v>1308.5</v>
      </c>
      <c r="P430" s="1265">
        <v>545.79999999999995</v>
      </c>
      <c r="R430" s="230"/>
      <c r="S430" s="230"/>
      <c r="T430" s="230"/>
      <c r="U430" s="230"/>
      <c r="V430" s="230"/>
      <c r="W430" s="230"/>
      <c r="X430" s="230"/>
      <c r="Y430" s="230"/>
      <c r="Z430" s="230"/>
      <c r="AA430" s="230"/>
      <c r="AB430" s="230"/>
      <c r="AC430" s="230"/>
    </row>
    <row r="431" spans="3:41" ht="15" customHeight="1">
      <c r="C431" s="297"/>
      <c r="D431" s="172" t="str">
        <f>IF(Indice_index!$Z$1=1,"julho","July")</f>
        <v>July</v>
      </c>
      <c r="E431" s="1266">
        <v>1548</v>
      </c>
      <c r="F431" s="1266">
        <v>107</v>
      </c>
      <c r="G431" s="1266">
        <v>769</v>
      </c>
      <c r="H431" s="1266">
        <v>2424</v>
      </c>
      <c r="I431" s="1266">
        <v>1105</v>
      </c>
      <c r="J431" s="1267">
        <v>2041996.1</v>
      </c>
      <c r="K431" s="1267">
        <v>127232.38</v>
      </c>
      <c r="L431" s="1267">
        <v>390379.21</v>
      </c>
      <c r="M431" s="1267">
        <v>2559607.69</v>
      </c>
      <c r="N431" s="1267">
        <v>1305963.02</v>
      </c>
      <c r="O431" s="1267">
        <v>1310.7</v>
      </c>
      <c r="P431" s="1267">
        <v>507.6</v>
      </c>
      <c r="R431" s="230"/>
      <c r="S431" s="230"/>
      <c r="T431" s="230"/>
      <c r="U431" s="230"/>
      <c r="V431" s="230"/>
      <c r="W431" s="230"/>
      <c r="X431" s="230"/>
      <c r="Y431" s="230"/>
      <c r="Z431" s="230"/>
      <c r="AA431" s="230"/>
      <c r="AB431" s="230"/>
      <c r="AC431" s="230"/>
    </row>
    <row r="432" spans="3:41" ht="15" customHeight="1">
      <c r="C432" s="297"/>
      <c r="D432" s="172" t="str">
        <f>IF(Indice_index!$Z$1=1,"agosto","August")</f>
        <v>August</v>
      </c>
      <c r="E432" s="1268">
        <v>1486</v>
      </c>
      <c r="F432" s="1268">
        <v>126</v>
      </c>
      <c r="G432" s="1268">
        <v>863</v>
      </c>
      <c r="H432" s="1268">
        <v>2475</v>
      </c>
      <c r="I432" s="1268">
        <v>1058</v>
      </c>
      <c r="J432" s="1269">
        <v>1897364.2</v>
      </c>
      <c r="K432" s="1269">
        <v>142210.25</v>
      </c>
      <c r="L432" s="1269">
        <v>468601</v>
      </c>
      <c r="M432" s="1269">
        <v>2508175.4500000002</v>
      </c>
      <c r="N432" s="1269">
        <v>1161705</v>
      </c>
      <c r="O432" s="1270">
        <v>1265.2</v>
      </c>
      <c r="P432" s="1270">
        <v>543</v>
      </c>
      <c r="X432" s="229"/>
      <c r="Y432" s="229"/>
      <c r="Z432" s="229"/>
      <c r="AA432" s="229"/>
    </row>
    <row r="433" spans="3:41" ht="15" customHeight="1">
      <c r="C433" s="297"/>
      <c r="D433" s="172" t="str">
        <f>IF(Indice_index!$Z$1=1,"setembro","September")</f>
        <v>September</v>
      </c>
      <c r="E433" s="1271">
        <v>1195</v>
      </c>
      <c r="F433" s="1271">
        <v>88</v>
      </c>
      <c r="G433" s="1271">
        <v>728</v>
      </c>
      <c r="H433" s="1271">
        <v>2011</v>
      </c>
      <c r="I433" s="1271">
        <v>1125</v>
      </c>
      <c r="J433" s="1272">
        <v>1784873.2</v>
      </c>
      <c r="K433" s="1272">
        <v>94208.49</v>
      </c>
      <c r="L433" s="1272">
        <v>389174.55</v>
      </c>
      <c r="M433" s="1272">
        <v>2268256.2399999998</v>
      </c>
      <c r="N433" s="1272">
        <v>1343124.69</v>
      </c>
      <c r="O433" s="1273">
        <v>1464.6</v>
      </c>
      <c r="P433" s="1273">
        <v>534.6</v>
      </c>
      <c r="X433" s="229"/>
      <c r="Y433" s="229"/>
      <c r="Z433" s="229"/>
      <c r="AA433" s="229"/>
    </row>
    <row r="434" spans="3:41" ht="15" customHeight="1">
      <c r="C434" s="297"/>
      <c r="D434" s="172" t="str">
        <f>IF(Indice_index!$Z$1=1,"outubro","October")</f>
        <v>October</v>
      </c>
      <c r="E434" s="1253">
        <v>1266</v>
      </c>
      <c r="F434" s="1253">
        <v>100</v>
      </c>
      <c r="G434" s="1253">
        <v>617</v>
      </c>
      <c r="H434" s="1253">
        <v>1983</v>
      </c>
      <c r="I434" s="1253">
        <v>1209</v>
      </c>
      <c r="J434" s="1254">
        <v>1666727.6800000002</v>
      </c>
      <c r="K434" s="1254">
        <v>122592.57999999999</v>
      </c>
      <c r="L434" s="1254">
        <v>317206.96000000002</v>
      </c>
      <c r="M434" s="1254">
        <v>2106527.2200000002</v>
      </c>
      <c r="N434" s="1254">
        <v>1330476.01</v>
      </c>
      <c r="O434" s="1254">
        <v>1309.9000000000001</v>
      </c>
      <c r="P434" s="1254">
        <v>514.1</v>
      </c>
      <c r="X434" s="229"/>
      <c r="Y434" s="229"/>
      <c r="Z434" s="229"/>
      <c r="AA434" s="229"/>
    </row>
    <row r="435" spans="3:41" s="171" customFormat="1" ht="15" customHeight="1">
      <c r="C435" s="1246"/>
      <c r="D435" s="172" t="str">
        <f>IF(Indice_index!$Z$1=1,"novembro","November")</f>
        <v>November</v>
      </c>
      <c r="E435" s="1255">
        <v>1183</v>
      </c>
      <c r="F435" s="1255">
        <v>103</v>
      </c>
      <c r="G435" s="1255">
        <v>799</v>
      </c>
      <c r="H435" s="1255">
        <v>2085</v>
      </c>
      <c r="I435" s="1255">
        <v>1166</v>
      </c>
      <c r="J435" s="1256">
        <v>1598623.57</v>
      </c>
      <c r="K435" s="1256">
        <v>130135.86000000002</v>
      </c>
      <c r="L435" s="1256">
        <v>460655.36000000004</v>
      </c>
      <c r="M435" s="1256">
        <v>2189414.79</v>
      </c>
      <c r="N435" s="1256">
        <v>1319273.3500000001</v>
      </c>
      <c r="O435" s="1256">
        <v>1344.3</v>
      </c>
      <c r="P435" s="1256">
        <v>576.5</v>
      </c>
      <c r="R435" s="229"/>
      <c r="S435" s="229"/>
      <c r="T435" s="229"/>
      <c r="U435" s="229"/>
      <c r="V435" s="229"/>
      <c r="W435" s="229"/>
      <c r="X435" s="229"/>
      <c r="Y435" s="229"/>
      <c r="Z435" s="229"/>
      <c r="AA435" s="229"/>
      <c r="AB435" s="229"/>
      <c r="AC435" s="229"/>
    </row>
    <row r="436" spans="3:41" ht="15" customHeight="1">
      <c r="C436" s="1338"/>
      <c r="D436" s="172" t="str">
        <f>IF(Indice_index!$Z$1=1,"dezembro","December")</f>
        <v>December</v>
      </c>
      <c r="E436" s="1274">
        <v>1258</v>
      </c>
      <c r="F436" s="1274">
        <v>86</v>
      </c>
      <c r="G436" s="1274">
        <v>799</v>
      </c>
      <c r="H436" s="1274">
        <v>2143</v>
      </c>
      <c r="I436" s="1274">
        <v>1157</v>
      </c>
      <c r="J436" s="1275">
        <v>1695800.9499999997</v>
      </c>
      <c r="K436" s="1275">
        <v>99472.79</v>
      </c>
      <c r="L436" s="1275">
        <v>423524.91</v>
      </c>
      <c r="M436" s="1275">
        <v>2218798.65</v>
      </c>
      <c r="N436" s="1275">
        <v>1390334.04</v>
      </c>
      <c r="O436" s="1276">
        <v>1335.8</v>
      </c>
      <c r="P436" s="1276">
        <v>530.1</v>
      </c>
    </row>
    <row r="437" spans="3:41" ht="15" customHeight="1">
      <c r="C437" s="1259" t="s">
        <v>73</v>
      </c>
      <c r="D437" s="171"/>
      <c r="E437" s="1243"/>
      <c r="F437" s="1243"/>
      <c r="G437" s="1243"/>
      <c r="H437" s="1243"/>
      <c r="I437" s="1243"/>
      <c r="J437" s="1149"/>
      <c r="K437" s="1149"/>
      <c r="L437" s="1149"/>
      <c r="M437" s="1149"/>
      <c r="N437" s="1149"/>
      <c r="O437" s="1149"/>
      <c r="P437" s="1149"/>
      <c r="R437" s="230"/>
      <c r="S437" s="230"/>
      <c r="T437" s="230"/>
      <c r="U437" s="230"/>
      <c r="V437" s="230"/>
      <c r="W437" s="230"/>
      <c r="X437" s="230"/>
      <c r="Y437" s="230"/>
      <c r="Z437" s="230"/>
      <c r="AA437" s="230"/>
      <c r="AB437" s="230"/>
      <c r="AC437" s="230"/>
    </row>
    <row r="438" spans="3:41" s="171" customFormat="1" ht="15" customHeight="1">
      <c r="C438" s="1246"/>
      <c r="D438" s="172" t="str">
        <f>IF(Indice_index!$Z$1=1,"janeiro","January")</f>
        <v>January</v>
      </c>
      <c r="E438" s="1277">
        <v>1437</v>
      </c>
      <c r="F438" s="1277">
        <v>96</v>
      </c>
      <c r="G438" s="1277">
        <v>623</v>
      </c>
      <c r="H438" s="1277">
        <v>2156</v>
      </c>
      <c r="I438" s="1277">
        <v>1325</v>
      </c>
      <c r="J438" s="1278">
        <v>2005121.44</v>
      </c>
      <c r="K438" s="1278">
        <v>106031.63</v>
      </c>
      <c r="L438" s="1278">
        <v>320876.56999999989</v>
      </c>
      <c r="M438" s="1278">
        <v>2432029.6399999997</v>
      </c>
      <c r="N438" s="1278">
        <v>1521835.02</v>
      </c>
      <c r="O438" s="1279">
        <v>1377.1</v>
      </c>
      <c r="P438" s="1279">
        <v>515.1</v>
      </c>
      <c r="R438" s="230"/>
      <c r="S438" s="230"/>
      <c r="T438" s="230"/>
      <c r="U438" s="230"/>
      <c r="V438" s="230"/>
      <c r="W438" s="230"/>
      <c r="X438" s="230"/>
      <c r="Y438" s="230"/>
      <c r="Z438" s="230"/>
      <c r="AA438" s="230"/>
      <c r="AB438" s="230"/>
      <c r="AC438" s="230"/>
      <c r="AD438" s="417"/>
      <c r="AE438" s="417"/>
      <c r="AF438" s="417"/>
      <c r="AG438" s="417"/>
      <c r="AH438" s="417"/>
      <c r="AI438" s="417"/>
      <c r="AJ438" s="417"/>
      <c r="AK438" s="417"/>
      <c r="AL438" s="417"/>
      <c r="AM438" s="417"/>
      <c r="AN438" s="417"/>
      <c r="AO438" s="417"/>
    </row>
    <row r="439" spans="3:41" s="171" customFormat="1" ht="15" customHeight="1">
      <c r="C439" s="1246"/>
      <c r="D439" s="172" t="str">
        <f>IF(Indice_index!$Z$1=1,"fevereiro","February")</f>
        <v>February</v>
      </c>
      <c r="E439" s="1280">
        <v>1337</v>
      </c>
      <c r="F439" s="1280">
        <v>52</v>
      </c>
      <c r="G439" s="1280">
        <v>696</v>
      </c>
      <c r="H439" s="1280">
        <v>2085</v>
      </c>
      <c r="I439" s="1280">
        <v>1497</v>
      </c>
      <c r="J439" s="1318">
        <v>1901082.0899999999</v>
      </c>
      <c r="K439" s="1318">
        <v>66170.700000000012</v>
      </c>
      <c r="L439" s="1318">
        <v>405249.56</v>
      </c>
      <c r="M439" s="1318">
        <v>2372502.3499999996</v>
      </c>
      <c r="N439" s="1318">
        <v>1719682.26</v>
      </c>
      <c r="O439" s="1281">
        <v>1416.3</v>
      </c>
      <c r="P439" s="1282">
        <v>582.29999999999995</v>
      </c>
      <c r="R439" s="230"/>
      <c r="S439" s="230"/>
      <c r="T439" s="230"/>
      <c r="U439" s="230"/>
      <c r="V439" s="230"/>
      <c r="W439" s="230"/>
      <c r="X439" s="230"/>
      <c r="Y439" s="230"/>
      <c r="Z439" s="230"/>
      <c r="AA439" s="230"/>
      <c r="AB439" s="230"/>
      <c r="AC439" s="230"/>
      <c r="AD439" s="417"/>
      <c r="AE439" s="417"/>
      <c r="AF439" s="417"/>
      <c r="AG439" s="417"/>
      <c r="AH439" s="417"/>
      <c r="AI439" s="417"/>
      <c r="AJ439" s="417"/>
      <c r="AK439" s="417"/>
      <c r="AL439" s="417"/>
      <c r="AM439" s="417"/>
      <c r="AN439" s="417"/>
      <c r="AO439" s="417"/>
    </row>
    <row r="440" spans="3:41" ht="15" customHeight="1">
      <c r="C440" s="297"/>
      <c r="D440" s="172" t="str">
        <f>IF(Indice_index!$Z$1=1,"março","March")</f>
        <v>March</v>
      </c>
      <c r="E440" s="1283">
        <v>1127</v>
      </c>
      <c r="F440" s="1283">
        <v>81</v>
      </c>
      <c r="G440" s="1283">
        <v>752</v>
      </c>
      <c r="H440" s="1283">
        <v>1960</v>
      </c>
      <c r="I440" s="1283">
        <v>1408</v>
      </c>
      <c r="J440" s="1284">
        <v>1752452.3</v>
      </c>
      <c r="K440" s="1284">
        <v>92017.790000000008</v>
      </c>
      <c r="L440" s="1284">
        <v>360523.12999999995</v>
      </c>
      <c r="M440" s="1284">
        <v>2204993.2200000002</v>
      </c>
      <c r="N440" s="1284">
        <v>1619825.08</v>
      </c>
      <c r="O440" s="1317">
        <v>1526.9</v>
      </c>
      <c r="P440" s="1285">
        <v>479.4</v>
      </c>
      <c r="R440" s="230"/>
      <c r="S440" s="230"/>
      <c r="T440" s="230"/>
      <c r="U440" s="230"/>
      <c r="V440" s="230"/>
      <c r="W440" s="230"/>
      <c r="X440" s="230"/>
      <c r="Y440" s="230"/>
      <c r="Z440" s="230"/>
      <c r="AA440" s="230"/>
      <c r="AB440" s="230"/>
      <c r="AC440" s="230"/>
      <c r="AD440" s="417"/>
      <c r="AE440" s="417"/>
      <c r="AF440" s="417"/>
      <c r="AG440" s="417"/>
      <c r="AH440" s="417"/>
      <c r="AI440" s="417"/>
      <c r="AJ440" s="417"/>
      <c r="AK440" s="417"/>
      <c r="AL440" s="417"/>
      <c r="AM440" s="417"/>
      <c r="AN440" s="417"/>
      <c r="AO440" s="417"/>
    </row>
    <row r="441" spans="3:41" ht="15" customHeight="1">
      <c r="C441" s="297"/>
      <c r="D441" s="172" t="str">
        <f>IF(Indice_index!$Z$1=1,"abril","April")</f>
        <v>April</v>
      </c>
      <c r="E441" s="1247">
        <v>1334</v>
      </c>
      <c r="F441" s="1247">
        <v>67</v>
      </c>
      <c r="G441" s="1247">
        <v>932</v>
      </c>
      <c r="H441" s="1247">
        <v>2333</v>
      </c>
      <c r="I441" s="1247">
        <v>1429</v>
      </c>
      <c r="J441" s="1248">
        <v>1988858.03</v>
      </c>
      <c r="K441" s="1248">
        <v>70479.95</v>
      </c>
      <c r="L441" s="1248">
        <v>490821.11999999988</v>
      </c>
      <c r="M441" s="1248">
        <v>2550159.0999999996</v>
      </c>
      <c r="N441" s="1248">
        <v>1619993.07</v>
      </c>
      <c r="O441" s="1248">
        <v>1469.9</v>
      </c>
      <c r="P441" s="1248">
        <v>526.6</v>
      </c>
      <c r="R441" s="230"/>
      <c r="S441" s="230"/>
      <c r="T441" s="230"/>
      <c r="U441" s="230"/>
      <c r="V441" s="230"/>
      <c r="W441" s="230"/>
      <c r="X441" s="230"/>
      <c r="Y441" s="230"/>
      <c r="Z441" s="230"/>
      <c r="AA441" s="230"/>
      <c r="AB441" s="230"/>
      <c r="AC441" s="230"/>
      <c r="AD441" s="417"/>
      <c r="AE441" s="417"/>
      <c r="AF441" s="417"/>
      <c r="AG441" s="417"/>
      <c r="AH441" s="417"/>
      <c r="AI441" s="417"/>
      <c r="AJ441" s="417"/>
      <c r="AK441" s="417"/>
      <c r="AL441" s="417"/>
      <c r="AM441" s="417"/>
      <c r="AN441" s="417"/>
      <c r="AO441" s="417"/>
    </row>
    <row r="442" spans="3:41" ht="15" customHeight="1">
      <c r="C442" s="297"/>
      <c r="D442" s="172" t="str">
        <f>IF(Indice_index!$Z$1=1,"maio","May")</f>
        <v>May</v>
      </c>
      <c r="E442" s="1262">
        <v>1554</v>
      </c>
      <c r="F442" s="1262">
        <v>77</v>
      </c>
      <c r="G442" s="1262">
        <v>810</v>
      </c>
      <c r="H442" s="1262">
        <v>2441</v>
      </c>
      <c r="I442" s="1262">
        <v>1358</v>
      </c>
      <c r="J442" s="1263">
        <v>2514972.58</v>
      </c>
      <c r="K442" s="1263">
        <v>86613.47</v>
      </c>
      <c r="L442" s="1263">
        <v>459321.77999999997</v>
      </c>
      <c r="M442" s="1263">
        <v>3060907.83</v>
      </c>
      <c r="N442" s="1263">
        <v>1554368.07</v>
      </c>
      <c r="O442" s="1263">
        <v>1595.1</v>
      </c>
      <c r="P442" s="1263">
        <v>567.1</v>
      </c>
      <c r="R442" s="230"/>
      <c r="S442" s="230"/>
      <c r="T442" s="230"/>
      <c r="U442" s="230"/>
      <c r="V442" s="230"/>
      <c r="W442" s="230"/>
      <c r="X442" s="230"/>
      <c r="Y442" s="230"/>
      <c r="Z442" s="230"/>
      <c r="AA442" s="230"/>
      <c r="AB442" s="230"/>
      <c r="AC442" s="230"/>
      <c r="AD442" s="417"/>
      <c r="AE442" s="417"/>
      <c r="AF442" s="417"/>
      <c r="AG442" s="417"/>
      <c r="AH442" s="417"/>
      <c r="AI442" s="417"/>
      <c r="AJ442" s="417"/>
      <c r="AK442" s="417"/>
      <c r="AL442" s="417"/>
      <c r="AM442" s="417"/>
      <c r="AN442" s="417"/>
      <c r="AO442" s="417"/>
    </row>
    <row r="443" spans="3:41" ht="15" customHeight="1">
      <c r="C443" s="297"/>
      <c r="D443" s="172" t="str">
        <f>IF(Indice_index!$Z$1=1,"junho","June")</f>
        <v>June</v>
      </c>
      <c r="E443" s="1264">
        <v>1596</v>
      </c>
      <c r="F443" s="1264">
        <v>97</v>
      </c>
      <c r="G443" s="1264">
        <v>836</v>
      </c>
      <c r="H443" s="1264">
        <v>2529</v>
      </c>
      <c r="I443" s="1264">
        <v>1321</v>
      </c>
      <c r="J443" s="1265">
        <v>2633457.0499999998</v>
      </c>
      <c r="K443" s="1265">
        <v>108886.82999999999</v>
      </c>
      <c r="L443" s="1265">
        <v>454842.29999999993</v>
      </c>
      <c r="M443" s="1265">
        <v>3197186.1799999997</v>
      </c>
      <c r="N443" s="1265">
        <v>1532259.16</v>
      </c>
      <c r="O443" s="1265">
        <v>1619.8</v>
      </c>
      <c r="P443" s="1265">
        <v>544.1</v>
      </c>
      <c r="R443" s="230"/>
      <c r="S443" s="230"/>
      <c r="T443" s="230"/>
      <c r="U443" s="230"/>
      <c r="V443" s="230"/>
      <c r="W443" s="230"/>
      <c r="X443" s="230"/>
      <c r="Y443" s="230"/>
      <c r="Z443" s="230"/>
      <c r="AA443" s="230"/>
      <c r="AB443" s="230"/>
      <c r="AC443" s="230"/>
    </row>
    <row r="444" spans="3:41" ht="15" customHeight="1">
      <c r="C444" s="297"/>
      <c r="D444" s="172" t="str">
        <f>IF(Indice_index!$Z$1=1,"julho","July")</f>
        <v>July</v>
      </c>
      <c r="E444" s="1266">
        <v>1070</v>
      </c>
      <c r="F444" s="1266">
        <v>80</v>
      </c>
      <c r="G444" s="1266">
        <v>690</v>
      </c>
      <c r="H444" s="1266">
        <v>1840</v>
      </c>
      <c r="I444" s="1266">
        <v>1259</v>
      </c>
      <c r="J444" s="1267">
        <v>1703883.1</v>
      </c>
      <c r="K444" s="1267">
        <v>93666.53</v>
      </c>
      <c r="L444" s="1267">
        <v>373400.72000000003</v>
      </c>
      <c r="M444" s="1267">
        <v>2170950.35</v>
      </c>
      <c r="N444" s="1267">
        <v>1450557.63</v>
      </c>
      <c r="O444" s="1267">
        <v>1563.1</v>
      </c>
      <c r="P444" s="1267">
        <v>541.20000000000005</v>
      </c>
      <c r="R444" s="230"/>
      <c r="S444" s="230"/>
      <c r="T444" s="230"/>
      <c r="U444" s="230"/>
      <c r="V444" s="230"/>
      <c r="W444" s="230"/>
      <c r="X444" s="230"/>
      <c r="Y444" s="230"/>
      <c r="Z444" s="230"/>
      <c r="AA444" s="230"/>
      <c r="AB444" s="230"/>
      <c r="AC444" s="230"/>
    </row>
    <row r="445" spans="3:41" ht="15" customHeight="1">
      <c r="C445" s="297"/>
      <c r="D445" s="172" t="str">
        <f>IF(Indice_index!$Z$1=1,"agosto","August")</f>
        <v>August</v>
      </c>
      <c r="E445" s="1268">
        <v>1166</v>
      </c>
      <c r="F445" s="1268">
        <v>80</v>
      </c>
      <c r="G445" s="1268">
        <v>775</v>
      </c>
      <c r="H445" s="1268">
        <v>2021</v>
      </c>
      <c r="I445" s="1268">
        <v>1365</v>
      </c>
      <c r="J445" s="1269">
        <v>1887668.71</v>
      </c>
      <c r="K445" s="1269">
        <v>86358.26</v>
      </c>
      <c r="L445" s="1269">
        <v>456072.92</v>
      </c>
      <c r="M445" s="1269">
        <v>2430099.89</v>
      </c>
      <c r="N445" s="1269">
        <v>1584615.03</v>
      </c>
      <c r="O445" s="1270">
        <v>1584.3</v>
      </c>
      <c r="P445" s="1270">
        <v>588.5</v>
      </c>
      <c r="X445" s="229"/>
      <c r="Y445" s="229"/>
      <c r="Z445" s="229"/>
      <c r="AA445" s="229"/>
    </row>
    <row r="446" spans="3:41" ht="18" customHeight="1">
      <c r="C446" s="297"/>
      <c r="D446" s="172" t="str">
        <f>IF(Indice_index!$Z$1=1,"setembro","September")</f>
        <v>September</v>
      </c>
      <c r="E446" s="1286">
        <v>1334</v>
      </c>
      <c r="F446" s="1286">
        <v>88</v>
      </c>
      <c r="G446" s="1286">
        <v>840</v>
      </c>
      <c r="H446" s="1286">
        <v>2262</v>
      </c>
      <c r="I446" s="1286">
        <v>1298</v>
      </c>
      <c r="J446" s="1287">
        <v>2203343.7999999998</v>
      </c>
      <c r="K446" s="1287">
        <v>112425.97</v>
      </c>
      <c r="L446" s="1287">
        <v>424194.71999999991</v>
      </c>
      <c r="M446" s="1287">
        <v>2739964.4899999998</v>
      </c>
      <c r="N446" s="1287">
        <v>1478157.47</v>
      </c>
      <c r="O446" s="1288">
        <v>1628.5</v>
      </c>
      <c r="P446" s="1289">
        <v>505</v>
      </c>
      <c r="X446" s="229"/>
      <c r="Y446" s="229"/>
      <c r="Z446" s="229"/>
      <c r="AA446" s="229"/>
    </row>
    <row r="447" spans="3:41" ht="15.75" customHeight="1">
      <c r="C447" s="297"/>
      <c r="D447" s="172" t="str">
        <f>IF(Indice_index!$Z$1=1,"outubro","October")</f>
        <v>October</v>
      </c>
      <c r="E447" s="1253">
        <v>1353</v>
      </c>
      <c r="F447" s="1253">
        <v>72</v>
      </c>
      <c r="G447" s="1253">
        <v>782</v>
      </c>
      <c r="H447" s="1253">
        <v>2207</v>
      </c>
      <c r="I447" s="1253">
        <v>1268</v>
      </c>
      <c r="J447" s="1254">
        <v>2191545.09</v>
      </c>
      <c r="K447" s="1254">
        <v>91807.31</v>
      </c>
      <c r="L447" s="1254">
        <v>384863.00000000006</v>
      </c>
      <c r="M447" s="1254">
        <v>2668215.4</v>
      </c>
      <c r="N447" s="1254">
        <v>1459873.36</v>
      </c>
      <c r="O447" s="1254">
        <v>1602.4</v>
      </c>
      <c r="P447" s="1254">
        <v>492.2</v>
      </c>
      <c r="X447" s="229"/>
      <c r="Y447" s="229"/>
      <c r="Z447" s="229"/>
      <c r="AA447" s="229"/>
    </row>
    <row r="448" spans="3:41" s="171" customFormat="1" ht="12" customHeight="1">
      <c r="C448" s="1246"/>
      <c r="D448" s="172" t="str">
        <f>IF(Indice_index!$Z$1=1,"novembro","November")</f>
        <v>November</v>
      </c>
      <c r="E448" s="1353">
        <v>1108</v>
      </c>
      <c r="F448" s="1353">
        <v>71</v>
      </c>
      <c r="G448" s="1353">
        <v>870</v>
      </c>
      <c r="H448" s="1353">
        <v>2049</v>
      </c>
      <c r="I448" s="1353">
        <v>1162</v>
      </c>
      <c r="J448" s="1290">
        <v>1714741.7</v>
      </c>
      <c r="K448" s="1290">
        <v>78488.25</v>
      </c>
      <c r="L448" s="1290">
        <v>510018.96999999991</v>
      </c>
      <c r="M448" s="1290">
        <v>2303248.92</v>
      </c>
      <c r="N448" s="1290">
        <v>1361787.88</v>
      </c>
      <c r="O448" s="1352">
        <v>1521</v>
      </c>
      <c r="P448" s="1351">
        <v>586.20000000000005</v>
      </c>
      <c r="R448" s="229"/>
      <c r="S448" s="229"/>
      <c r="T448" s="229"/>
      <c r="U448" s="229"/>
      <c r="V448" s="229"/>
      <c r="W448" s="229"/>
      <c r="X448" s="229"/>
      <c r="Y448" s="229"/>
      <c r="Z448" s="229"/>
      <c r="AA448" s="229"/>
      <c r="AB448" s="229"/>
      <c r="AC448" s="229"/>
    </row>
    <row r="449" spans="3:26" ht="15.75" hidden="1" customHeight="1">
      <c r="C449" s="1338"/>
      <c r="D449" s="172" t="str">
        <f>IF(Indice_index!$Z$1=1,"dezembro","December")</f>
        <v>December</v>
      </c>
      <c r="E449" s="1274"/>
      <c r="F449" s="1274"/>
      <c r="G449" s="1274"/>
      <c r="H449" s="1274"/>
      <c r="I449" s="1274"/>
      <c r="J449" s="1275"/>
      <c r="K449" s="1275"/>
      <c r="L449" s="1275"/>
      <c r="M449" s="1275"/>
      <c r="N449" s="1275"/>
      <c r="O449" s="1276"/>
      <c r="P449" s="1276"/>
    </row>
    <row r="450" spans="3:26" ht="9.75" customHeight="1">
      <c r="C450" s="1345"/>
      <c r="D450" s="1344"/>
      <c r="E450" s="1344"/>
      <c r="F450" s="1344"/>
      <c r="G450" s="1344"/>
      <c r="H450" s="1344"/>
      <c r="I450" s="1344"/>
      <c r="J450" s="1344"/>
      <c r="K450" s="1344"/>
      <c r="L450" s="1344"/>
      <c r="M450" s="1344"/>
      <c r="N450" s="1344"/>
      <c r="O450" s="1344"/>
      <c r="P450" s="1344"/>
      <c r="X450" s="229"/>
      <c r="Y450" s="229"/>
      <c r="Z450" s="229"/>
    </row>
    <row r="451" spans="3:26" ht="15" customHeight="1">
      <c r="C451" s="1316"/>
      <c r="F451" s="170"/>
      <c r="G451" s="170"/>
      <c r="H451" s="170"/>
      <c r="I451" s="170"/>
      <c r="J451" s="170"/>
      <c r="K451" s="170"/>
      <c r="L451" s="172"/>
      <c r="M451" s="172"/>
      <c r="N451" s="172"/>
      <c r="O451" s="229"/>
      <c r="P451" s="229"/>
      <c r="R451" s="171"/>
    </row>
    <row r="452" spans="3:26" ht="15" customHeight="1">
      <c r="C452" s="1316"/>
      <c r="F452" s="170"/>
      <c r="G452" s="170"/>
      <c r="H452" s="170"/>
      <c r="I452" s="170"/>
      <c r="J452" s="170"/>
      <c r="K452" s="170"/>
      <c r="L452" s="172"/>
      <c r="M452" s="172"/>
      <c r="N452" s="172"/>
      <c r="O452" s="229"/>
      <c r="P452" s="229"/>
      <c r="R452" s="171"/>
    </row>
    <row r="453" spans="3:26" ht="15" customHeight="1">
      <c r="C453" s="1239"/>
      <c r="D453" s="1212"/>
      <c r="E453" s="171"/>
      <c r="F453" s="1212"/>
      <c r="G453" s="1212"/>
      <c r="H453" s="171"/>
      <c r="I453" s="171"/>
      <c r="J453" s="171"/>
      <c r="K453" s="171"/>
      <c r="O453" s="85"/>
      <c r="P453" s="229"/>
    </row>
    <row r="454" spans="3:26" ht="12" customHeight="1">
      <c r="C454" s="1347"/>
      <c r="D454" s="1240"/>
      <c r="E454" s="1781" t="str">
        <f>IF(Indice_index!$Z$1=1,"VH do número de pensionistas (%)","YOY Change Rate of the number of subscribers (%)")</f>
        <v>YOY Change Rate of the number of subscribers (%)</v>
      </c>
      <c r="F454" s="1781"/>
      <c r="G454" s="1781"/>
      <c r="H454" s="1781"/>
      <c r="I454" s="1781"/>
      <c r="J454" s="1741" t="str">
        <f>IF(Indice_index!$Z$1=1,"VHA da Despesa com pensões (€)","YOY Change Rate of the Expense with Pensions")</f>
        <v>YOY Change Rate of the Expense with Pensions</v>
      </c>
      <c r="K454" s="1741"/>
      <c r="L454" s="1741"/>
      <c r="M454" s="1741"/>
      <c r="N454" s="1741"/>
      <c r="O454" s="1788" t="str">
        <f>IF(Indice_index!$Z$1=1,"VHA Pensão média nova Aposentação/Reforma (€)","YOY Change Rate of the Average Value paid per new Retirment Pensioner")</f>
        <v>YOY Change Rate of the Average Value paid per new Retirment Pensioner</v>
      </c>
      <c r="P454" s="1782" t="str">
        <f>IF(Indice_index!$Z$1=1,"VHA Pensão média nova Sobrevivência e Outras (€)","YOY Change Rate of the Average Value paid per new Survival and Others Pensioner")</f>
        <v>YOY Change Rate of the Average Value paid per new Survival and Others Pensioner</v>
      </c>
    </row>
    <row r="455" spans="3:26" ht="12" customHeight="1">
      <c r="C455" s="1239"/>
      <c r="D455" s="1241"/>
      <c r="E455" s="1781" t="str">
        <f>IF(Indice_index!$Z$1=1,"Novos","New")</f>
        <v>New</v>
      </c>
      <c r="F455" s="1781"/>
      <c r="G455" s="1781"/>
      <c r="H455" s="1781"/>
      <c r="I455" s="1788" t="str">
        <f>IF(Indice_index!$Z$1=1,"Abonos abatidos de Aposentação /Reforma","Allowances deducted from Retirement / Pension")</f>
        <v>Allowances deducted from Retirement / Pension</v>
      </c>
      <c r="J455" s="1741" t="str">
        <f>IF(Indice_index!$Z$1=1,"Novos","New")</f>
        <v>New</v>
      </c>
      <c r="K455" s="1741"/>
      <c r="L455" s="1741"/>
      <c r="M455" s="1741"/>
      <c r="N455" s="1788" t="str">
        <f>IF(Indice_index!$Z$1=1,"Abonos abatidos de Aposentação /Reforma","Allowances deducted from Retirement / Pension")</f>
        <v>Allowances deducted from Retirement / Pension</v>
      </c>
      <c r="O455" s="1788"/>
      <c r="P455" s="1782"/>
    </row>
    <row r="456" spans="3:26" ht="42" customHeight="1">
      <c r="C456" s="1345"/>
      <c r="D456" s="1242"/>
      <c r="E456" s="1343" t="str">
        <f>IF(Indice_index!$Z$1=1,"Velhice e Outros Motivos","Old age and other Reasons")</f>
        <v>Old age and other Reasons</v>
      </c>
      <c r="F456" s="1342" t="str">
        <f>IF(Indice_index!$Z$1=1,"Invalidez","Disability")</f>
        <v>Disability</v>
      </c>
      <c r="G456" s="1343" t="str">
        <f>IF(Indice_index!$Z$1=1,"Sobrevivência e Outros","Survival and Others")</f>
        <v>Survival and Others</v>
      </c>
      <c r="H456" s="1343" t="str">
        <f>IF(Indice_index!$Z$1=1,"Total de Pensionistas","Total of Pensioners")</f>
        <v>Total of Pensioners</v>
      </c>
      <c r="I456" s="1788"/>
      <c r="J456" s="1343" t="str">
        <f>IF(Indice_index!$Z$1=1,"Velhice e Outros Motivos","Old age and other Reasons")</f>
        <v>Old age and other Reasons</v>
      </c>
      <c r="K456" s="1342" t="str">
        <f>IF(Indice_index!$Z$1=1,"Invalidez","Disability")</f>
        <v>Disability</v>
      </c>
      <c r="L456" s="1343" t="str">
        <f>IF(Indice_index!$Z$1=1,"Sobrevivência e Outros","Survival and Others")</f>
        <v>Survival and Others</v>
      </c>
      <c r="M456" s="1343" t="str">
        <f>IF(Indice_index!$Z$1=1,"Total","Total")</f>
        <v>Total</v>
      </c>
      <c r="N456" s="1788"/>
      <c r="O456" s="1788"/>
      <c r="P456" s="1782"/>
    </row>
    <row r="457" spans="3:26" hidden="1">
      <c r="C457" s="1341" t="s">
        <v>11</v>
      </c>
      <c r="D457" s="644"/>
      <c r="E457" s="1243"/>
      <c r="F457" s="1243"/>
      <c r="G457" s="1243"/>
      <c r="H457" s="1243"/>
      <c r="I457" s="1243"/>
      <c r="J457" s="1149"/>
      <c r="K457" s="1149"/>
      <c r="L457" s="1149"/>
      <c r="N457" s="1243"/>
      <c r="O457" s="1149"/>
      <c r="P457" s="229"/>
    </row>
    <row r="458" spans="3:26" hidden="1">
      <c r="C458" s="1341"/>
      <c r="D458" s="172" t="str">
        <f>IF(Indice_index!$Z$1=1,"janeiro","January")</f>
        <v>January</v>
      </c>
      <c r="E458" s="1149">
        <v>9.6999999999999993</v>
      </c>
      <c r="F458" s="1149">
        <v>5.3</v>
      </c>
      <c r="G458" s="1149">
        <v>21.4</v>
      </c>
      <c r="H458" s="1149">
        <v>12.1</v>
      </c>
      <c r="I458" s="1149">
        <v>-7.8</v>
      </c>
      <c r="J458" s="1149">
        <v>6.5</v>
      </c>
      <c r="K458" s="1149">
        <v>26.4</v>
      </c>
      <c r="L458" s="1149">
        <v>20.6</v>
      </c>
      <c r="M458" s="171">
        <v>9.1999999999999993</v>
      </c>
      <c r="N458" s="1149">
        <v>-5.5</v>
      </c>
      <c r="O458" s="1149">
        <v>-1.1000000000000001</v>
      </c>
      <c r="P458" s="229">
        <v>-0.7</v>
      </c>
    </row>
    <row r="459" spans="3:26" hidden="1">
      <c r="C459" s="1340"/>
      <c r="D459" s="172" t="str">
        <f>IF(Indice_index!$Z$1=1,"fevereiro","February")</f>
        <v>February</v>
      </c>
      <c r="E459" s="1149">
        <v>-22.3</v>
      </c>
      <c r="F459" s="1149">
        <v>4.3</v>
      </c>
      <c r="G459" s="1149">
        <v>-6.4</v>
      </c>
      <c r="H459" s="1149">
        <v>-16.2</v>
      </c>
      <c r="I459" s="1149">
        <v>1.5</v>
      </c>
      <c r="J459" s="1149">
        <v>-36.799999999999997</v>
      </c>
      <c r="K459" s="1149">
        <v>6.5</v>
      </c>
      <c r="L459" s="1149">
        <v>-4.5999999999999996</v>
      </c>
      <c r="M459" s="171">
        <v>-30.7</v>
      </c>
      <c r="N459" s="1149">
        <v>-1.2</v>
      </c>
      <c r="O459" s="1149">
        <v>-17.3</v>
      </c>
      <c r="P459" s="1149">
        <v>1.9</v>
      </c>
    </row>
    <row r="460" spans="3:26" hidden="1">
      <c r="C460" s="1340"/>
      <c r="D460" s="172" t="str">
        <f>IF(Indice_index!$Z$1=1,"março","March")</f>
        <v>March</v>
      </c>
      <c r="E460" s="1149">
        <v>25.9</v>
      </c>
      <c r="F460" s="1149">
        <v>-41.8</v>
      </c>
      <c r="G460" s="1149">
        <v>-28</v>
      </c>
      <c r="H460" s="1149">
        <v>-0.5</v>
      </c>
      <c r="I460" s="1149">
        <v>2.1</v>
      </c>
      <c r="J460" s="1149">
        <v>8.5</v>
      </c>
      <c r="K460" s="1149">
        <v>-38.9</v>
      </c>
      <c r="L460" s="1149">
        <v>-30.1</v>
      </c>
      <c r="M460" s="171">
        <v>-3.6</v>
      </c>
      <c r="N460" s="1149">
        <v>3.8</v>
      </c>
      <c r="O460" s="1149">
        <v>-11.4</v>
      </c>
      <c r="P460" s="1149">
        <v>-2.8</v>
      </c>
    </row>
    <row r="461" spans="3:26" hidden="1">
      <c r="C461" s="1340"/>
      <c r="D461" s="172" t="str">
        <f>IF(Indice_index!$Z$1=1,"abril","April")</f>
        <v>April</v>
      </c>
      <c r="E461" s="1149">
        <v>25.4</v>
      </c>
      <c r="F461" s="1149">
        <v>-34.700000000000003</v>
      </c>
      <c r="G461" s="1149">
        <v>-26.5</v>
      </c>
      <c r="H461" s="1149">
        <v>1.8</v>
      </c>
      <c r="I461" s="1149">
        <v>-18</v>
      </c>
      <c r="J461" s="1149">
        <v>15.4</v>
      </c>
      <c r="K461" s="1149">
        <v>-38</v>
      </c>
      <c r="L461" s="1149">
        <v>-13.2</v>
      </c>
      <c r="M461" s="171">
        <v>3.9</v>
      </c>
      <c r="N461" s="1149">
        <v>-16.8</v>
      </c>
      <c r="O461" s="1149">
        <v>-7.7</v>
      </c>
      <c r="P461" s="1149">
        <v>18.100000000000001</v>
      </c>
    </row>
    <row r="462" spans="3:26" hidden="1">
      <c r="C462" s="1340"/>
      <c r="D462" s="172" t="str">
        <f>IF(Indice_index!$Z$1=1,"maio","May")</f>
        <v>May</v>
      </c>
      <c r="E462" s="1149">
        <v>7.9</v>
      </c>
      <c r="F462" s="1149">
        <v>37.6</v>
      </c>
      <c r="G462" s="1149">
        <v>-6.6</v>
      </c>
      <c r="H462" s="1149">
        <v>5.4</v>
      </c>
      <c r="I462" s="1149">
        <v>-4.4000000000000004</v>
      </c>
      <c r="J462" s="1149">
        <v>8</v>
      </c>
      <c r="K462" s="1149">
        <v>46.1</v>
      </c>
      <c r="L462" s="1149">
        <v>-5.7</v>
      </c>
      <c r="M462" s="171">
        <v>8.6</v>
      </c>
      <c r="N462" s="1149">
        <v>-1.3</v>
      </c>
      <c r="O462" s="1149">
        <v>0.8</v>
      </c>
      <c r="P462" s="1149">
        <v>0.9</v>
      </c>
    </row>
    <row r="463" spans="3:26" hidden="1">
      <c r="C463" s="1340"/>
      <c r="D463" s="172" t="str">
        <f>IF(Indice_index!$Z$1=1,"junho","June")</f>
        <v>June</v>
      </c>
      <c r="E463" s="1149">
        <v>-21.2</v>
      </c>
      <c r="F463" s="1149">
        <v>73</v>
      </c>
      <c r="G463" s="1149">
        <v>-15</v>
      </c>
      <c r="H463" s="1149">
        <v>-11.9</v>
      </c>
      <c r="I463" s="1149">
        <v>8.4</v>
      </c>
      <c r="J463" s="1149">
        <v>-4.0999999999999996</v>
      </c>
      <c r="K463" s="1149">
        <v>57.3</v>
      </c>
      <c r="L463" s="1149">
        <v>-15.1</v>
      </c>
      <c r="M463" s="171">
        <v>0.8</v>
      </c>
      <c r="N463" s="1149">
        <v>13.2</v>
      </c>
      <c r="O463" s="1149">
        <v>16.3</v>
      </c>
      <c r="P463" s="1149">
        <v>-0.1</v>
      </c>
    </row>
    <row r="464" spans="3:26" hidden="1">
      <c r="C464" s="1340"/>
      <c r="D464" s="172" t="str">
        <f>IF(Indice_index!$Z$1=1,"julho","July")</f>
        <v>July</v>
      </c>
      <c r="E464" s="1149">
        <v>-23.3</v>
      </c>
      <c r="F464" s="1149">
        <v>-9.9</v>
      </c>
      <c r="G464" s="1149">
        <v>-16.2</v>
      </c>
      <c r="H464" s="1149">
        <v>-20.399999999999999</v>
      </c>
      <c r="I464" s="1149">
        <v>2.5</v>
      </c>
      <c r="J464" s="1149">
        <v>-25.5</v>
      </c>
      <c r="K464" s="1149">
        <v>2.2000000000000002</v>
      </c>
      <c r="L464" s="1149">
        <v>-7.8</v>
      </c>
      <c r="M464" s="171">
        <v>-21.1</v>
      </c>
      <c r="N464" s="1149">
        <v>5</v>
      </c>
      <c r="O464" s="1149">
        <v>-1.3</v>
      </c>
      <c r="P464" s="1149">
        <v>10.1</v>
      </c>
    </row>
    <row r="465" spans="3:16" hidden="1">
      <c r="C465" s="1340"/>
      <c r="D465" s="172" t="str">
        <f>IF(Indice_index!$Z$1=1,"agosto","August")</f>
        <v>August</v>
      </c>
      <c r="E465" s="1149">
        <v>-41.2</v>
      </c>
      <c r="F465" s="1149">
        <v>-19.600000000000001</v>
      </c>
      <c r="G465" s="1149">
        <v>4.0999999999999996</v>
      </c>
      <c r="H465" s="1149">
        <v>-26.4</v>
      </c>
      <c r="I465" s="1149">
        <v>19.8</v>
      </c>
      <c r="J465" s="1149">
        <v>-31.5</v>
      </c>
      <c r="K465" s="1149">
        <v>-13.5</v>
      </c>
      <c r="L465" s="1149">
        <v>14.3</v>
      </c>
      <c r="M465" s="171">
        <v>-22.9</v>
      </c>
      <c r="N465" s="1149">
        <v>15.2</v>
      </c>
      <c r="O465" s="1149">
        <v>15.7</v>
      </c>
      <c r="P465" s="1149">
        <v>9.6999999999999993</v>
      </c>
    </row>
    <row r="466" spans="3:16" hidden="1">
      <c r="C466" s="1340"/>
      <c r="D466" s="172" t="str">
        <f>IF(Indice_index!$Z$1=1,"setembro","September")</f>
        <v>September</v>
      </c>
      <c r="E466" s="1149">
        <v>-50.9</v>
      </c>
      <c r="F466" s="1149">
        <v>-35.9</v>
      </c>
      <c r="G466" s="1149">
        <v>-7.9</v>
      </c>
      <c r="H466" s="1149">
        <v>-39.6</v>
      </c>
      <c r="I466" s="1149">
        <v>16.3</v>
      </c>
      <c r="J466" s="1149">
        <v>-50</v>
      </c>
      <c r="K466" s="1149">
        <v>-20.5</v>
      </c>
      <c r="L466" s="1149">
        <v>1.7</v>
      </c>
      <c r="M466" s="171">
        <v>-42.5</v>
      </c>
      <c r="N466" s="1149">
        <v>27.2</v>
      </c>
      <c r="O466" s="1149">
        <v>3.4</v>
      </c>
      <c r="P466" s="1149">
        <v>10.4</v>
      </c>
    </row>
    <row r="467" spans="3:16" hidden="1">
      <c r="C467" s="1340"/>
      <c r="D467" s="172" t="str">
        <f>IF(Indice_index!$Z$1=1,"outubro","October")</f>
        <v>October</v>
      </c>
      <c r="E467" s="1149">
        <v>-34.1</v>
      </c>
      <c r="F467" s="1149">
        <v>-47.3</v>
      </c>
      <c r="G467" s="1149">
        <v>16.7</v>
      </c>
      <c r="H467" s="1149">
        <v>-22.5</v>
      </c>
      <c r="I467" s="1149">
        <v>1.1000000000000001</v>
      </c>
      <c r="J467" s="1149">
        <v>-27.2</v>
      </c>
      <c r="K467" s="1149">
        <v>-46.5</v>
      </c>
      <c r="L467" s="1149">
        <v>3.3</v>
      </c>
      <c r="M467" s="171">
        <v>-25.6</v>
      </c>
      <c r="N467" s="1149">
        <v>10</v>
      </c>
      <c r="O467" s="1149">
        <v>10</v>
      </c>
      <c r="P467" s="1149">
        <v>-11.5</v>
      </c>
    </row>
    <row r="468" spans="3:16" hidden="1">
      <c r="C468" s="1340"/>
      <c r="D468" s="172" t="str">
        <f>IF(Indice_index!$Z$1=1,"novembro","November")</f>
        <v>November</v>
      </c>
      <c r="E468" s="1149">
        <v>64</v>
      </c>
      <c r="F468" s="1149">
        <v>485.2</v>
      </c>
      <c r="G468" s="1149">
        <v>38.200000000000003</v>
      </c>
      <c r="H468" s="1149">
        <v>68.3</v>
      </c>
      <c r="I468" s="1149">
        <v>10.7</v>
      </c>
      <c r="J468" s="1149">
        <v>69.400000000000006</v>
      </c>
      <c r="K468" s="1149">
        <v>521.20000000000005</v>
      </c>
      <c r="L468" s="1149">
        <v>55.5</v>
      </c>
      <c r="M468" s="171">
        <v>81.900000000000006</v>
      </c>
      <c r="N468" s="1149">
        <v>14.7</v>
      </c>
      <c r="O468" s="1149">
        <v>1.1000000000000001</v>
      </c>
      <c r="P468" s="1149">
        <v>12.6</v>
      </c>
    </row>
    <row r="469" spans="3:16" hidden="1">
      <c r="C469" s="1340"/>
      <c r="D469" s="172" t="str">
        <f>IF(Indice_index!$Z$1=1,"dezembro","December")</f>
        <v>December</v>
      </c>
      <c r="E469" s="1149">
        <v>96.8</v>
      </c>
      <c r="F469" s="1149">
        <v>43.5</v>
      </c>
      <c r="G469" s="1149">
        <v>22.7</v>
      </c>
      <c r="H469" s="1149">
        <v>64.400000000000006</v>
      </c>
      <c r="I469" s="1149">
        <v>2.8</v>
      </c>
      <c r="J469" s="1149">
        <v>160.6</v>
      </c>
      <c r="K469" s="1149">
        <v>59.4</v>
      </c>
      <c r="L469" s="1149">
        <v>29.5</v>
      </c>
      <c r="M469" s="171">
        <v>129.19999999999999</v>
      </c>
      <c r="N469" s="1149">
        <v>-1.3</v>
      </c>
      <c r="O469" s="1149">
        <v>31.9</v>
      </c>
      <c r="P469" s="1149">
        <v>5.6</v>
      </c>
    </row>
    <row r="470" spans="3:16" hidden="1">
      <c r="C470" s="1341" t="s">
        <v>12</v>
      </c>
      <c r="D470" s="171"/>
      <c r="E470" s="1149"/>
      <c r="F470" s="1149"/>
      <c r="G470" s="1149"/>
      <c r="H470" s="1149"/>
      <c r="I470" s="1149"/>
      <c r="J470" s="1149"/>
      <c r="K470" s="1149"/>
      <c r="L470" s="1149"/>
      <c r="N470" s="1149"/>
      <c r="O470" s="1149"/>
      <c r="P470" s="1149"/>
    </row>
    <row r="471" spans="3:16" hidden="1">
      <c r="C471" s="1340"/>
      <c r="D471" s="172" t="str">
        <f>IF(Indice_index!$Z$1=1,"janeiro","January")</f>
        <v>January</v>
      </c>
      <c r="E471" s="1149">
        <v>-3.2</v>
      </c>
      <c r="F471" s="1149">
        <v>66.5</v>
      </c>
      <c r="G471" s="1149">
        <v>-6.9</v>
      </c>
      <c r="H471" s="1149">
        <v>1</v>
      </c>
      <c r="I471" s="1149">
        <v>5.5</v>
      </c>
      <c r="J471" s="1149">
        <v>-10.7</v>
      </c>
      <c r="K471" s="1149">
        <v>50.7</v>
      </c>
      <c r="L471" s="1149">
        <v>-12.1</v>
      </c>
      <c r="M471" s="171">
        <v>-6.1</v>
      </c>
      <c r="N471" s="1149">
        <v>8.3000000000000007</v>
      </c>
      <c r="O471" s="1149">
        <v>-8.8000000000000007</v>
      </c>
      <c r="P471" s="1149">
        <v>-5.6</v>
      </c>
    </row>
    <row r="472" spans="3:16" hidden="1">
      <c r="C472" s="1340"/>
      <c r="D472" s="172" t="str">
        <f>IF(Indice_index!$Z$1=1,"fevereiro","February")</f>
        <v>February</v>
      </c>
      <c r="E472" s="1149">
        <v>1.5</v>
      </c>
      <c r="F472" s="1149">
        <v>-25.7</v>
      </c>
      <c r="G472" s="1149">
        <v>2.6</v>
      </c>
      <c r="H472" s="1149">
        <v>-0.6</v>
      </c>
      <c r="I472" s="1149">
        <v>18.7</v>
      </c>
      <c r="J472" s="1149">
        <v>-5.7</v>
      </c>
      <c r="K472" s="1149">
        <v>-11.9</v>
      </c>
      <c r="L472" s="1149">
        <v>9.1999999999999993</v>
      </c>
      <c r="M472" s="171">
        <v>-4.2</v>
      </c>
      <c r="N472" s="1149">
        <v>16.3</v>
      </c>
      <c r="O472" s="1149">
        <v>-4.5</v>
      </c>
      <c r="P472" s="1149">
        <v>6.5</v>
      </c>
    </row>
    <row r="473" spans="3:16" hidden="1">
      <c r="C473" s="1340"/>
      <c r="D473" s="172" t="str">
        <f>IF(Indice_index!$Z$1=1,"março","March")</f>
        <v>March</v>
      </c>
      <c r="E473" s="1149">
        <v>-6.7</v>
      </c>
      <c r="F473" s="1149">
        <v>-45.8</v>
      </c>
      <c r="G473" s="1149">
        <v>23.2</v>
      </c>
      <c r="H473" s="1149">
        <v>-1</v>
      </c>
      <c r="I473" s="1149">
        <v>0.7</v>
      </c>
      <c r="J473" s="1149">
        <v>1.8</v>
      </c>
      <c r="K473" s="1149">
        <v>-42.3</v>
      </c>
      <c r="L473" s="1149">
        <v>32.4</v>
      </c>
      <c r="M473" s="171">
        <v>2.9</v>
      </c>
      <c r="N473" s="1149">
        <v>7.7</v>
      </c>
      <c r="O473" s="1149">
        <v>9</v>
      </c>
      <c r="P473" s="1149">
        <v>7.5</v>
      </c>
    </row>
    <row r="474" spans="3:16" hidden="1">
      <c r="C474" s="1340"/>
      <c r="D474" s="172" t="str">
        <f>IF(Indice_index!$Z$1=1,"abril","April")</f>
        <v>April</v>
      </c>
      <c r="E474" s="1149">
        <v>-29.8</v>
      </c>
      <c r="F474" s="1149">
        <v>92.7</v>
      </c>
      <c r="G474" s="1149">
        <v>21.9</v>
      </c>
      <c r="H474" s="1149">
        <v>-9.3000000000000007</v>
      </c>
      <c r="I474" s="1149">
        <v>-1.8</v>
      </c>
      <c r="J474" s="1149">
        <v>-15.5</v>
      </c>
      <c r="K474" s="1149">
        <v>92.4</v>
      </c>
      <c r="L474" s="1149">
        <v>14.5</v>
      </c>
      <c r="M474" s="171">
        <v>-3.2</v>
      </c>
      <c r="N474" s="1149">
        <v>5.7</v>
      </c>
      <c r="O474" s="1149">
        <v>16.5</v>
      </c>
      <c r="P474" s="1149">
        <v>-6</v>
      </c>
    </row>
    <row r="475" spans="3:16" hidden="1">
      <c r="C475" s="1340"/>
      <c r="D475" s="172" t="str">
        <f>IF(Indice_index!$Z$1=1,"maio","May")</f>
        <v>May</v>
      </c>
      <c r="E475" s="1149">
        <v>-15.7</v>
      </c>
      <c r="F475" s="1149">
        <v>-41.7</v>
      </c>
      <c r="G475" s="1149">
        <v>-12.1</v>
      </c>
      <c r="H475" s="1149">
        <v>-16.7</v>
      </c>
      <c r="I475" s="1149">
        <v>-10</v>
      </c>
      <c r="J475" s="1149">
        <v>0.8</v>
      </c>
      <c r="K475" s="1149">
        <v>-42.1</v>
      </c>
      <c r="L475" s="1149">
        <v>-11.4</v>
      </c>
      <c r="M475" s="171">
        <v>-5</v>
      </c>
      <c r="N475" s="1149">
        <v>-3.9</v>
      </c>
      <c r="O475" s="1149">
        <v>17.600000000000001</v>
      </c>
      <c r="P475" s="1149">
        <v>0.8</v>
      </c>
    </row>
    <row r="476" spans="3:16" hidden="1">
      <c r="C476" s="1340"/>
      <c r="D476" s="172" t="str">
        <f>IF(Indice_index!$Z$1=1,"junho","June")</f>
        <v>June</v>
      </c>
      <c r="E476" s="1149">
        <v>13.7</v>
      </c>
      <c r="F476" s="1149">
        <v>-51.6</v>
      </c>
      <c r="G476" s="1149">
        <v>2.4</v>
      </c>
      <c r="H476" s="1149">
        <v>0.3</v>
      </c>
      <c r="I476" s="1149">
        <v>-3.8</v>
      </c>
      <c r="J476" s="1149">
        <v>10.199999999999999</v>
      </c>
      <c r="K476" s="1149">
        <v>-49</v>
      </c>
      <c r="L476" s="1149">
        <v>6.5</v>
      </c>
      <c r="M476" s="171">
        <v>-0.5</v>
      </c>
      <c r="N476" s="1149">
        <v>-1.6</v>
      </c>
      <c r="O476" s="1149">
        <v>-1.1000000000000001</v>
      </c>
      <c r="P476" s="1149">
        <v>4</v>
      </c>
    </row>
    <row r="477" spans="3:16" hidden="1">
      <c r="C477" s="1340"/>
      <c r="D477" s="172" t="str">
        <f>IF(Indice_index!$Z$1=1,"julho","July")</f>
        <v>July</v>
      </c>
      <c r="E477" s="1149">
        <v>48.062654575432809</v>
      </c>
      <c r="F477" s="1149">
        <v>-46.951219512195117</v>
      </c>
      <c r="G477" s="1149">
        <v>2441.199226305609</v>
      </c>
      <c r="H477" s="1149">
        <v>693.08342133051747</v>
      </c>
      <c r="I477" s="1149">
        <v>-1.9540229885057472</v>
      </c>
      <c r="J477" s="1149">
        <v>43.702225973332972</v>
      </c>
      <c r="K477" s="1149">
        <v>-53.782405155228375</v>
      </c>
      <c r="L477" s="1149">
        <v>887.03572526265975</v>
      </c>
      <c r="M477" s="171">
        <v>153.12099766206697</v>
      </c>
      <c r="N477" s="1149">
        <v>-2.6524096708472138</v>
      </c>
      <c r="O477" s="1149">
        <v>-3.6830256641152714</v>
      </c>
      <c r="P477" s="1149">
        <v>-61.169016963008382</v>
      </c>
    </row>
    <row r="478" spans="3:16" hidden="1">
      <c r="C478" s="1340"/>
      <c r="D478" s="172" t="str">
        <f>IF(Indice_index!$Z$1=1,"agosto","August")</f>
        <v>August</v>
      </c>
      <c r="E478" s="1149">
        <v>185.1</v>
      </c>
      <c r="F478" s="1149">
        <v>124.4</v>
      </c>
      <c r="G478" s="1149">
        <v>-1</v>
      </c>
      <c r="H478" s="1149">
        <v>102.9</v>
      </c>
      <c r="I478" s="1149">
        <v>2.6</v>
      </c>
      <c r="J478" s="1149">
        <v>50.8</v>
      </c>
      <c r="K478" s="1149">
        <v>74.8</v>
      </c>
      <c r="L478" s="1149">
        <v>3</v>
      </c>
      <c r="M478" s="171">
        <v>42</v>
      </c>
      <c r="N478" s="1149">
        <v>8.3000000000000007</v>
      </c>
      <c r="O478" s="1149">
        <v>-44.8</v>
      </c>
      <c r="P478" s="1149">
        <v>4.0999999999999996</v>
      </c>
    </row>
    <row r="479" spans="3:16" hidden="1">
      <c r="C479" s="1340"/>
      <c r="D479" s="172" t="str">
        <f>IF(Indice_index!$Z$1=1,"setembro","September")</f>
        <v>September</v>
      </c>
      <c r="E479" s="1149">
        <v>169.2</v>
      </c>
      <c r="F479" s="1149">
        <v>147.69999999999999</v>
      </c>
      <c r="G479" s="1149">
        <v>-4.5999999999999996</v>
      </c>
      <c r="H479" s="1149">
        <v>104.1</v>
      </c>
      <c r="I479" s="1149">
        <v>-17.100000000000001</v>
      </c>
      <c r="J479" s="1149">
        <v>54.2</v>
      </c>
      <c r="K479" s="1149">
        <v>93.8</v>
      </c>
      <c r="L479" s="1149">
        <v>-9.4</v>
      </c>
      <c r="M479" s="171">
        <v>45.3</v>
      </c>
      <c r="N479" s="1149">
        <v>-19.399999999999999</v>
      </c>
      <c r="O479" s="1149">
        <v>-40.6</v>
      </c>
      <c r="P479" s="1149">
        <v>-5.0999999999999996</v>
      </c>
    </row>
    <row r="480" spans="3:16" hidden="1">
      <c r="C480" s="1340"/>
      <c r="D480" s="172" t="str">
        <f>IF(Indice_index!$Z$1=1,"outubro","October")</f>
        <v>October</v>
      </c>
      <c r="E480" s="1149">
        <v>56.8</v>
      </c>
      <c r="F480" s="1149">
        <v>1</v>
      </c>
      <c r="G480" s="1149">
        <v>25.4</v>
      </c>
      <c r="H480" s="1149">
        <v>41.9</v>
      </c>
      <c r="I480" s="1149">
        <v>6.9</v>
      </c>
      <c r="J480" s="1149">
        <v>13.3</v>
      </c>
      <c r="K480" s="1149">
        <v>-14.1</v>
      </c>
      <c r="L480" s="1149">
        <v>39.299999999999997</v>
      </c>
      <c r="M480" s="171">
        <v>15.5</v>
      </c>
      <c r="N480" s="1149">
        <v>5.2</v>
      </c>
      <c r="O480" s="1149">
        <v>-26.7</v>
      </c>
      <c r="P480" s="1149">
        <v>11.1</v>
      </c>
    </row>
    <row r="481" spans="3:27" hidden="1">
      <c r="C481" s="1340"/>
      <c r="D481" s="172" t="str">
        <f>IF(Indice_index!$Z$1=1,"novembro","November")</f>
        <v>November</v>
      </c>
      <c r="E481" s="1149">
        <v>-11.3</v>
      </c>
      <c r="F481" s="1149">
        <v>-60.2</v>
      </c>
      <c r="G481" s="1149">
        <v>-10</v>
      </c>
      <c r="H481" s="1149">
        <v>-16.2</v>
      </c>
      <c r="I481" s="1149">
        <v>12.8</v>
      </c>
      <c r="J481" s="1149">
        <v>-29.5</v>
      </c>
      <c r="K481" s="1149">
        <v>-69.7</v>
      </c>
      <c r="L481" s="1149">
        <v>-13.7</v>
      </c>
      <c r="M481" s="171">
        <v>-32</v>
      </c>
      <c r="N481" s="1149">
        <v>7.6</v>
      </c>
      <c r="O481" s="1149">
        <v>-19.399999999999999</v>
      </c>
      <c r="P481" s="1149">
        <v>-4.0999999999999996</v>
      </c>
    </row>
    <row r="482" spans="3:27" hidden="1">
      <c r="C482" s="1340"/>
      <c r="D482" s="172" t="str">
        <f>IF(Indice_index!$Z$1=1,"dezembro","December")</f>
        <v>December</v>
      </c>
      <c r="E482" s="1149">
        <v>-21.3</v>
      </c>
      <c r="F482" s="1149">
        <v>-12.9</v>
      </c>
      <c r="G482" s="1149">
        <v>-23.2</v>
      </c>
      <c r="H482" s="1149">
        <v>-21.5</v>
      </c>
      <c r="I482" s="1149">
        <v>2.7</v>
      </c>
      <c r="J482" s="1149">
        <v>-45.2</v>
      </c>
      <c r="K482" s="1149">
        <v>-34.1</v>
      </c>
      <c r="L482" s="1149">
        <v>-23.6</v>
      </c>
      <c r="M482" s="171">
        <v>-42.3</v>
      </c>
      <c r="N482" s="1149">
        <v>8.8000000000000007</v>
      </c>
      <c r="O482" s="1149">
        <v>-30.2</v>
      </c>
      <c r="P482" s="1149">
        <v>-0.6</v>
      </c>
    </row>
    <row r="483" spans="3:27" hidden="1">
      <c r="C483" s="1339">
        <v>2015</v>
      </c>
      <c r="D483" s="171"/>
      <c r="E483" s="1149"/>
      <c r="F483" s="1149"/>
      <c r="G483" s="1149"/>
      <c r="H483" s="1149"/>
      <c r="I483" s="1149"/>
      <c r="J483" s="1149"/>
      <c r="K483" s="1149"/>
      <c r="L483" s="1149"/>
      <c r="N483" s="1149"/>
      <c r="O483" s="1149"/>
      <c r="P483" s="1149"/>
    </row>
    <row r="484" spans="3:27" ht="10.5" hidden="1">
      <c r="C484" s="1340"/>
      <c r="D484" s="172" t="str">
        <f>IF(Indice_index!$Z$1=1,"janeiro","January")</f>
        <v>January</v>
      </c>
      <c r="E484" s="1149">
        <v>13.3</v>
      </c>
      <c r="F484" s="1149">
        <v>-54.4</v>
      </c>
      <c r="G484" s="1149">
        <v>4.5</v>
      </c>
      <c r="H484" s="1149">
        <v>3</v>
      </c>
      <c r="I484" s="1149">
        <v>3.8</v>
      </c>
      <c r="J484" s="1149">
        <v>12.3</v>
      </c>
      <c r="K484" s="1149">
        <v>-68</v>
      </c>
      <c r="L484" s="1149">
        <v>13.2</v>
      </c>
      <c r="M484" s="171">
        <v>2.4</v>
      </c>
      <c r="N484" s="1149">
        <v>4</v>
      </c>
      <c r="O484" s="1149">
        <v>-1.2</v>
      </c>
      <c r="P484" s="1149">
        <v>8.4</v>
      </c>
      <c r="X484" s="229"/>
      <c r="Y484" s="229"/>
      <c r="Z484" s="229"/>
      <c r="AA484" s="229"/>
    </row>
    <row r="485" spans="3:27" ht="10.5" hidden="1">
      <c r="C485" s="1340"/>
      <c r="D485" s="172" t="str">
        <f>IF(Indice_index!$Z$1=1,"fevereiro","February")</f>
        <v>February</v>
      </c>
      <c r="E485" s="1149">
        <v>12</v>
      </c>
      <c r="F485" s="1149">
        <v>-42</v>
      </c>
      <c r="G485" s="1149">
        <v>-29.1</v>
      </c>
      <c r="H485" s="1149">
        <v>-4.2</v>
      </c>
      <c r="I485" s="1149">
        <v>-4.4000000000000004</v>
      </c>
      <c r="J485" s="1149">
        <v>21.2</v>
      </c>
      <c r="K485" s="1149">
        <v>-55.1</v>
      </c>
      <c r="L485" s="1149">
        <v>-18.7</v>
      </c>
      <c r="M485" s="171">
        <v>7.8</v>
      </c>
      <c r="N485" s="1149">
        <v>-1.7</v>
      </c>
      <c r="O485" s="1149">
        <v>5.7</v>
      </c>
      <c r="P485" s="1149">
        <v>14.6</v>
      </c>
      <c r="X485" s="229"/>
      <c r="Y485" s="229"/>
      <c r="Z485" s="229"/>
      <c r="AA485" s="229"/>
    </row>
    <row r="486" spans="3:27" ht="10.5" hidden="1">
      <c r="C486" s="1340"/>
      <c r="D486" s="172" t="str">
        <f>IF(Indice_index!$Z$1=1,"março","March")</f>
        <v>March</v>
      </c>
      <c r="E486" s="1149">
        <v>18.7</v>
      </c>
      <c r="F486" s="1149">
        <v>53.2</v>
      </c>
      <c r="G486" s="1149">
        <v>-12.7</v>
      </c>
      <c r="H486" s="1149">
        <v>9.4</v>
      </c>
      <c r="I486" s="1149">
        <v>30.5</v>
      </c>
      <c r="J486" s="1149">
        <v>25.3</v>
      </c>
      <c r="K486" s="1149">
        <v>29.2</v>
      </c>
      <c r="L486" s="1149">
        <v>-11.1</v>
      </c>
      <c r="M486" s="171">
        <v>19.3</v>
      </c>
      <c r="N486" s="1149">
        <v>32.799999999999997</v>
      </c>
      <c r="O486" s="1149">
        <v>4.2</v>
      </c>
      <c r="P486" s="1149">
        <v>1.8</v>
      </c>
      <c r="X486" s="229"/>
      <c r="Y486" s="229"/>
      <c r="Z486" s="229"/>
      <c r="AA486" s="229"/>
    </row>
    <row r="487" spans="3:27" ht="10.5" hidden="1">
      <c r="C487" s="1340"/>
      <c r="D487" s="172" t="str">
        <f>IF(Indice_index!$Z$1=1,"abril","April")</f>
        <v>April</v>
      </c>
      <c r="E487" s="1149">
        <v>8.1</v>
      </c>
      <c r="F487" s="1149">
        <v>-36.1</v>
      </c>
      <c r="G487" s="1149">
        <v>16.399999999999999</v>
      </c>
      <c r="H487" s="1149">
        <v>4.8</v>
      </c>
      <c r="I487" s="1149">
        <v>28.5</v>
      </c>
      <c r="J487" s="1149">
        <v>7.5</v>
      </c>
      <c r="K487" s="1149">
        <v>-45.7</v>
      </c>
      <c r="L487" s="1149">
        <v>20.9</v>
      </c>
      <c r="M487" s="171">
        <v>1.7</v>
      </c>
      <c r="N487" s="1149">
        <v>22.7</v>
      </c>
      <c r="O487" s="1149">
        <v>-1.2</v>
      </c>
      <c r="P487" s="1149">
        <v>3.9</v>
      </c>
      <c r="X487" s="229"/>
      <c r="Y487" s="229"/>
      <c r="Z487" s="229"/>
      <c r="AA487" s="229"/>
    </row>
    <row r="488" spans="3:27" ht="10.5" hidden="1">
      <c r="C488" s="1340"/>
      <c r="D488" s="172" t="str">
        <f>IF(Indice_index!$Z$1=1,"maio","May")</f>
        <v>May</v>
      </c>
      <c r="E488" s="1149">
        <v>-11.5</v>
      </c>
      <c r="F488" s="1149">
        <v>7.1</v>
      </c>
      <c r="G488" s="1149">
        <v>324.3</v>
      </c>
      <c r="H488" s="1149">
        <v>82.2</v>
      </c>
      <c r="I488" s="1149">
        <v>16.399999999999999</v>
      </c>
      <c r="J488" s="1149">
        <v>-24.9</v>
      </c>
      <c r="K488" s="1149">
        <v>-10</v>
      </c>
      <c r="L488" s="1149">
        <v>105.5</v>
      </c>
      <c r="M488" s="171">
        <v>-7.2</v>
      </c>
      <c r="N488" s="1149">
        <v>12.2</v>
      </c>
      <c r="O488" s="1149">
        <v>-15.3</v>
      </c>
      <c r="P488" s="1149">
        <v>-51.6</v>
      </c>
      <c r="X488" s="229"/>
      <c r="Y488" s="229"/>
      <c r="Z488" s="229"/>
      <c r="AA488" s="229"/>
    </row>
    <row r="489" spans="3:27" ht="10.5" hidden="1">
      <c r="C489" s="1340"/>
      <c r="D489" s="172" t="str">
        <f>IF(Indice_index!$Z$1=1,"junho","June")</f>
        <v>June</v>
      </c>
      <c r="E489" s="1149">
        <v>-21.4</v>
      </c>
      <c r="F489" s="1149">
        <v>-1.6</v>
      </c>
      <c r="G489" s="1149">
        <v>-4.0999999999999996</v>
      </c>
      <c r="H489" s="1149">
        <v>-14.7</v>
      </c>
      <c r="I489" s="1149">
        <v>-6.5</v>
      </c>
      <c r="J489" s="1149">
        <v>-38.700000000000003</v>
      </c>
      <c r="K489" s="1149">
        <v>-27.8</v>
      </c>
      <c r="L489" s="1149">
        <v>-10.1</v>
      </c>
      <c r="M489" s="171">
        <v>-33.299999999999997</v>
      </c>
      <c r="N489" s="1149">
        <v>-6.8</v>
      </c>
      <c r="O489" s="1149">
        <v>-22.7</v>
      </c>
      <c r="P489" s="1149">
        <v>-6.3</v>
      </c>
      <c r="X489" s="229"/>
      <c r="Y489" s="229"/>
      <c r="Z489" s="229"/>
      <c r="AA489" s="229"/>
    </row>
    <row r="490" spans="3:27" ht="10.5" hidden="1">
      <c r="C490" s="1340"/>
      <c r="D490" s="172" t="str">
        <f>IF(Indice_index!$Z$1=1,"julho","July")</f>
        <v>July</v>
      </c>
      <c r="E490" s="1149">
        <v>-63</v>
      </c>
      <c r="F490" s="1149">
        <v>72.400000000000006</v>
      </c>
      <c r="G490" s="1149">
        <v>-93.9</v>
      </c>
      <c r="H490" s="1149">
        <v>-89.2</v>
      </c>
      <c r="I490" s="1149">
        <v>10.9</v>
      </c>
      <c r="J490" s="1149">
        <v>-58.5</v>
      </c>
      <c r="K490" s="1149">
        <v>89.4</v>
      </c>
      <c r="L490" s="1149">
        <v>-84.7</v>
      </c>
      <c r="M490" s="171">
        <v>-70.2</v>
      </c>
      <c r="N490" s="1149">
        <v>11.9</v>
      </c>
      <c r="O490" s="1149">
        <v>10.6</v>
      </c>
      <c r="P490" s="1149">
        <v>150.1</v>
      </c>
      <c r="X490" s="229"/>
      <c r="Y490" s="229"/>
      <c r="Z490" s="229"/>
      <c r="AA490" s="229"/>
    </row>
    <row r="491" spans="3:27" ht="10.5" hidden="1">
      <c r="C491" s="1340"/>
      <c r="D491" s="172" t="str">
        <f>IF(Indice_index!$Z$1=1,"agosto","August")</f>
        <v>August</v>
      </c>
      <c r="E491" s="1149">
        <v>-54.8</v>
      </c>
      <c r="F491" s="1149">
        <v>-36.799999999999997</v>
      </c>
      <c r="G491" s="1149">
        <v>-4.0999999999999996</v>
      </c>
      <c r="H491" s="1149">
        <v>-43.1</v>
      </c>
      <c r="I491" s="1149">
        <v>7.9</v>
      </c>
      <c r="J491" s="1149">
        <v>-59.1</v>
      </c>
      <c r="K491" s="1149">
        <v>-18.7</v>
      </c>
      <c r="L491" s="1149">
        <v>-11.1</v>
      </c>
      <c r="M491" s="171">
        <v>-46.5</v>
      </c>
      <c r="N491" s="1149">
        <v>2.2000000000000002</v>
      </c>
      <c r="O491" s="1149">
        <v>-1.2</v>
      </c>
      <c r="P491" s="1149">
        <v>-7.3</v>
      </c>
      <c r="X491" s="229"/>
      <c r="Y491" s="229"/>
      <c r="Z491" s="229"/>
      <c r="AA491" s="229"/>
    </row>
    <row r="492" spans="3:27" ht="10.5" hidden="1">
      <c r="C492" s="1340"/>
      <c r="D492" s="172" t="str">
        <f>IF(Indice_index!$Z$1=1,"setembro","September")</f>
        <v>September</v>
      </c>
      <c r="E492" s="1149">
        <v>-60.8</v>
      </c>
      <c r="F492" s="1149">
        <v>-31.9</v>
      </c>
      <c r="G492" s="1149">
        <v>32.200000000000003</v>
      </c>
      <c r="H492" s="1149">
        <v>-42.5</v>
      </c>
      <c r="I492" s="1149">
        <v>7.4</v>
      </c>
      <c r="J492" s="1149">
        <v>-40.200000000000003</v>
      </c>
      <c r="K492" s="1149">
        <v>-32.4</v>
      </c>
      <c r="L492" s="1149">
        <v>42.6</v>
      </c>
      <c r="M492" s="171">
        <v>-29.2</v>
      </c>
      <c r="N492" s="1149">
        <v>14.2</v>
      </c>
      <c r="O492" s="1149">
        <v>44.9</v>
      </c>
      <c r="P492" s="1149">
        <v>7.9</v>
      </c>
      <c r="X492" s="229"/>
      <c r="Y492" s="229"/>
      <c r="Z492" s="229"/>
      <c r="AA492" s="229"/>
    </row>
    <row r="493" spans="3:27" ht="10.5" hidden="1">
      <c r="C493" s="1340"/>
      <c r="D493" s="172" t="str">
        <f>IF(Indice_index!$Z$1=1,"outubro","October")</f>
        <v>October</v>
      </c>
      <c r="E493" s="1149">
        <v>-51.1</v>
      </c>
      <c r="F493" s="1149">
        <v>58</v>
      </c>
      <c r="G493" s="1149">
        <v>-35.6</v>
      </c>
      <c r="H493" s="1149">
        <v>-41.7</v>
      </c>
      <c r="I493" s="1149">
        <v>1.1000000000000001</v>
      </c>
      <c r="J493" s="1149">
        <v>-60</v>
      </c>
      <c r="K493" s="1149">
        <v>81.400000000000006</v>
      </c>
      <c r="L493" s="1149">
        <v>-33.799999999999997</v>
      </c>
      <c r="M493" s="171">
        <v>-48.8</v>
      </c>
      <c r="N493" s="1149">
        <v>-2.4</v>
      </c>
      <c r="O493" s="1149">
        <v>-13.1</v>
      </c>
      <c r="P493" s="1149">
        <v>2.8</v>
      </c>
      <c r="X493" s="229"/>
      <c r="Y493" s="229"/>
      <c r="Z493" s="229"/>
      <c r="AA493" s="229"/>
    </row>
    <row r="494" spans="3:27" ht="10.5" hidden="1">
      <c r="C494" s="1340"/>
      <c r="D494" s="172" t="str">
        <f>IF(Indice_index!$Z$1=1,"novembro","November")</f>
        <v>November</v>
      </c>
      <c r="E494" s="1149">
        <v>-64</v>
      </c>
      <c r="F494" s="1149">
        <v>-42.3</v>
      </c>
      <c r="G494" s="1149">
        <v>-8</v>
      </c>
      <c r="H494" s="1149">
        <v>-46.1</v>
      </c>
      <c r="I494" s="1149">
        <v>-3.9</v>
      </c>
      <c r="J494" s="1149">
        <v>-70.3</v>
      </c>
      <c r="K494" s="1149">
        <v>-42.6</v>
      </c>
      <c r="L494" s="1149">
        <v>-0.4</v>
      </c>
      <c r="M494" s="171">
        <v>-58.8</v>
      </c>
      <c r="N494" s="1149">
        <v>-3</v>
      </c>
      <c r="O494" s="1149">
        <v>-16.7</v>
      </c>
      <c r="P494" s="1149">
        <v>8.3000000000000007</v>
      </c>
      <c r="X494" s="229"/>
      <c r="Y494" s="229"/>
      <c r="Z494" s="229"/>
      <c r="AA494" s="229"/>
    </row>
    <row r="495" spans="3:27" ht="10.5" hidden="1">
      <c r="C495" s="1340"/>
      <c r="D495" s="172" t="str">
        <f>IF(Indice_index!$Z$1=1,"dezembro","December")</f>
        <v>December</v>
      </c>
      <c r="E495" s="1149">
        <v>-57.5</v>
      </c>
      <c r="F495" s="1149">
        <v>60.9</v>
      </c>
      <c r="G495" s="1149">
        <v>6.2</v>
      </c>
      <c r="H495" s="1149">
        <v>-33</v>
      </c>
      <c r="I495" s="1149">
        <v>-0.1</v>
      </c>
      <c r="J495" s="1149">
        <v>-64.900000000000006</v>
      </c>
      <c r="K495" s="1149">
        <v>118.7</v>
      </c>
      <c r="L495" s="1149">
        <v>1.7</v>
      </c>
      <c r="M495" s="171">
        <v>-47</v>
      </c>
      <c r="N495" s="1149">
        <v>-1.7</v>
      </c>
      <c r="O495" s="1149">
        <v>-12.2</v>
      </c>
      <c r="P495" s="1149">
        <v>-4.2</v>
      </c>
      <c r="X495" s="229"/>
      <c r="Y495" s="229"/>
      <c r="Z495" s="229"/>
      <c r="AA495" s="229"/>
    </row>
    <row r="496" spans="3:27" hidden="1">
      <c r="C496" s="1246">
        <v>2016</v>
      </c>
      <c r="D496" s="171"/>
      <c r="E496" s="1149"/>
      <c r="F496" s="1149"/>
      <c r="G496" s="1149"/>
      <c r="H496" s="1149"/>
      <c r="I496" s="1149"/>
      <c r="J496" s="1149"/>
      <c r="K496" s="1149"/>
      <c r="L496" s="1149"/>
      <c r="N496" s="1149"/>
      <c r="O496" s="1149"/>
      <c r="P496" s="1149"/>
    </row>
    <row r="497" spans="3:29" hidden="1">
      <c r="C497" s="1340"/>
      <c r="D497" s="172" t="str">
        <f>IF(Indice_index!$Z$1=1,"janeiro","January")</f>
        <v>January</v>
      </c>
      <c r="E497" s="1149">
        <v>-67.2</v>
      </c>
      <c r="F497" s="1149">
        <v>-16.2</v>
      </c>
      <c r="G497" s="1149">
        <v>-9.1</v>
      </c>
      <c r="H497" s="1149">
        <v>-50.4</v>
      </c>
      <c r="I497" s="1149">
        <v>-2.5</v>
      </c>
      <c r="J497" s="1149">
        <v>-76.900000000000006</v>
      </c>
      <c r="K497" s="1149">
        <v>10.4</v>
      </c>
      <c r="L497" s="1149">
        <v>-4.4000000000000004</v>
      </c>
      <c r="M497" s="171">
        <v>-65.8</v>
      </c>
      <c r="N497" s="1149">
        <v>-1.1000000000000001</v>
      </c>
      <c r="O497" s="1149">
        <v>-26.2</v>
      </c>
      <c r="P497" s="1149">
        <v>5.0999999999999996</v>
      </c>
    </row>
    <row r="498" spans="3:29" hidden="1">
      <c r="C498" s="1340"/>
      <c r="D498" s="172" t="str">
        <f>IF(Indice_index!$Z$1=1,"fevereiro","February")</f>
        <v>February</v>
      </c>
      <c r="E498" s="1149">
        <v>-64.5</v>
      </c>
      <c r="F498" s="1149">
        <v>-13.8</v>
      </c>
      <c r="G498" s="1149">
        <v>14.3</v>
      </c>
      <c r="H498" s="1149">
        <v>-44.5</v>
      </c>
      <c r="I498" s="1149">
        <v>-8.9</v>
      </c>
      <c r="J498" s="1149">
        <v>-72.900000000000006</v>
      </c>
      <c r="K498" s="1149">
        <v>-2.9</v>
      </c>
      <c r="L498" s="1149">
        <v>-2.7</v>
      </c>
      <c r="M498" s="171">
        <v>-61.7</v>
      </c>
      <c r="N498" s="1149">
        <v>-8.4</v>
      </c>
      <c r="O498" s="1149">
        <v>-21.1</v>
      </c>
      <c r="P498" s="1149">
        <v>-14.9</v>
      </c>
    </row>
    <row r="499" spans="3:29" hidden="1">
      <c r="C499" s="1340"/>
      <c r="D499" s="172" t="str">
        <f>IF(Indice_index!$Z$1=1,"março","March")</f>
        <v>March</v>
      </c>
      <c r="E499" s="1149">
        <v>-60.1</v>
      </c>
      <c r="F499" s="1149">
        <v>20.3</v>
      </c>
      <c r="G499" s="1149">
        <v>-6.6</v>
      </c>
      <c r="H499" s="1149">
        <v>-42.5</v>
      </c>
      <c r="I499" s="1149">
        <v>-18.5</v>
      </c>
      <c r="J499" s="1149">
        <v>-69.599999999999994</v>
      </c>
      <c r="K499" s="1149">
        <v>32.799999999999997</v>
      </c>
      <c r="L499" s="1149">
        <v>-7.7</v>
      </c>
      <c r="M499" s="171">
        <v>-57.6</v>
      </c>
      <c r="N499" s="1149">
        <v>-18.3</v>
      </c>
      <c r="O499" s="1149">
        <v>-21.1</v>
      </c>
      <c r="P499" s="1149">
        <v>-1.2</v>
      </c>
    </row>
    <row r="500" spans="3:29" hidden="1">
      <c r="C500" s="1340"/>
      <c r="D500" s="172" t="str">
        <f>IF(Indice_index!$Z$1=1,"abril","April")</f>
        <v>April</v>
      </c>
      <c r="E500" s="1149">
        <v>-44.8</v>
      </c>
      <c r="F500" s="1149">
        <v>-33.5</v>
      </c>
      <c r="G500" s="1149">
        <v>-14.9</v>
      </c>
      <c r="H500" s="1149">
        <v>-33</v>
      </c>
      <c r="I500" s="1149">
        <v>-12.2</v>
      </c>
      <c r="J500" s="1149">
        <v>-62</v>
      </c>
      <c r="K500" s="1149">
        <v>-30.1</v>
      </c>
      <c r="L500" s="1149">
        <v>-14.2</v>
      </c>
      <c r="M500" s="171">
        <v>-50.3</v>
      </c>
      <c r="N500" s="1149">
        <v>-3.7</v>
      </c>
      <c r="O500" s="1149">
        <v>-27.4</v>
      </c>
      <c r="P500" s="1149">
        <v>0.9</v>
      </c>
    </row>
    <row r="501" spans="3:29" hidden="1">
      <c r="C501" s="1340"/>
      <c r="D501" s="172" t="str">
        <f>IF(Indice_index!$Z$1=1,"maio","May")</f>
        <v>May</v>
      </c>
      <c r="E501" s="1149">
        <v>-61.1</v>
      </c>
      <c r="F501" s="1149">
        <v>-5.9</v>
      </c>
      <c r="G501" s="1149">
        <v>-74.2</v>
      </c>
      <c r="H501" s="1149">
        <v>-67.8</v>
      </c>
      <c r="I501" s="1149">
        <v>6.6</v>
      </c>
      <c r="J501" s="1149">
        <v>-70</v>
      </c>
      <c r="K501" s="1149">
        <v>1.9</v>
      </c>
      <c r="L501" s="1149">
        <v>-46.2</v>
      </c>
      <c r="M501" s="171">
        <v>-59.1</v>
      </c>
      <c r="N501" s="1149">
        <v>10.199999999999999</v>
      </c>
      <c r="O501" s="1149">
        <v>-18.399999999999999</v>
      </c>
      <c r="P501" s="1149">
        <v>108.4</v>
      </c>
    </row>
    <row r="502" spans="3:29" hidden="1">
      <c r="C502" s="1340"/>
      <c r="D502" s="172" t="str">
        <f>IF(Indice_index!$Z$1=1,"junho","June")</f>
        <v>June</v>
      </c>
      <c r="E502" s="1149">
        <v>-50.7</v>
      </c>
      <c r="F502" s="1149">
        <v>-17.5</v>
      </c>
      <c r="G502" s="1149">
        <v>24.5</v>
      </c>
      <c r="H502" s="1149">
        <v>-22.1</v>
      </c>
      <c r="I502" s="1149">
        <v>14.6</v>
      </c>
      <c r="J502" s="1149">
        <v>-58.7</v>
      </c>
      <c r="K502" s="1149">
        <v>-11.1</v>
      </c>
      <c r="L502" s="1149">
        <v>34.6</v>
      </c>
      <c r="M502" s="1149">
        <v>-34.5</v>
      </c>
      <c r="N502" s="1149">
        <v>14.9</v>
      </c>
      <c r="O502" s="1149">
        <v>-12.3</v>
      </c>
      <c r="P502" s="1149">
        <v>8.1999999999999993</v>
      </c>
    </row>
    <row r="503" spans="3:29" hidden="1">
      <c r="C503" s="1340"/>
      <c r="D503" s="172" t="str">
        <f>IF(Indice_index!$Z$1=1,"julho","July")</f>
        <v>July</v>
      </c>
      <c r="E503" s="1149">
        <v>-26.5</v>
      </c>
      <c r="F503" s="1149">
        <v>14.7</v>
      </c>
      <c r="G503" s="1149">
        <v>-21.1</v>
      </c>
      <c r="H503" s="1149">
        <v>-20</v>
      </c>
      <c r="I503" s="1149">
        <v>1.2</v>
      </c>
      <c r="J503" s="1149">
        <v>-47.9</v>
      </c>
      <c r="K503" s="1149">
        <v>-2.4</v>
      </c>
      <c r="L503" s="1149">
        <v>-16.899999999999999</v>
      </c>
      <c r="M503" s="1149">
        <v>-33.6</v>
      </c>
      <c r="N503" s="1149">
        <v>3.8</v>
      </c>
      <c r="O503" s="1149">
        <v>-26.2</v>
      </c>
      <c r="P503" s="1149">
        <v>5.3</v>
      </c>
    </row>
    <row r="504" spans="3:29" hidden="1">
      <c r="C504" s="1340"/>
      <c r="D504" s="172" t="str">
        <f>IF(Indice_index!$Z$1=1,"agosto","August")</f>
        <v>August</v>
      </c>
      <c r="E504" s="1149">
        <v>-60.3</v>
      </c>
      <c r="F504" s="1149">
        <v>-7.2</v>
      </c>
      <c r="G504" s="1149">
        <v>-26.7</v>
      </c>
      <c r="H504" s="1149">
        <v>-44.4</v>
      </c>
      <c r="I504" s="1149">
        <v>-7.3</v>
      </c>
      <c r="J504" s="1149">
        <v>-39.4</v>
      </c>
      <c r="K504" s="1149">
        <v>-25.8</v>
      </c>
      <c r="L504" s="1149">
        <v>-26.8</v>
      </c>
      <c r="M504" s="1149">
        <v>-33.6</v>
      </c>
      <c r="N504" s="1149">
        <v>-0.3</v>
      </c>
      <c r="O504" s="1149">
        <v>37.9</v>
      </c>
      <c r="P504" s="1149">
        <v>0</v>
      </c>
    </row>
    <row r="505" spans="3:29" hidden="1">
      <c r="C505" s="1340"/>
      <c r="D505" s="172" t="str">
        <f>IF(Indice_index!$Z$1=1,"setembro","September")</f>
        <v>September</v>
      </c>
      <c r="E505" s="1149">
        <v>-42</v>
      </c>
      <c r="F505" s="1149">
        <v>7.1</v>
      </c>
      <c r="G505" s="1149">
        <v>-13.5</v>
      </c>
      <c r="H505" s="1149">
        <v>-26</v>
      </c>
      <c r="I505" s="1149">
        <v>1.4</v>
      </c>
      <c r="J505" s="1149">
        <v>-43.6</v>
      </c>
      <c r="K505" s="1149">
        <v>2.7</v>
      </c>
      <c r="L505" s="1149">
        <v>-14.1</v>
      </c>
      <c r="M505" s="1149">
        <v>-31.2</v>
      </c>
      <c r="N505" s="1149">
        <v>-1.1000000000000001</v>
      </c>
      <c r="O505" s="1149">
        <v>-4</v>
      </c>
      <c r="P505" s="1149">
        <v>-0.7</v>
      </c>
    </row>
    <row r="506" spans="3:29" hidden="1">
      <c r="C506" s="1340"/>
      <c r="D506" s="172" t="str">
        <f>IF(Indice_index!$Z$1=1,"outubro","October")</f>
        <v>October</v>
      </c>
      <c r="E506" s="1149">
        <v>-33.6</v>
      </c>
      <c r="F506" s="1149">
        <v>-7.6</v>
      </c>
      <c r="G506" s="1149">
        <v>-10.199999999999999</v>
      </c>
      <c r="H506" s="1149">
        <v>-22.3</v>
      </c>
      <c r="I506" s="1149">
        <v>10.5</v>
      </c>
      <c r="J506" s="1149">
        <v>-33</v>
      </c>
      <c r="K506" s="1149">
        <v>-28.7</v>
      </c>
      <c r="L506" s="1149">
        <v>-10.6</v>
      </c>
      <c r="M506" s="1149">
        <v>-27.1</v>
      </c>
      <c r="N506" s="1149">
        <v>14.1</v>
      </c>
      <c r="O506" s="1149">
        <v>-3.9</v>
      </c>
      <c r="P506" s="1149">
        <v>-0.4</v>
      </c>
    </row>
    <row r="507" spans="3:29" s="171" customFormat="1" hidden="1">
      <c r="C507" s="1340"/>
      <c r="D507" s="172" t="str">
        <f>IF(Indice_index!$Z$1=1,"novembro","November")</f>
        <v>November</v>
      </c>
      <c r="E507" s="1149">
        <v>-30.3</v>
      </c>
      <c r="F507" s="1149">
        <v>-2.4</v>
      </c>
      <c r="G507" s="1149">
        <v>0.9</v>
      </c>
      <c r="H507" s="1149">
        <v>-12.8</v>
      </c>
      <c r="I507" s="1149">
        <v>-2.9</v>
      </c>
      <c r="J507" s="1149">
        <v>-39.700000000000003</v>
      </c>
      <c r="K507" s="1149">
        <v>-7.3</v>
      </c>
      <c r="L507" s="1149">
        <v>-4.3</v>
      </c>
      <c r="M507" s="1149">
        <v>-25.1</v>
      </c>
      <c r="N507" s="1149">
        <v>-3.8</v>
      </c>
      <c r="O507" s="1149">
        <v>-12.6</v>
      </c>
      <c r="P507" s="1149">
        <v>-5.2</v>
      </c>
      <c r="X507" s="1357"/>
      <c r="Y507" s="1357"/>
      <c r="Z507" s="1357"/>
      <c r="AA507" s="172"/>
    </row>
    <row r="508" spans="3:29" s="171" customFormat="1" hidden="1">
      <c r="C508" s="1340"/>
      <c r="D508" s="172" t="str">
        <f>IF(Indice_index!$Z$1=1,"dezembro","December")</f>
        <v>December</v>
      </c>
      <c r="E508" s="1149">
        <v>-2</v>
      </c>
      <c r="F508" s="1149">
        <v>-5.4</v>
      </c>
      <c r="G508" s="1149">
        <v>-9.6</v>
      </c>
      <c r="H508" s="1149">
        <v>-5.9</v>
      </c>
      <c r="I508" s="1149">
        <v>8.3000000000000007</v>
      </c>
      <c r="J508" s="1149">
        <v>-1.3</v>
      </c>
      <c r="K508" s="1149">
        <v>-28.8</v>
      </c>
      <c r="L508" s="1149">
        <v>-5.6</v>
      </c>
      <c r="M508" s="1149">
        <v>-7.5</v>
      </c>
      <c r="N508" s="1149">
        <v>10.5</v>
      </c>
      <c r="O508" s="1149">
        <v>-5.7</v>
      </c>
      <c r="P508" s="1149">
        <v>4.5</v>
      </c>
      <c r="X508" s="1357"/>
      <c r="Y508" s="1357"/>
      <c r="Z508" s="1357"/>
      <c r="AA508" s="172"/>
    </row>
    <row r="509" spans="3:29" hidden="1">
      <c r="C509" s="1246">
        <v>2017</v>
      </c>
      <c r="D509" s="171"/>
      <c r="E509" s="1149"/>
      <c r="F509" s="1149"/>
      <c r="G509" s="1149"/>
      <c r="H509" s="1149"/>
      <c r="I509" s="1149"/>
      <c r="J509" s="1149"/>
      <c r="K509" s="1149"/>
      <c r="L509" s="1149"/>
      <c r="N509" s="1149"/>
      <c r="O509" s="1149"/>
      <c r="P509" s="1149"/>
    </row>
    <row r="510" spans="3:29" s="171" customFormat="1" ht="10.5" hidden="1">
      <c r="C510" s="1340"/>
      <c r="D510" s="172" t="str">
        <f>IF(Indice_index!$Z$1=1,"janeiro","January")</f>
        <v>January</v>
      </c>
      <c r="E510" s="1149">
        <v>35.299999999999997</v>
      </c>
      <c r="F510" s="1149">
        <v>22.8</v>
      </c>
      <c r="G510" s="1149">
        <v>7.6</v>
      </c>
      <c r="H510" s="1149">
        <v>21.9</v>
      </c>
      <c r="I510" s="1149">
        <v>8.8000000000000007</v>
      </c>
      <c r="J510" s="1149">
        <v>4</v>
      </c>
      <c r="K510" s="1149">
        <v>14.1</v>
      </c>
      <c r="L510" s="1149">
        <v>3.5</v>
      </c>
      <c r="M510" s="1149">
        <v>5.0999999999999996</v>
      </c>
      <c r="N510" s="1149">
        <v>4.8</v>
      </c>
      <c r="O510" s="1149">
        <v>-20.6</v>
      </c>
      <c r="P510" s="1149">
        <v>-3.9</v>
      </c>
      <c r="R510" s="229"/>
      <c r="S510" s="229"/>
      <c r="T510" s="229"/>
      <c r="U510" s="229"/>
      <c r="V510" s="229"/>
      <c r="W510" s="229"/>
      <c r="X510" s="229"/>
      <c r="Y510" s="229"/>
      <c r="Z510" s="229"/>
      <c r="AA510" s="229"/>
      <c r="AB510" s="229"/>
      <c r="AC510" s="229"/>
    </row>
    <row r="511" spans="3:29" s="171" customFormat="1" ht="10.5" hidden="1">
      <c r="C511" s="1340"/>
      <c r="D511" s="172" t="str">
        <f>IF(Indice_index!$Z$1=1,"fevereiro","February")</f>
        <v>February</v>
      </c>
      <c r="E511" s="1149">
        <v>-5.8</v>
      </c>
      <c r="F511" s="1149">
        <v>56.8</v>
      </c>
      <c r="G511" s="1149">
        <v>24.3</v>
      </c>
      <c r="H511" s="1149">
        <v>12.3</v>
      </c>
      <c r="I511" s="1149">
        <v>36.1</v>
      </c>
      <c r="J511" s="1149">
        <v>0.9</v>
      </c>
      <c r="K511" s="1149">
        <v>37.299999999999997</v>
      </c>
      <c r="L511" s="1149">
        <v>32.200000000000003</v>
      </c>
      <c r="M511" s="1149">
        <v>14.1</v>
      </c>
      <c r="N511" s="1149">
        <v>38</v>
      </c>
      <c r="O511" s="1149">
        <v>4.4000000000000004</v>
      </c>
      <c r="P511" s="1149">
        <v>6.3</v>
      </c>
      <c r="R511" s="229"/>
      <c r="S511" s="229"/>
      <c r="T511" s="229"/>
      <c r="U511" s="229"/>
      <c r="V511" s="229"/>
      <c r="W511" s="229"/>
      <c r="X511" s="229"/>
      <c r="Y511" s="229"/>
      <c r="Z511" s="229"/>
      <c r="AA511" s="229"/>
      <c r="AB511" s="229"/>
      <c r="AC511" s="229"/>
    </row>
    <row r="512" spans="3:29" s="171" customFormat="1" ht="10.5" hidden="1">
      <c r="C512" s="1340"/>
      <c r="D512" s="172" t="str">
        <f>IF(Indice_index!$Z$1=1,"março","March")</f>
        <v>March</v>
      </c>
      <c r="E512" s="1149">
        <v>-49.7</v>
      </c>
      <c r="F512" s="1149">
        <v>4.2</v>
      </c>
      <c r="G512" s="1149">
        <v>35.6</v>
      </c>
      <c r="H512" s="1149">
        <v>-8.1999999999999993</v>
      </c>
      <c r="I512" s="1149">
        <v>17.5</v>
      </c>
      <c r="J512" s="1149">
        <v>-48</v>
      </c>
      <c r="K512" s="1149">
        <v>-2</v>
      </c>
      <c r="L512" s="1149">
        <v>32.299999999999997</v>
      </c>
      <c r="M512" s="1149">
        <v>-20</v>
      </c>
      <c r="N512" s="1149">
        <v>16.3</v>
      </c>
      <c r="O512" s="1149">
        <v>2.1</v>
      </c>
      <c r="P512" s="1149">
        <v>-2.4</v>
      </c>
      <c r="R512" s="229"/>
      <c r="S512" s="229"/>
      <c r="T512" s="229"/>
      <c r="U512" s="229"/>
      <c r="V512" s="229"/>
      <c r="W512" s="229"/>
      <c r="X512" s="229"/>
      <c r="Y512" s="229"/>
      <c r="Z512" s="229"/>
      <c r="AA512" s="229"/>
      <c r="AB512" s="229"/>
      <c r="AC512" s="229"/>
    </row>
    <row r="513" spans="3:29" ht="10.5" hidden="1">
      <c r="C513" s="1340"/>
      <c r="D513" s="172" t="str">
        <f>IF(Indice_index!$Z$1=1,"abril","April")</f>
        <v>April</v>
      </c>
      <c r="E513" s="1149">
        <v>-32</v>
      </c>
      <c r="F513" s="1149">
        <v>8.3000000000000007</v>
      </c>
      <c r="G513" s="1149">
        <v>1.2</v>
      </c>
      <c r="H513" s="1149">
        <v>-13.3</v>
      </c>
      <c r="I513" s="1149">
        <v>5.5</v>
      </c>
      <c r="J513" s="1149">
        <v>-8.5</v>
      </c>
      <c r="K513" s="1149">
        <v>-1.7</v>
      </c>
      <c r="L513" s="1149">
        <v>3</v>
      </c>
      <c r="M513" s="1149">
        <v>-3.9</v>
      </c>
      <c r="N513" s="1149">
        <v>2.1</v>
      </c>
      <c r="O513" s="1149">
        <v>24.9</v>
      </c>
      <c r="P513" s="1149">
        <v>1.7</v>
      </c>
      <c r="X513" s="229"/>
      <c r="Y513" s="229"/>
      <c r="Z513" s="229"/>
      <c r="AA513" s="229"/>
    </row>
    <row r="514" spans="3:29" ht="10.5" hidden="1">
      <c r="C514" s="1340"/>
      <c r="D514" s="172" t="str">
        <f>IF(Indice_index!$Z$1=1,"maio","May")</f>
        <v>May</v>
      </c>
      <c r="E514" s="1149">
        <v>45.7</v>
      </c>
      <c r="F514" s="1149">
        <v>7.9</v>
      </c>
      <c r="G514" s="1149">
        <v>-5.7</v>
      </c>
      <c r="H514" s="1149">
        <v>15.8</v>
      </c>
      <c r="I514" s="1149">
        <v>-15.6</v>
      </c>
      <c r="J514" s="1149">
        <v>151.80000000000001</v>
      </c>
      <c r="K514" s="1149">
        <v>8.6</v>
      </c>
      <c r="L514" s="1149">
        <v>-1</v>
      </c>
      <c r="M514" s="1149">
        <v>74.2</v>
      </c>
      <c r="N514" s="1149">
        <v>-17.3</v>
      </c>
      <c r="O514" s="1149">
        <v>58.4</v>
      </c>
      <c r="P514" s="1149">
        <v>4.9000000000000004</v>
      </c>
      <c r="X514" s="229"/>
      <c r="Y514" s="229"/>
      <c r="Z514" s="229"/>
      <c r="AA514" s="229"/>
    </row>
    <row r="515" spans="3:29" ht="10.5" hidden="1">
      <c r="C515" s="1340"/>
      <c r="D515" s="172" t="str">
        <f>IF(Indice_index!$Z$1=1,"junho","June")</f>
        <v>June</v>
      </c>
      <c r="E515" s="1149">
        <v>73.900000000000006</v>
      </c>
      <c r="F515" s="1149">
        <v>-6</v>
      </c>
      <c r="G515" s="1149">
        <v>-8.6</v>
      </c>
      <c r="H515" s="1149">
        <v>21.6</v>
      </c>
      <c r="I515" s="1149">
        <v>-3.2</v>
      </c>
      <c r="J515" s="1149">
        <v>153.9</v>
      </c>
      <c r="K515" s="1149">
        <v>19</v>
      </c>
      <c r="L515" s="1149">
        <v>-6.8</v>
      </c>
      <c r="M515" s="1149">
        <v>66.900000000000006</v>
      </c>
      <c r="N515" s="1149">
        <v>-0.3</v>
      </c>
      <c r="O515" s="1149">
        <v>41.3</v>
      </c>
      <c r="P515" s="1149">
        <v>2</v>
      </c>
      <c r="X515" s="229"/>
      <c r="Y515" s="229"/>
      <c r="Z515" s="229"/>
      <c r="AA515" s="229"/>
    </row>
    <row r="516" spans="3:29" ht="10.5" hidden="1">
      <c r="C516" s="1340"/>
      <c r="D516" s="172" t="str">
        <f>IF(Indice_index!$Z$1=1,"julho","July")</f>
        <v>July</v>
      </c>
      <c r="E516" s="1149">
        <v>183.6</v>
      </c>
      <c r="F516" s="1149">
        <v>-3.5</v>
      </c>
      <c r="G516" s="1149">
        <v>-12</v>
      </c>
      <c r="H516" s="1149">
        <v>63.1</v>
      </c>
      <c r="I516" s="1149">
        <v>3.2</v>
      </c>
      <c r="J516" s="1149">
        <v>275.2</v>
      </c>
      <c r="K516" s="1149">
        <v>-0.9</v>
      </c>
      <c r="L516" s="1149">
        <v>-4.5</v>
      </c>
      <c r="M516" s="1149">
        <v>126.4</v>
      </c>
      <c r="N516" s="1149">
        <v>0.3</v>
      </c>
      <c r="O516" s="1149">
        <v>27</v>
      </c>
      <c r="P516" s="1149">
        <v>8.5</v>
      </c>
      <c r="X516" s="229"/>
      <c r="Y516" s="229"/>
      <c r="Z516" s="229"/>
      <c r="AA516" s="229"/>
    </row>
    <row r="517" spans="3:29" ht="10.5" hidden="1">
      <c r="C517" s="1340"/>
      <c r="D517" s="172" t="str">
        <f>IF(Indice_index!$Z$1=1,"agosto","August")</f>
        <v>August</v>
      </c>
      <c r="E517" s="1149">
        <v>153.9</v>
      </c>
      <c r="F517" s="1149">
        <v>-32.299999999999997</v>
      </c>
      <c r="G517" s="1149">
        <v>1.4</v>
      </c>
      <c r="H517" s="1149">
        <v>59.2</v>
      </c>
      <c r="I517" s="1149">
        <v>9.1999999999999993</v>
      </c>
      <c r="J517" s="1149">
        <v>201.8</v>
      </c>
      <c r="K517" s="1149">
        <v>-24.7</v>
      </c>
      <c r="L517" s="1149">
        <v>9.9</v>
      </c>
      <c r="M517" s="1149">
        <v>99.5</v>
      </c>
      <c r="N517" s="1149">
        <v>-7.5</v>
      </c>
      <c r="O517" s="1149">
        <v>15.3</v>
      </c>
      <c r="P517" s="1149">
        <v>8.3000000000000007</v>
      </c>
      <c r="X517" s="229"/>
      <c r="Y517" s="229"/>
      <c r="Z517" s="229"/>
      <c r="AA517" s="229"/>
    </row>
    <row r="518" spans="3:29" s="171" customFormat="1" ht="10.5" hidden="1">
      <c r="C518" s="1340"/>
      <c r="D518" s="172" t="str">
        <f>IF(Indice_index!$Z$1=1,"setembro","September")</f>
        <v>September</v>
      </c>
      <c r="E518" s="1149">
        <v>66.7</v>
      </c>
      <c r="F518" s="1149">
        <v>-8.6</v>
      </c>
      <c r="G518" s="1149">
        <v>0.2</v>
      </c>
      <c r="H518" s="1149">
        <v>25.5</v>
      </c>
      <c r="I518" s="1149">
        <v>-4.2</v>
      </c>
      <c r="J518" s="1149">
        <v>136.30000000000001</v>
      </c>
      <c r="K518" s="1149">
        <v>-0.9</v>
      </c>
      <c r="L518" s="1149">
        <v>-4.7</v>
      </c>
      <c r="M518" s="1149">
        <v>70.3</v>
      </c>
      <c r="N518" s="1149">
        <v>-2.6</v>
      </c>
      <c r="O518" s="1149">
        <v>38.200000000000003</v>
      </c>
      <c r="P518" s="1149">
        <v>-4.8</v>
      </c>
      <c r="R518" s="229"/>
      <c r="S518" s="229"/>
      <c r="T518" s="229"/>
      <c r="U518" s="229"/>
      <c r="V518" s="229"/>
      <c r="W518" s="229"/>
      <c r="X518" s="229"/>
      <c r="Y518" s="229"/>
      <c r="Z518" s="229"/>
      <c r="AA518" s="229"/>
      <c r="AB518" s="229"/>
      <c r="AC518" s="229"/>
    </row>
    <row r="519" spans="3:29" s="171" customFormat="1" ht="10.5" hidden="1">
      <c r="C519" s="1340"/>
      <c r="D519" s="172" t="str">
        <f>IF(Indice_index!$Z$1=1,"outubro","October")</f>
        <v>October</v>
      </c>
      <c r="E519" s="1149">
        <v>93.3</v>
      </c>
      <c r="F519" s="1149">
        <v>-54.1</v>
      </c>
      <c r="G519" s="1149">
        <v>718.7</v>
      </c>
      <c r="H519" s="1149">
        <v>339.5</v>
      </c>
      <c r="I519" s="1149">
        <v>-6.3</v>
      </c>
      <c r="J519" s="1149">
        <v>164.7</v>
      </c>
      <c r="K519" s="1149">
        <v>-41.9</v>
      </c>
      <c r="L519" s="1149">
        <v>260.2</v>
      </c>
      <c r="M519" s="1149">
        <v>158.6</v>
      </c>
      <c r="N519" s="1149">
        <v>-3.3</v>
      </c>
      <c r="O519" s="1149">
        <v>35.5</v>
      </c>
      <c r="P519" s="1149">
        <v>-56</v>
      </c>
      <c r="R519" s="229"/>
      <c r="S519" s="229"/>
      <c r="T519" s="229"/>
      <c r="U519" s="229"/>
      <c r="V519" s="229"/>
      <c r="W519" s="229"/>
      <c r="X519" s="229"/>
      <c r="Y519" s="229"/>
      <c r="Z519" s="229"/>
      <c r="AA519" s="229"/>
      <c r="AB519" s="229"/>
      <c r="AC519" s="229"/>
    </row>
    <row r="520" spans="3:29" s="171" customFormat="1" ht="10.5" hidden="1">
      <c r="C520" s="1340"/>
      <c r="D520" s="172" t="str">
        <f>IF(Indice_index!$Z$1=1,"novembro","November")</f>
        <v>November</v>
      </c>
      <c r="E520" s="1149">
        <v>157.80000000000001</v>
      </c>
      <c r="F520" s="1149">
        <v>101.3</v>
      </c>
      <c r="G520" s="1149">
        <v>-7.4</v>
      </c>
      <c r="H520" s="1149">
        <v>56.3</v>
      </c>
      <c r="I520" s="1149">
        <v>3.5</v>
      </c>
      <c r="J520" s="1149">
        <v>362.3</v>
      </c>
      <c r="K520" s="1149">
        <v>113.8</v>
      </c>
      <c r="L520" s="1149">
        <v>-7.5</v>
      </c>
      <c r="M520" s="1149">
        <v>176</v>
      </c>
      <c r="N520" s="1149">
        <v>16.5</v>
      </c>
      <c r="O520" s="1149">
        <v>70.400000000000006</v>
      </c>
      <c r="P520" s="1149">
        <v>-0.2</v>
      </c>
      <c r="R520" s="229"/>
      <c r="S520" s="229"/>
      <c r="T520" s="229"/>
      <c r="U520" s="229"/>
      <c r="V520" s="229"/>
      <c r="W520" s="229"/>
      <c r="X520" s="229"/>
      <c r="Y520" s="229"/>
      <c r="Z520" s="229"/>
      <c r="AA520" s="229"/>
      <c r="AB520" s="229"/>
      <c r="AC520" s="229"/>
    </row>
    <row r="521" spans="3:29" s="171" customFormat="1" ht="10.5" hidden="1">
      <c r="C521" s="1340"/>
      <c r="D521" s="172" t="str">
        <f>IF(Indice_index!$Z$1=1,"dezembro","December")</f>
        <v>December</v>
      </c>
      <c r="E521" s="1149">
        <v>10.1</v>
      </c>
      <c r="F521" s="1149">
        <v>5.0999999999999996</v>
      </c>
      <c r="G521" s="1149">
        <v>30.9</v>
      </c>
      <c r="H521" s="1149">
        <v>18.8</v>
      </c>
      <c r="I521" s="1149">
        <v>7</v>
      </c>
      <c r="J521" s="1149">
        <v>25.3</v>
      </c>
      <c r="K521" s="1149">
        <v>-2.6</v>
      </c>
      <c r="L521" s="1149">
        <v>39.200000000000003</v>
      </c>
      <c r="M521" s="1149">
        <v>25.4</v>
      </c>
      <c r="N521" s="1149">
        <v>4.7</v>
      </c>
      <c r="O521" s="1149">
        <v>9.9</v>
      </c>
      <c r="P521" s="1149">
        <v>6.3</v>
      </c>
      <c r="R521" s="229"/>
      <c r="S521" s="229"/>
      <c r="T521" s="229"/>
      <c r="U521" s="229"/>
      <c r="V521" s="229"/>
      <c r="W521" s="229"/>
      <c r="X521" s="229"/>
      <c r="Y521" s="229"/>
      <c r="Z521" s="229"/>
      <c r="AA521" s="229"/>
      <c r="AB521" s="229"/>
      <c r="AC521" s="229"/>
    </row>
    <row r="522" spans="3:29" ht="15" hidden="1" customHeight="1">
      <c r="C522" s="1246">
        <v>2018</v>
      </c>
      <c r="D522" s="171"/>
      <c r="E522" s="1149"/>
      <c r="F522" s="1149"/>
      <c r="G522" s="1149"/>
      <c r="H522" s="1149"/>
      <c r="I522" s="1149"/>
      <c r="J522" s="1149"/>
      <c r="K522" s="1149"/>
      <c r="L522" s="1149"/>
      <c r="N522" s="1149"/>
      <c r="O522" s="1149"/>
      <c r="P522" s="1149"/>
    </row>
    <row r="523" spans="3:29" s="171" customFormat="1" ht="15" hidden="1" customHeight="1">
      <c r="C523" s="1340"/>
      <c r="D523" s="172" t="str">
        <f>IF(Indice_index!$Z$1=1,"janeiro","January")</f>
        <v>January</v>
      </c>
      <c r="E523" s="229">
        <v>-10.4</v>
      </c>
      <c r="F523" s="229">
        <v>-10.7</v>
      </c>
      <c r="G523" s="229">
        <v>-6.1</v>
      </c>
      <c r="H523" s="229">
        <v>-8.8000000000000007</v>
      </c>
      <c r="I523" s="229">
        <v>0.5</v>
      </c>
      <c r="J523" s="229">
        <v>12.3</v>
      </c>
      <c r="K523" s="229">
        <v>-14.2</v>
      </c>
      <c r="L523" s="229">
        <v>-2.2999999999999998</v>
      </c>
      <c r="M523" s="229">
        <v>4.4000000000000004</v>
      </c>
      <c r="N523" s="229">
        <v>0.5</v>
      </c>
      <c r="O523" s="229">
        <v>19.7</v>
      </c>
      <c r="P523" s="229">
        <v>4</v>
      </c>
      <c r="R523" s="230"/>
      <c r="S523" s="230"/>
      <c r="T523" s="230"/>
      <c r="U523" s="230"/>
      <c r="V523" s="230"/>
      <c r="W523" s="230"/>
      <c r="X523" s="230"/>
      <c r="Y523" s="230"/>
      <c r="Z523" s="230"/>
      <c r="AA523" s="230"/>
      <c r="AB523" s="230"/>
      <c r="AC523" s="230"/>
    </row>
    <row r="524" spans="3:29" s="171" customFormat="1" ht="15" hidden="1" customHeight="1">
      <c r="C524" s="1340"/>
      <c r="D524" s="172" t="str">
        <f>IF(Indice_index!$Z$1=1,"fevereiro","February")</f>
        <v>February</v>
      </c>
      <c r="E524" s="229">
        <v>28.4</v>
      </c>
      <c r="F524" s="229">
        <v>-35.4</v>
      </c>
      <c r="G524" s="229">
        <v>-10.4</v>
      </c>
      <c r="H524" s="229">
        <v>2.7</v>
      </c>
      <c r="I524" s="229">
        <v>-11.1</v>
      </c>
      <c r="J524" s="229">
        <v>69.099999999999994</v>
      </c>
      <c r="K524" s="229">
        <v>-29.4</v>
      </c>
      <c r="L524" s="229">
        <v>-9.6999999999999993</v>
      </c>
      <c r="M524" s="229">
        <v>29.5</v>
      </c>
      <c r="N524" s="229">
        <v>-10.199999999999999</v>
      </c>
      <c r="O524" s="229">
        <v>29.5</v>
      </c>
      <c r="P524" s="229">
        <v>0.8</v>
      </c>
      <c r="R524" s="230"/>
      <c r="S524" s="230"/>
      <c r="T524" s="230"/>
      <c r="U524" s="230"/>
      <c r="V524" s="230"/>
      <c r="W524" s="230"/>
      <c r="X524" s="230"/>
      <c r="Y524" s="230"/>
      <c r="Z524" s="230"/>
      <c r="AA524" s="230"/>
      <c r="AB524" s="230"/>
      <c r="AC524" s="230"/>
    </row>
    <row r="525" spans="3:29" s="171" customFormat="1" ht="15" hidden="1" customHeight="1">
      <c r="C525" s="1340"/>
      <c r="D525" s="172" t="str">
        <f>IF(Indice_index!$Z$1=1,"março","March")</f>
        <v>March</v>
      </c>
      <c r="E525" s="229">
        <v>79.400000000000006</v>
      </c>
      <c r="F525" s="229">
        <v>14.9</v>
      </c>
      <c r="G525" s="229">
        <v>-32.5</v>
      </c>
      <c r="H525" s="229">
        <v>1.9</v>
      </c>
      <c r="I525" s="229">
        <v>-4.5999999999999996</v>
      </c>
      <c r="J525" s="229">
        <v>129.9</v>
      </c>
      <c r="K525" s="229">
        <v>0.7</v>
      </c>
      <c r="L525" s="229">
        <v>-27.4</v>
      </c>
      <c r="M525" s="229">
        <v>38.1</v>
      </c>
      <c r="N525" s="229">
        <v>-1.8</v>
      </c>
      <c r="O525" s="229">
        <v>19.5</v>
      </c>
      <c r="P525" s="229">
        <v>7.6</v>
      </c>
      <c r="R525" s="230"/>
      <c r="S525" s="230"/>
      <c r="T525" s="230"/>
      <c r="U525" s="230"/>
      <c r="V525" s="230"/>
      <c r="W525" s="230"/>
      <c r="X525" s="230"/>
      <c r="Y525" s="230"/>
      <c r="Z525" s="230"/>
      <c r="AA525" s="230"/>
      <c r="AB525" s="230"/>
      <c r="AC525" s="230"/>
    </row>
    <row r="526" spans="3:29" ht="15" hidden="1" customHeight="1">
      <c r="C526" s="1340"/>
      <c r="D526" s="172" t="str">
        <f>IF(Indice_index!$Z$1=1,"abril","April")</f>
        <v>April</v>
      </c>
      <c r="E526" s="229">
        <v>22.4</v>
      </c>
      <c r="F526" s="229">
        <v>-22.9</v>
      </c>
      <c r="G526" s="229">
        <v>-19</v>
      </c>
      <c r="H526" s="229">
        <v>-4.7</v>
      </c>
      <c r="I526" s="229">
        <v>22.1</v>
      </c>
      <c r="J526" s="229">
        <v>35.5</v>
      </c>
      <c r="K526" s="229">
        <v>-8.3000000000000007</v>
      </c>
      <c r="L526" s="229">
        <v>-23.3</v>
      </c>
      <c r="M526" s="229">
        <v>9.6</v>
      </c>
      <c r="N526" s="229">
        <v>24</v>
      </c>
      <c r="O526" s="229">
        <v>13.8</v>
      </c>
      <c r="P526" s="229">
        <v>-5.3</v>
      </c>
      <c r="R526" s="230"/>
      <c r="S526" s="230"/>
      <c r="T526" s="230"/>
      <c r="U526" s="230"/>
      <c r="V526" s="230"/>
      <c r="W526" s="230"/>
      <c r="X526" s="230"/>
      <c r="Y526" s="230"/>
      <c r="Z526" s="230"/>
      <c r="AA526" s="230"/>
      <c r="AB526" s="230"/>
      <c r="AC526" s="230"/>
    </row>
    <row r="527" spans="3:29" ht="15" hidden="1" customHeight="1">
      <c r="C527" s="1340"/>
      <c r="D527" s="172" t="str">
        <f>IF(Indice_index!$Z$1=1,"maio","May")</f>
        <v>May</v>
      </c>
      <c r="E527" s="229">
        <v>22</v>
      </c>
      <c r="F527" s="229">
        <v>0</v>
      </c>
      <c r="G527" s="229">
        <v>-2.2000000000000002</v>
      </c>
      <c r="H527" s="229">
        <v>9.9</v>
      </c>
      <c r="I527" s="229">
        <v>3.1</v>
      </c>
      <c r="J527" s="229">
        <v>20.8</v>
      </c>
      <c r="K527" s="229">
        <v>-2.4</v>
      </c>
      <c r="L527" s="229">
        <v>5.8</v>
      </c>
      <c r="M527" s="229">
        <v>15.6</v>
      </c>
      <c r="N527" s="229">
        <v>7</v>
      </c>
      <c r="O527" s="229">
        <v>-0.4</v>
      </c>
      <c r="P527" s="229">
        <v>8.3000000000000007</v>
      </c>
      <c r="R527" s="230"/>
      <c r="S527" s="230"/>
      <c r="T527" s="230"/>
      <c r="U527" s="230"/>
      <c r="V527" s="230"/>
      <c r="W527" s="230"/>
      <c r="X527" s="230"/>
      <c r="Y527" s="230"/>
      <c r="Z527" s="230"/>
      <c r="AA527" s="230"/>
      <c r="AB527" s="230"/>
      <c r="AC527" s="230"/>
    </row>
    <row r="528" spans="3:29" ht="15" hidden="1" customHeight="1">
      <c r="C528" s="1340"/>
      <c r="D528" s="172" t="str">
        <f>IF(Indice_index!$Z$1=1,"junho","June")</f>
        <v>June</v>
      </c>
      <c r="E528" s="229">
        <v>-31.3</v>
      </c>
      <c r="F528" s="229">
        <v>-14.1</v>
      </c>
      <c r="G528" s="229">
        <v>-26.7</v>
      </c>
      <c r="H528" s="229">
        <v>-28.2</v>
      </c>
      <c r="I528" s="229">
        <v>12.4</v>
      </c>
      <c r="J528" s="229">
        <v>-10.199999999999999</v>
      </c>
      <c r="K528" s="229">
        <v>-31.4</v>
      </c>
      <c r="L528" s="229">
        <v>-73.8</v>
      </c>
      <c r="M528" s="229">
        <v>-15.2</v>
      </c>
      <c r="N528" s="229">
        <v>17.600000000000001</v>
      </c>
      <c r="O528" s="229">
        <v>23.3</v>
      </c>
      <c r="P528" s="229">
        <v>5.0999999999999996</v>
      </c>
      <c r="R528" s="230"/>
      <c r="S528" s="230"/>
      <c r="T528" s="230"/>
      <c r="U528" s="230"/>
      <c r="V528" s="230"/>
      <c r="W528" s="230"/>
      <c r="X528" s="230"/>
      <c r="Y528" s="230"/>
      <c r="Z528" s="230"/>
      <c r="AA528" s="230"/>
      <c r="AB528" s="230"/>
      <c r="AC528" s="230"/>
    </row>
    <row r="529" spans="3:29" ht="15" hidden="1" customHeight="1">
      <c r="C529" s="1340"/>
      <c r="D529" s="172" t="str">
        <f>IF(Indice_index!$Z$1=1,"julho","July")</f>
        <v>July</v>
      </c>
      <c r="E529" s="229">
        <v>-50</v>
      </c>
      <c r="F529" s="229">
        <v>-22.3</v>
      </c>
      <c r="G529" s="229">
        <v>25.9</v>
      </c>
      <c r="H529" s="229">
        <v>-27.8</v>
      </c>
      <c r="I529" s="229">
        <v>0</v>
      </c>
      <c r="J529" s="229">
        <v>-41.2</v>
      </c>
      <c r="K529" s="229">
        <v>-23.8</v>
      </c>
      <c r="L529" s="229">
        <v>22.5</v>
      </c>
      <c r="M529" s="229">
        <v>-30.3</v>
      </c>
      <c r="N529" s="229">
        <v>7.6</v>
      </c>
      <c r="O529" s="229">
        <v>14.2</v>
      </c>
      <c r="P529" s="229">
        <v>-2.7</v>
      </c>
      <c r="R529" s="230"/>
      <c r="S529" s="230"/>
      <c r="T529" s="230"/>
      <c r="U529" s="230"/>
      <c r="V529" s="230"/>
      <c r="W529" s="230"/>
      <c r="X529" s="230"/>
      <c r="Y529" s="230"/>
      <c r="Z529" s="230"/>
      <c r="AA529" s="230"/>
      <c r="AB529" s="230"/>
      <c r="AC529" s="230"/>
    </row>
    <row r="530" spans="3:29" ht="15" hidden="1" customHeight="1">
      <c r="C530" s="1340"/>
      <c r="D530" s="172" t="str">
        <f>IF(Indice_index!$Z$1=1,"agosto","August")</f>
        <v>August</v>
      </c>
      <c r="E530" s="1149">
        <v>-36.700000000000003</v>
      </c>
      <c r="F530" s="1149">
        <v>-12.4</v>
      </c>
      <c r="G530" s="1149">
        <v>1.6</v>
      </c>
      <c r="H530" s="1149">
        <v>-24.2</v>
      </c>
      <c r="I530" s="1149">
        <v>-4.7</v>
      </c>
      <c r="J530" s="1149">
        <v>-15.9</v>
      </c>
      <c r="K530" s="1149">
        <v>-1.5</v>
      </c>
      <c r="L530" s="1149">
        <v>-0.1</v>
      </c>
      <c r="M530" s="1149">
        <v>-12.2</v>
      </c>
      <c r="N530" s="1149">
        <v>9</v>
      </c>
      <c r="O530" s="1149">
        <v>30.7</v>
      </c>
      <c r="P530" s="1149">
        <v>-1.6</v>
      </c>
      <c r="R530" s="230"/>
      <c r="S530" s="230"/>
      <c r="T530" s="230"/>
      <c r="U530" s="230"/>
      <c r="V530" s="230"/>
      <c r="W530" s="230"/>
      <c r="X530" s="230"/>
      <c r="Y530" s="230"/>
      <c r="Z530" s="230"/>
      <c r="AA530" s="230"/>
      <c r="AB530" s="230"/>
      <c r="AC530" s="230"/>
    </row>
    <row r="531" spans="3:29" s="171" customFormat="1" ht="15" hidden="1" customHeight="1">
      <c r="C531" s="1340"/>
      <c r="D531" s="172" t="str">
        <f>IF(Indice_index!$Z$1=1,"setembro","September")</f>
        <v>September</v>
      </c>
      <c r="E531" s="1149">
        <v>-4</v>
      </c>
      <c r="F531" s="1149">
        <v>-22.8</v>
      </c>
      <c r="G531" s="1149">
        <v>-2</v>
      </c>
      <c r="H531" s="1149">
        <v>-5.2</v>
      </c>
      <c r="I531" s="1149">
        <v>8.1</v>
      </c>
      <c r="J531" s="1149">
        <v>-12.1</v>
      </c>
      <c r="K531" s="1149">
        <v>-27.4</v>
      </c>
      <c r="L531" s="1149">
        <v>2.9</v>
      </c>
      <c r="M531" s="1149">
        <v>-11</v>
      </c>
      <c r="N531" s="1149">
        <v>11</v>
      </c>
      <c r="O531" s="1149">
        <v>-7.4</v>
      </c>
      <c r="P531" s="1149">
        <v>5</v>
      </c>
      <c r="R531" s="230"/>
      <c r="S531" s="230"/>
      <c r="T531" s="230"/>
      <c r="U531" s="230"/>
      <c r="V531" s="230"/>
      <c r="W531" s="230"/>
      <c r="X531" s="230"/>
      <c r="Y531" s="230"/>
      <c r="Z531" s="230"/>
      <c r="AA531" s="230"/>
      <c r="AB531" s="230"/>
      <c r="AC531" s="230"/>
    </row>
    <row r="532" spans="3:29" s="171" customFormat="1" ht="15" hidden="1" customHeight="1">
      <c r="C532" s="1340"/>
      <c r="D532" s="172" t="str">
        <f>IF(Indice_index!$Z$1=1,"outubro","October")</f>
        <v>October</v>
      </c>
      <c r="E532" s="1149">
        <v>-41.1</v>
      </c>
      <c r="F532" s="1149">
        <v>34.299999999999997</v>
      </c>
      <c r="G532" s="1149">
        <v>-86.3</v>
      </c>
      <c r="H532" s="1149">
        <v>-75.8</v>
      </c>
      <c r="I532" s="1149">
        <v>16.7</v>
      </c>
      <c r="J532" s="1149">
        <v>-33.1</v>
      </c>
      <c r="K532" s="1149">
        <v>35.4</v>
      </c>
      <c r="L532" s="1149">
        <v>-66.5</v>
      </c>
      <c r="M532" s="1149">
        <v>-43.8</v>
      </c>
      <c r="N532" s="1149">
        <v>20.8</v>
      </c>
      <c r="O532" s="1149">
        <v>11.8</v>
      </c>
      <c r="P532" s="1149">
        <v>145.30000000000001</v>
      </c>
      <c r="R532" s="230"/>
      <c r="S532" s="230"/>
      <c r="T532" s="230"/>
      <c r="U532" s="230"/>
      <c r="V532" s="230"/>
      <c r="W532" s="230"/>
      <c r="X532" s="230"/>
      <c r="Y532" s="230"/>
      <c r="Z532" s="230"/>
      <c r="AA532" s="230"/>
      <c r="AB532" s="230"/>
      <c r="AC532" s="230"/>
    </row>
    <row r="533" spans="3:29" s="171" customFormat="1" ht="15" hidden="1" customHeight="1">
      <c r="C533" s="1340"/>
      <c r="D533" s="172" t="str">
        <f>IF(Indice_index!$Z$1=1,"novembro","November")</f>
        <v>November</v>
      </c>
      <c r="E533" s="1149">
        <v>-37.799999999999997</v>
      </c>
      <c r="F533" s="1149">
        <v>-16.8</v>
      </c>
      <c r="G533" s="1149">
        <v>28.3</v>
      </c>
      <c r="H533" s="1149">
        <v>-12.9</v>
      </c>
      <c r="I533" s="1149">
        <v>0</v>
      </c>
      <c r="J533" s="1149">
        <v>-51.6</v>
      </c>
      <c r="K533" s="1149">
        <v>-1</v>
      </c>
      <c r="L533" s="1149">
        <v>46.7</v>
      </c>
      <c r="M533" s="1149">
        <v>-33.6</v>
      </c>
      <c r="N533" s="1149">
        <v>1.3</v>
      </c>
      <c r="O533" s="1149">
        <v>-19.3</v>
      </c>
      <c r="P533" s="1149">
        <v>14.3</v>
      </c>
      <c r="R533" s="230"/>
      <c r="S533" s="230"/>
      <c r="T533" s="230"/>
      <c r="U533" s="230"/>
      <c r="V533" s="230"/>
      <c r="W533" s="230"/>
      <c r="X533" s="230"/>
      <c r="Y533" s="230"/>
      <c r="Z533" s="230"/>
      <c r="AA533" s="230"/>
      <c r="AB533" s="230"/>
      <c r="AC533" s="230"/>
    </row>
    <row r="534" spans="3:29" s="171" customFormat="1" ht="15" hidden="1" customHeight="1">
      <c r="C534" s="1340"/>
      <c r="D534" s="172" t="str">
        <f>IF(Indice_index!$Z$1=1,"dezembro","December")</f>
        <v>December</v>
      </c>
      <c r="E534" s="1149">
        <v>25.5</v>
      </c>
      <c r="F534" s="1149">
        <v>18.5</v>
      </c>
      <c r="G534" s="1149">
        <v>-2.5</v>
      </c>
      <c r="H534" s="1149">
        <v>11</v>
      </c>
      <c r="I534" s="1149">
        <v>-6.5</v>
      </c>
      <c r="J534" s="1149">
        <v>63</v>
      </c>
      <c r="K534" s="1149">
        <v>51.5</v>
      </c>
      <c r="L534" s="1149">
        <v>5.5</v>
      </c>
      <c r="M534" s="1149">
        <v>43.3</v>
      </c>
      <c r="N534" s="1149">
        <v>-3.6</v>
      </c>
      <c r="O534" s="1149">
        <v>37.5</v>
      </c>
      <c r="P534" s="1149">
        <v>8.1</v>
      </c>
      <c r="R534" s="230"/>
      <c r="S534" s="230"/>
      <c r="T534" s="230"/>
      <c r="U534" s="230"/>
      <c r="V534" s="230"/>
      <c r="W534" s="230"/>
      <c r="X534" s="230"/>
      <c r="Y534" s="230"/>
      <c r="Z534" s="230"/>
      <c r="AA534" s="230"/>
      <c r="AB534" s="230"/>
      <c r="AC534" s="230"/>
    </row>
    <row r="535" spans="3:29" ht="15" customHeight="1">
      <c r="C535" s="1246">
        <v>2019</v>
      </c>
      <c r="D535" s="171"/>
      <c r="E535" s="1149"/>
      <c r="F535" s="1149"/>
      <c r="G535" s="1149"/>
      <c r="H535" s="1149"/>
      <c r="I535" s="1149"/>
      <c r="J535" s="1149"/>
      <c r="K535" s="1149"/>
      <c r="L535" s="1149"/>
      <c r="N535" s="1149"/>
      <c r="O535" s="1149"/>
      <c r="P535" s="1149"/>
      <c r="R535" s="230"/>
      <c r="S535" s="230"/>
      <c r="T535" s="230"/>
      <c r="U535" s="230"/>
      <c r="V535" s="230"/>
      <c r="W535" s="230"/>
      <c r="X535" s="230"/>
      <c r="Y535" s="230"/>
      <c r="Z535" s="230"/>
      <c r="AA535" s="230"/>
      <c r="AB535" s="230"/>
      <c r="AC535" s="230"/>
    </row>
    <row r="536" spans="3:29" s="171" customFormat="1" ht="15" customHeight="1">
      <c r="C536" s="1340"/>
      <c r="D536" s="172" t="str">
        <f>IF(Indice_index!$Z$1=1,"janeiro","January")</f>
        <v>January</v>
      </c>
      <c r="E536" s="1291">
        <v>13.6</v>
      </c>
      <c r="F536" s="1291">
        <v>40</v>
      </c>
      <c r="G536" s="1291">
        <v>36.4</v>
      </c>
      <c r="H536" s="1291">
        <v>25.2</v>
      </c>
      <c r="I536" s="1291">
        <v>3.7</v>
      </c>
      <c r="J536" s="1291">
        <v>67.8</v>
      </c>
      <c r="K536" s="1291">
        <v>44.8</v>
      </c>
      <c r="L536" s="1291">
        <v>36.6</v>
      </c>
      <c r="M536" s="1291">
        <v>56.7</v>
      </c>
      <c r="N536" s="1291">
        <v>0</v>
      </c>
      <c r="O536" s="1291">
        <v>39.700000000000003</v>
      </c>
      <c r="P536" s="1291">
        <v>0.1</v>
      </c>
      <c r="R536" s="230"/>
      <c r="S536" s="230"/>
      <c r="T536" s="230"/>
      <c r="U536" s="230"/>
      <c r="V536" s="230"/>
      <c r="W536" s="230"/>
      <c r="X536" s="230"/>
      <c r="Y536" s="230"/>
      <c r="Z536" s="230"/>
      <c r="AA536" s="230"/>
      <c r="AB536" s="230"/>
      <c r="AC536" s="230"/>
    </row>
    <row r="537" spans="3:29" s="171" customFormat="1" ht="15" customHeight="1">
      <c r="C537" s="1340"/>
      <c r="D537" s="172" t="str">
        <f>IF(Indice_index!$Z$1=1,"fevereiro","February")</f>
        <v>February</v>
      </c>
      <c r="E537" s="1291">
        <v>-7.5</v>
      </c>
      <c r="F537" s="1291">
        <v>102.4</v>
      </c>
      <c r="G537" s="1291">
        <v>32.799999999999997</v>
      </c>
      <c r="H537" s="1291">
        <v>16.8</v>
      </c>
      <c r="I537" s="1291">
        <v>-8.3000000000000007</v>
      </c>
      <c r="J537" s="1291">
        <v>-17.600000000000001</v>
      </c>
      <c r="K537" s="1291">
        <v>100.1</v>
      </c>
      <c r="L537" s="1291">
        <v>40.700000000000003</v>
      </c>
      <c r="M537" s="1291">
        <v>4.4000000000000004</v>
      </c>
      <c r="N537" s="1291">
        <v>-3.3</v>
      </c>
      <c r="O537" s="1291">
        <v>-10.8</v>
      </c>
      <c r="P537" s="1291">
        <v>6</v>
      </c>
      <c r="R537" s="230"/>
      <c r="S537" s="230"/>
      <c r="T537" s="230"/>
      <c r="U537" s="230"/>
      <c r="V537" s="230"/>
      <c r="W537" s="230"/>
      <c r="X537" s="230"/>
      <c r="Y537" s="230"/>
      <c r="Z537" s="230"/>
      <c r="AA537" s="230"/>
      <c r="AB537" s="230"/>
      <c r="AC537" s="230"/>
    </row>
    <row r="538" spans="3:29" s="171" customFormat="1" ht="15" customHeight="1">
      <c r="C538" s="1340"/>
      <c r="D538" s="172" t="str">
        <f>IF(Indice_index!$Z$1=1,"março","March")</f>
        <v>March</v>
      </c>
      <c r="E538" s="1291">
        <v>-23.2</v>
      </c>
      <c r="F538" s="1291">
        <v>50.6</v>
      </c>
      <c r="G538" s="1291">
        <v>49.4</v>
      </c>
      <c r="H538" s="1291">
        <v>15.9</v>
      </c>
      <c r="I538" s="1291">
        <v>15.2</v>
      </c>
      <c r="J538" s="1291">
        <v>-21</v>
      </c>
      <c r="K538" s="1291">
        <v>70.3</v>
      </c>
      <c r="L538" s="1291">
        <v>47.7</v>
      </c>
      <c r="M538" s="1291">
        <v>5.9</v>
      </c>
      <c r="N538" s="1291">
        <v>16.600000000000001</v>
      </c>
      <c r="O538" s="1291">
        <v>1.3</v>
      </c>
      <c r="P538" s="1291">
        <v>-1.2</v>
      </c>
      <c r="R538" s="230"/>
      <c r="S538" s="230"/>
      <c r="T538" s="230"/>
      <c r="U538" s="230"/>
      <c r="V538" s="230"/>
      <c r="W538" s="230"/>
      <c r="X538" s="230"/>
      <c r="Y538" s="230"/>
      <c r="Z538" s="230"/>
      <c r="AA538" s="230"/>
      <c r="AB538" s="230"/>
      <c r="AC538" s="230"/>
    </row>
    <row r="539" spans="3:29" ht="15" customHeight="1">
      <c r="C539" s="1340"/>
      <c r="D539" s="172" t="str">
        <f>IF(Indice_index!$Z$1=1,"abril","April")</f>
        <v>April</v>
      </c>
      <c r="E539" s="1291">
        <v>60.9</v>
      </c>
      <c r="F539" s="1291">
        <v>159.5</v>
      </c>
      <c r="G539" s="1291">
        <v>10.4</v>
      </c>
      <c r="H539" s="1291">
        <v>46</v>
      </c>
      <c r="I539" s="1291">
        <v>-17.8</v>
      </c>
      <c r="J539" s="1291">
        <v>48.1</v>
      </c>
      <c r="K539" s="1291">
        <v>170.3</v>
      </c>
      <c r="L539" s="1291">
        <v>22.5</v>
      </c>
      <c r="M539" s="1291">
        <v>53.6</v>
      </c>
      <c r="N539" s="1291">
        <v>-18.2</v>
      </c>
      <c r="O539" s="1291">
        <v>-6.9</v>
      </c>
      <c r="P539" s="1291">
        <v>11</v>
      </c>
      <c r="R539" s="230"/>
      <c r="S539" s="230"/>
      <c r="T539" s="230"/>
      <c r="U539" s="230"/>
      <c r="V539" s="230"/>
      <c r="W539" s="230"/>
      <c r="X539" s="230"/>
      <c r="Y539" s="230"/>
      <c r="Z539" s="230"/>
      <c r="AA539" s="230"/>
      <c r="AB539" s="230"/>
      <c r="AC539" s="230"/>
    </row>
    <row r="540" spans="3:29" ht="15" customHeight="1">
      <c r="C540" s="1340"/>
      <c r="D540" s="172" t="str">
        <f>IF(Indice_index!$Z$1=1,"maio","May")</f>
        <v>May</v>
      </c>
      <c r="E540" s="1291">
        <v>17.5</v>
      </c>
      <c r="F540" s="1291">
        <v>78.099999999999994</v>
      </c>
      <c r="G540" s="1291">
        <v>35.299999999999997</v>
      </c>
      <c r="H540" s="1291">
        <v>28.9</v>
      </c>
      <c r="I540" s="1291">
        <v>9</v>
      </c>
      <c r="J540" s="1291">
        <v>13.7</v>
      </c>
      <c r="K540" s="1291">
        <v>78.8</v>
      </c>
      <c r="L540" s="1291">
        <v>24.7</v>
      </c>
      <c r="M540" s="1291">
        <v>20.7</v>
      </c>
      <c r="N540" s="1291">
        <v>65.599999999999994</v>
      </c>
      <c r="O540" s="1291">
        <v>-4.3</v>
      </c>
      <c r="P540" s="1291">
        <v>-7.9</v>
      </c>
      <c r="R540" s="230"/>
      <c r="S540" s="230"/>
      <c r="T540" s="230"/>
      <c r="U540" s="230"/>
      <c r="V540" s="230"/>
      <c r="W540" s="230"/>
      <c r="X540" s="230"/>
      <c r="Y540" s="230"/>
      <c r="Z540" s="230"/>
      <c r="AA540" s="230"/>
      <c r="AB540" s="230"/>
      <c r="AC540" s="230"/>
    </row>
    <row r="541" spans="3:29" ht="15" customHeight="1">
      <c r="C541" s="1340"/>
      <c r="D541" s="172" t="str">
        <f>IF(Indice_index!$Z$1=1,"junho","June")</f>
        <v>June</v>
      </c>
      <c r="E541" s="1291">
        <v>31.4</v>
      </c>
      <c r="F541" s="1291">
        <v>111.5</v>
      </c>
      <c r="G541" s="1291">
        <v>61.8</v>
      </c>
      <c r="H541" s="1291">
        <v>50.9</v>
      </c>
      <c r="I541" s="1291">
        <v>5.6</v>
      </c>
      <c r="J541" s="1291">
        <v>7.5</v>
      </c>
      <c r="K541" s="1291">
        <v>181.9</v>
      </c>
      <c r="L541" s="1291">
        <v>51.8</v>
      </c>
      <c r="M541" s="1291">
        <v>30.3</v>
      </c>
      <c r="N541" s="1291">
        <v>8</v>
      </c>
      <c r="O541" s="1291">
        <v>-13.2</v>
      </c>
      <c r="P541" s="1291">
        <v>-6.1</v>
      </c>
      <c r="R541" s="230"/>
      <c r="S541" s="230"/>
      <c r="T541" s="230"/>
      <c r="U541" s="230"/>
      <c r="V541" s="230"/>
      <c r="W541" s="230"/>
      <c r="X541" s="230"/>
      <c r="Y541" s="230"/>
      <c r="Z541" s="230"/>
      <c r="AA541" s="230"/>
      <c r="AB541" s="230"/>
      <c r="AC541" s="230"/>
    </row>
    <row r="542" spans="3:29" ht="15" customHeight="1">
      <c r="C542" s="1340"/>
      <c r="D542" s="172" t="str">
        <f>IF(Indice_index!$Z$1=1,"julho","July")</f>
        <v>July</v>
      </c>
      <c r="E542" s="1291">
        <v>46.2</v>
      </c>
      <c r="F542" s="1291">
        <v>27.1</v>
      </c>
      <c r="G542" s="1291">
        <v>6.6</v>
      </c>
      <c r="H542" s="1291">
        <v>26.3</v>
      </c>
      <c r="I542" s="1291">
        <v>-6.9</v>
      </c>
      <c r="J542" s="1291">
        <v>46.9</v>
      </c>
      <c r="K542" s="1291">
        <v>57.7</v>
      </c>
      <c r="L542" s="1291">
        <v>11.8</v>
      </c>
      <c r="M542" s="1291">
        <v>38.6</v>
      </c>
      <c r="N542" s="1291">
        <v>-12.3</v>
      </c>
      <c r="O542" s="1291">
        <v>3.5</v>
      </c>
      <c r="P542" s="1291">
        <v>4.9000000000000004</v>
      </c>
      <c r="R542" s="230"/>
      <c r="S542" s="230"/>
      <c r="T542" s="230"/>
      <c r="U542" s="230"/>
      <c r="V542" s="230"/>
      <c r="W542" s="230"/>
      <c r="X542" s="230"/>
      <c r="Y542" s="230"/>
      <c r="Z542" s="230"/>
      <c r="AA542" s="230"/>
      <c r="AB542" s="230"/>
      <c r="AC542" s="230"/>
    </row>
    <row r="543" spans="3:29" ht="15" customHeight="1">
      <c r="C543" s="1340"/>
      <c r="D543" s="172" t="str">
        <f>IF(Indice_index!$Z$1=1,"agosto","August")</f>
        <v>August</v>
      </c>
      <c r="E543" s="1291">
        <v>20.399999999999999</v>
      </c>
      <c r="F543" s="1291">
        <v>58.6</v>
      </c>
      <c r="G543" s="1291">
        <v>48.1</v>
      </c>
      <c r="H543" s="1291">
        <v>33.700000000000003</v>
      </c>
      <c r="I543" s="1291">
        <v>11.9</v>
      </c>
      <c r="J543" s="1291">
        <v>-6</v>
      </c>
      <c r="K543" s="1291">
        <v>28.9</v>
      </c>
      <c r="L543" s="1291">
        <v>41</v>
      </c>
      <c r="M543" s="1291">
        <v>5.8</v>
      </c>
      <c r="N543" s="1291">
        <v>13.3</v>
      </c>
      <c r="O543" s="1291">
        <v>-21.8</v>
      </c>
      <c r="P543" s="1291">
        <v>-4.8</v>
      </c>
      <c r="X543" s="229"/>
      <c r="Y543" s="229"/>
      <c r="Z543" s="229"/>
      <c r="AA543" s="229"/>
    </row>
    <row r="544" spans="3:29" s="171" customFormat="1" ht="15" customHeight="1">
      <c r="C544" s="1340"/>
      <c r="D544" s="172" t="str">
        <f>IF(Indice_index!$Z$1=1,"setembro","September")</f>
        <v>September</v>
      </c>
      <c r="E544" s="1291">
        <v>13.4</v>
      </c>
      <c r="F544" s="1291">
        <v>35.299999999999997</v>
      </c>
      <c r="G544" s="1291">
        <v>45</v>
      </c>
      <c r="H544" s="1291">
        <v>27.2</v>
      </c>
      <c r="I544" s="1291">
        <v>-4.3</v>
      </c>
      <c r="J544" s="1291">
        <v>-3.8</v>
      </c>
      <c r="K544" s="1291">
        <v>57.4</v>
      </c>
      <c r="L544" s="1291">
        <v>19.2</v>
      </c>
      <c r="M544" s="1291">
        <v>5.6</v>
      </c>
      <c r="N544" s="1291">
        <v>-2.4</v>
      </c>
      <c r="O544" s="1291">
        <v>-12.1</v>
      </c>
      <c r="P544" s="1291">
        <v>-17.8</v>
      </c>
      <c r="R544" s="229"/>
      <c r="S544" s="229"/>
      <c r="T544" s="229"/>
      <c r="U544" s="229"/>
      <c r="V544" s="229"/>
      <c r="W544" s="229"/>
      <c r="X544" s="229"/>
      <c r="Y544" s="229"/>
      <c r="Z544" s="229"/>
      <c r="AA544" s="229"/>
      <c r="AB544" s="229"/>
      <c r="AC544" s="229"/>
    </row>
    <row r="545" spans="3:42" s="171" customFormat="1" ht="15" customHeight="1">
      <c r="C545" s="1340"/>
      <c r="D545" s="172" t="str">
        <f>IF(Indice_index!$Z$1=1,"outubro","October")</f>
        <v>October</v>
      </c>
      <c r="E545" s="1292">
        <v>39.5</v>
      </c>
      <c r="F545" s="1292">
        <v>-3.3</v>
      </c>
      <c r="G545" s="1292">
        <v>33.9</v>
      </c>
      <c r="H545" s="1292">
        <v>33.9</v>
      </c>
      <c r="I545" s="1292">
        <v>2.8</v>
      </c>
      <c r="J545" s="1292">
        <v>9.9</v>
      </c>
      <c r="K545" s="1292">
        <v>-12.2</v>
      </c>
      <c r="L545" s="1292">
        <v>10.1</v>
      </c>
      <c r="M545" s="1292">
        <v>8</v>
      </c>
      <c r="N545" s="1292">
        <v>4.4000000000000004</v>
      </c>
      <c r="O545" s="1292">
        <v>-19.8</v>
      </c>
      <c r="P545" s="1292">
        <v>-17.7</v>
      </c>
      <c r="R545" s="229"/>
      <c r="S545" s="229"/>
      <c r="T545" s="229"/>
      <c r="U545" s="229"/>
      <c r="V545" s="229"/>
      <c r="W545" s="229"/>
      <c r="X545" s="229"/>
      <c r="Y545" s="229"/>
      <c r="Z545" s="229"/>
      <c r="AA545" s="229"/>
      <c r="AB545" s="229"/>
      <c r="AC545" s="229"/>
    </row>
    <row r="546" spans="3:42" s="171" customFormat="1" ht="15" customHeight="1">
      <c r="C546" s="1340"/>
      <c r="D546" s="172" t="str">
        <f>IF(Indice_index!$Z$1=1,"novembro","November")</f>
        <v>November</v>
      </c>
      <c r="E546" s="1293">
        <v>185.2981969486824</v>
      </c>
      <c r="F546" s="1293">
        <v>31.343283582089555</v>
      </c>
      <c r="G546" s="1293">
        <v>12.391304347826088</v>
      </c>
      <c r="H546" s="1293">
        <v>84.056338028169009</v>
      </c>
      <c r="I546" s="1293">
        <v>7.4565883554647607</v>
      </c>
      <c r="J546" s="1293">
        <v>65.649273887206007</v>
      </c>
      <c r="K546" s="1293">
        <v>26.013789365437628</v>
      </c>
      <c r="L546" s="1293">
        <v>-8.8076257153516018</v>
      </c>
      <c r="M546" s="1293">
        <v>37.145471165911317</v>
      </c>
      <c r="N546" s="1293">
        <v>10.189489535454682</v>
      </c>
      <c r="O546" s="1293">
        <v>-38.769625120153805</v>
      </c>
      <c r="P546" s="1293">
        <v>-18.863004172461761</v>
      </c>
      <c r="R546" s="229"/>
      <c r="S546" s="229"/>
      <c r="T546" s="229"/>
      <c r="U546" s="229"/>
      <c r="V546" s="229"/>
      <c r="W546" s="229"/>
      <c r="X546" s="229"/>
      <c r="Y546" s="229"/>
      <c r="Z546" s="229"/>
      <c r="AA546" s="229"/>
      <c r="AB546" s="229"/>
      <c r="AC546" s="229"/>
    </row>
    <row r="547" spans="3:42" s="171" customFormat="1" ht="15" customHeight="1">
      <c r="C547" s="1340"/>
      <c r="D547" s="172" t="str">
        <f>IF(Indice_index!$Z$1=1,"dezembro","December")</f>
        <v>December</v>
      </c>
      <c r="E547" s="1149">
        <v>135.73059360730593</v>
      </c>
      <c r="F547" s="1149">
        <v>-24.311926605504588</v>
      </c>
      <c r="G547" s="1149">
        <v>-22.53012048192771</v>
      </c>
      <c r="H547" s="1149">
        <v>49.324324324324323</v>
      </c>
      <c r="I547" s="1149">
        <v>8.0947680157946689</v>
      </c>
      <c r="J547" s="1149">
        <v>35.636954147504483</v>
      </c>
      <c r="K547" s="1149">
        <v>-30.219616809056653</v>
      </c>
      <c r="L547" s="1149">
        <v>-35.29300310023357</v>
      </c>
      <c r="M547" s="1149">
        <v>11.346467840992702</v>
      </c>
      <c r="N547" s="1149">
        <v>13.0917041557187</v>
      </c>
      <c r="O547" s="1149">
        <v>-38.321428571428569</v>
      </c>
      <c r="P547" s="1149">
        <v>-16.476173729558649</v>
      </c>
      <c r="R547" s="229"/>
      <c r="S547" s="229"/>
      <c r="T547" s="229"/>
      <c r="U547" s="229"/>
      <c r="V547" s="229"/>
      <c r="W547" s="229"/>
      <c r="X547" s="229"/>
      <c r="Y547" s="229"/>
      <c r="Z547" s="229"/>
      <c r="AA547" s="229"/>
      <c r="AB547" s="229"/>
      <c r="AC547" s="229"/>
    </row>
    <row r="548" spans="3:42" ht="15" customHeight="1">
      <c r="C548" s="1246">
        <v>2020</v>
      </c>
      <c r="D548" s="171"/>
      <c r="E548" s="1149"/>
      <c r="F548" s="1149"/>
      <c r="G548" s="1149"/>
      <c r="H548" s="1149"/>
      <c r="I548" s="1149"/>
      <c r="J548" s="1149"/>
      <c r="K548" s="1149"/>
      <c r="L548" s="1149"/>
      <c r="N548" s="1149"/>
      <c r="O548" s="1149"/>
      <c r="P548" s="1149"/>
      <c r="R548" s="230"/>
      <c r="S548" s="230"/>
      <c r="T548" s="230"/>
      <c r="U548" s="230"/>
      <c r="V548" s="230"/>
      <c r="W548" s="230"/>
      <c r="X548" s="230"/>
      <c r="Y548" s="230"/>
      <c r="Z548" s="230"/>
      <c r="AA548" s="230"/>
      <c r="AB548" s="230"/>
      <c r="AC548" s="230"/>
    </row>
    <row r="549" spans="3:42" s="171" customFormat="1" ht="15" customHeight="1">
      <c r="C549" s="1340"/>
      <c r="D549" s="172" t="str">
        <f>IF(Indice_index!$Z$1=1,"janeiro","January")</f>
        <v>January</v>
      </c>
      <c r="E549" s="1291">
        <v>62.625</v>
      </c>
      <c r="F549" s="1291">
        <v>-42.285714285714285</v>
      </c>
      <c r="G549" s="1291">
        <v>111.31578947368422</v>
      </c>
      <c r="H549" s="1291">
        <v>73.371757925072046</v>
      </c>
      <c r="I549" s="1291">
        <v>23.18271119842829</v>
      </c>
      <c r="J549" s="1291">
        <v>29.061286504775534</v>
      </c>
      <c r="K549" s="1291">
        <v>-29.759636700044805</v>
      </c>
      <c r="L549" s="1291">
        <v>183.73480079569762</v>
      </c>
      <c r="M549" s="1291">
        <v>59.865318660577472</v>
      </c>
      <c r="N549" s="1291">
        <v>9.3987115660011096</v>
      </c>
      <c r="O549" s="1291">
        <v>-15.821610759004487</v>
      </c>
      <c r="P549" s="1291">
        <v>34.281868871370882</v>
      </c>
      <c r="R549" s="230"/>
      <c r="S549" s="230"/>
      <c r="T549" s="230"/>
      <c r="U549" s="230"/>
      <c r="V549" s="230"/>
      <c r="W549" s="230"/>
      <c r="X549" s="230"/>
      <c r="Y549" s="230"/>
      <c r="Z549" s="230"/>
      <c r="AA549" s="230"/>
      <c r="AB549" s="230"/>
      <c r="AC549" s="230"/>
      <c r="AD549" s="418"/>
      <c r="AE549" s="418"/>
      <c r="AF549" s="418"/>
      <c r="AG549" s="418"/>
      <c r="AH549" s="418"/>
      <c r="AI549" s="418"/>
      <c r="AJ549" s="418"/>
      <c r="AK549" s="418"/>
      <c r="AL549" s="418"/>
      <c r="AM549" s="418"/>
      <c r="AN549" s="418"/>
      <c r="AO549" s="418"/>
    </row>
    <row r="550" spans="3:42" s="171" customFormat="1" ht="15" customHeight="1">
      <c r="C550" s="1340"/>
      <c r="D550" s="172" t="str">
        <f>IF(Indice_index!$Z$1=1,"fevereiro","February")</f>
        <v>February</v>
      </c>
      <c r="E550" s="1291">
        <v>69.750367107195302</v>
      </c>
      <c r="F550" s="1291">
        <v>-48.192771084337352</v>
      </c>
      <c r="G550" s="1291">
        <v>-12.791991101223582</v>
      </c>
      <c r="H550" s="1291">
        <v>16.036655211912944</v>
      </c>
      <c r="I550" s="1291">
        <v>15.657788539144471</v>
      </c>
      <c r="J550" s="1291">
        <v>54.8245143838042</v>
      </c>
      <c r="K550" s="1291">
        <v>-48.433576556043484</v>
      </c>
      <c r="L550" s="1291">
        <v>-32.144047137106718</v>
      </c>
      <c r="M550" s="1291">
        <v>13.080041952313362</v>
      </c>
      <c r="N550" s="1291">
        <v>5.0751254229762619</v>
      </c>
      <c r="O550" s="1291">
        <v>-7.3224789020543746</v>
      </c>
      <c r="P550" s="1291">
        <v>-22.188340807174885</v>
      </c>
      <c r="R550" s="230"/>
      <c r="S550" s="230"/>
      <c r="T550" s="230"/>
      <c r="U550" s="230"/>
      <c r="V550" s="230"/>
      <c r="W550" s="230"/>
      <c r="X550" s="230"/>
      <c r="Y550" s="230"/>
      <c r="Z550" s="230"/>
      <c r="AA550" s="230"/>
      <c r="AB550" s="230"/>
      <c r="AC550" s="230"/>
      <c r="AD550" s="418"/>
      <c r="AE550" s="418"/>
      <c r="AF550" s="418"/>
      <c r="AG550" s="418"/>
      <c r="AH550" s="418"/>
      <c r="AI550" s="418"/>
      <c r="AJ550" s="418"/>
      <c r="AK550" s="418"/>
      <c r="AL550" s="418"/>
      <c r="AM550" s="418"/>
      <c r="AN550" s="418"/>
      <c r="AO550" s="418"/>
    </row>
    <row r="551" spans="3:42" s="171" customFormat="1" ht="15" customHeight="1">
      <c r="C551" s="1340"/>
      <c r="D551" s="172" t="str">
        <f>IF(Indice_index!$Z$1=1,"março","March")</f>
        <v>March</v>
      </c>
      <c r="E551" s="1291">
        <v>118.25242718446603</v>
      </c>
      <c r="F551" s="1291">
        <v>15.625</v>
      </c>
      <c r="G551" s="1291">
        <v>-2.4255788313120177</v>
      </c>
      <c r="H551" s="1291">
        <v>37.365911799761619</v>
      </c>
      <c r="I551" s="1291">
        <v>-7.1994715984147959</v>
      </c>
      <c r="J551" s="1291">
        <v>103.24281880757151</v>
      </c>
      <c r="K551" s="1291">
        <v>3.273425399518167</v>
      </c>
      <c r="L551" s="1291">
        <v>-7.2461062960342506</v>
      </c>
      <c r="M551" s="1291">
        <v>47.943227140003522</v>
      </c>
      <c r="N551" s="1291">
        <v>-9.3230300511125037</v>
      </c>
      <c r="O551" s="1291">
        <v>-4.7326701896176457</v>
      </c>
      <c r="P551" s="1291">
        <v>-4.9330643682376634</v>
      </c>
      <c r="R551" s="230"/>
      <c r="S551" s="230"/>
      <c r="T551" s="230"/>
      <c r="U551" s="230"/>
      <c r="V551" s="230"/>
      <c r="W551" s="230"/>
      <c r="X551" s="230"/>
      <c r="Y551" s="230"/>
      <c r="Z551" s="230"/>
      <c r="AA551" s="230"/>
      <c r="AB551" s="230"/>
      <c r="AC551" s="230"/>
      <c r="AD551" s="418"/>
      <c r="AE551" s="418"/>
      <c r="AF551" s="418"/>
      <c r="AG551" s="418"/>
      <c r="AH551" s="418"/>
      <c r="AI551" s="418"/>
      <c r="AJ551" s="418"/>
      <c r="AK551" s="418"/>
      <c r="AL551" s="418"/>
      <c r="AM551" s="418"/>
      <c r="AN551" s="418"/>
      <c r="AO551" s="418"/>
    </row>
    <row r="552" spans="3:42" ht="15" customHeight="1">
      <c r="C552" s="1340"/>
      <c r="D552" s="172" t="str">
        <f>IF(Indice_index!$Z$1=1,"abril","April")</f>
        <v>April</v>
      </c>
      <c r="E552" s="1291">
        <v>28.544600938967136</v>
      </c>
      <c r="F552" s="1291">
        <v>-64.968152866242036</v>
      </c>
      <c r="G552" s="1291">
        <v>30.695770804911319</v>
      </c>
      <c r="H552" s="1291">
        <v>15.388257575757574</v>
      </c>
      <c r="I552" s="1291">
        <v>7.9545454545454541</v>
      </c>
      <c r="J552" s="1291">
        <v>33.013179052279298</v>
      </c>
      <c r="K552" s="1291">
        <v>-61.352029525055663</v>
      </c>
      <c r="L552" s="1291">
        <v>14.532856191004734</v>
      </c>
      <c r="M552" s="1291">
        <v>13.208872926954406</v>
      </c>
      <c r="N552" s="1291">
        <v>4.7948691931676848</v>
      </c>
      <c r="O552" s="1291">
        <v>5.2434456928838955</v>
      </c>
      <c r="P552" s="1291">
        <v>-12.365783822476731</v>
      </c>
      <c r="R552" s="230"/>
      <c r="S552" s="230"/>
      <c r="T552" s="230"/>
      <c r="U552" s="230"/>
      <c r="V552" s="230"/>
      <c r="W552" s="230"/>
      <c r="X552" s="230"/>
      <c r="Y552" s="230"/>
      <c r="Z552" s="230"/>
      <c r="AA552" s="230"/>
      <c r="AB552" s="230"/>
      <c r="AC552" s="230"/>
      <c r="AD552" s="418"/>
      <c r="AE552" s="418"/>
      <c r="AF552" s="418"/>
      <c r="AG552" s="418"/>
      <c r="AH552" s="418"/>
      <c r="AI552" s="418"/>
      <c r="AJ552" s="418"/>
      <c r="AK552" s="418"/>
      <c r="AL552" s="418"/>
      <c r="AM552" s="418"/>
      <c r="AN552" s="418"/>
      <c r="AO552" s="418"/>
      <c r="AP552" s="171"/>
    </row>
    <row r="553" spans="3:42" ht="15" customHeight="1">
      <c r="C553" s="1340"/>
      <c r="D553" s="172" t="str">
        <f>IF(Indice_index!$Z$1=1,"maio","May")</f>
        <v>May</v>
      </c>
      <c r="E553" s="1294">
        <v>35.726950354609926</v>
      </c>
      <c r="F553" s="1294">
        <v>-68.032786885245898</v>
      </c>
      <c r="G553" s="1294">
        <v>11.224489795918368</v>
      </c>
      <c r="H553" s="1294">
        <v>14.906832298136646</v>
      </c>
      <c r="I553" s="1294">
        <v>26.359447004608295</v>
      </c>
      <c r="J553" s="1294">
        <v>28.281477037151841</v>
      </c>
      <c r="K553" s="1294">
        <v>-62.701923332296637</v>
      </c>
      <c r="L553" s="1294">
        <v>11.389292670056442</v>
      </c>
      <c r="M553" s="1294">
        <v>14.832487390487422</v>
      </c>
      <c r="N553" s="1294">
        <v>-14.691124358028137</v>
      </c>
      <c r="O553" s="1294">
        <v>-1.3377159455740713</v>
      </c>
      <c r="P553" s="1294">
        <v>0.15533980582523388</v>
      </c>
      <c r="R553" s="230"/>
      <c r="S553" s="230"/>
      <c r="T553" s="230"/>
      <c r="U553" s="230"/>
      <c r="V553" s="230"/>
      <c r="W553" s="230"/>
      <c r="X553" s="230"/>
      <c r="Y553" s="230"/>
      <c r="Z553" s="230"/>
      <c r="AA553" s="230"/>
      <c r="AB553" s="230"/>
      <c r="AC553" s="230"/>
      <c r="AD553" s="418"/>
      <c r="AE553" s="418"/>
      <c r="AF553" s="418"/>
      <c r="AG553" s="418"/>
      <c r="AH553" s="418"/>
      <c r="AI553" s="418"/>
      <c r="AJ553" s="418"/>
      <c r="AK553" s="418"/>
      <c r="AL553" s="418"/>
      <c r="AM553" s="418"/>
      <c r="AN553" s="418"/>
      <c r="AO553" s="418"/>
      <c r="AP553" s="171"/>
    </row>
    <row r="554" spans="3:42" ht="15" customHeight="1">
      <c r="C554" s="1340"/>
      <c r="D554" s="172" t="str">
        <f>IF(Indice_index!$Z$1=1,"junho","June")</f>
        <v>June</v>
      </c>
      <c r="E554" s="1291">
        <v>58.6</v>
      </c>
      <c r="F554" s="1291">
        <v>-65.5</v>
      </c>
      <c r="G554" s="1291">
        <v>-11.9</v>
      </c>
      <c r="H554" s="1291">
        <v>12.3</v>
      </c>
      <c r="I554" s="1291">
        <v>7.5</v>
      </c>
      <c r="J554" s="1291">
        <v>63.2</v>
      </c>
      <c r="K554" s="1291">
        <v>-66.2</v>
      </c>
      <c r="L554" s="1291">
        <v>-7.2</v>
      </c>
      <c r="M554" s="1291">
        <v>24.3</v>
      </c>
      <c r="N554" s="1291">
        <v>8.1999999999999993</v>
      </c>
      <c r="O554" s="1291">
        <v>2.4</v>
      </c>
      <c r="P554" s="1291">
        <v>5.4</v>
      </c>
      <c r="R554" s="230"/>
      <c r="S554" s="230"/>
      <c r="T554" s="230"/>
      <c r="U554" s="230"/>
      <c r="V554" s="230"/>
      <c r="W554" s="230"/>
      <c r="X554" s="230"/>
      <c r="Y554" s="230"/>
      <c r="Z554" s="230"/>
      <c r="AA554" s="230"/>
      <c r="AB554" s="230"/>
      <c r="AC554" s="230"/>
    </row>
    <row r="555" spans="3:42" ht="15" customHeight="1">
      <c r="C555" s="1340"/>
      <c r="D555" s="172" t="str">
        <f>IF(Indice_index!$Z$1=1,"julho","July")</f>
        <v>July</v>
      </c>
      <c r="E555" s="1291">
        <v>43.3</v>
      </c>
      <c r="F555" s="1291">
        <v>-64.599999999999994</v>
      </c>
      <c r="G555" s="1291">
        <v>24.4</v>
      </c>
      <c r="H555" s="1291">
        <v>26.8</v>
      </c>
      <c r="I555" s="1291">
        <v>20.100000000000001</v>
      </c>
      <c r="J555" s="1291">
        <v>44</v>
      </c>
      <c r="K555" s="1291">
        <v>-64.5</v>
      </c>
      <c r="L555" s="1291">
        <v>30.8</v>
      </c>
      <c r="M555" s="1291">
        <v>30.6</v>
      </c>
      <c r="N555" s="1291">
        <v>28.5</v>
      </c>
      <c r="O555" s="1291">
        <v>1.7</v>
      </c>
      <c r="P555" s="1291">
        <v>5.2</v>
      </c>
      <c r="R555" s="230"/>
      <c r="S555" s="230"/>
      <c r="T555" s="230"/>
      <c r="U555" s="230"/>
      <c r="V555" s="230"/>
      <c r="W555" s="230"/>
      <c r="X555" s="230"/>
      <c r="Y555" s="230"/>
      <c r="Z555" s="230"/>
      <c r="AA555" s="230"/>
      <c r="AB555" s="230"/>
      <c r="AC555" s="230"/>
    </row>
    <row r="556" spans="3:42" ht="15" customHeight="1">
      <c r="C556" s="1340"/>
      <c r="D556" s="172" t="str">
        <f>IF(Indice_index!$Z$1=1,"agosto","August")</f>
        <v>August</v>
      </c>
      <c r="E556" s="1291">
        <v>51.079136690647488</v>
      </c>
      <c r="F556" s="1291">
        <v>-77.070063694267517</v>
      </c>
      <c r="G556" s="1291">
        <v>17.23329425556858</v>
      </c>
      <c r="H556" s="1291">
        <v>26.374180534543623</v>
      </c>
      <c r="I556" s="1291">
        <v>10.084825636192271</v>
      </c>
      <c r="J556" s="1291">
        <v>78.072897743494167</v>
      </c>
      <c r="K556" s="1291">
        <v>-77.063042667441266</v>
      </c>
      <c r="L556" s="1291">
        <v>32.584157565991759</v>
      </c>
      <c r="M556" s="1291">
        <v>51.100963168788326</v>
      </c>
      <c r="N556" s="1291">
        <v>13.459985911226461</v>
      </c>
      <c r="O556" s="1291">
        <v>18.17082247860067</v>
      </c>
      <c r="P556" s="1291">
        <v>13.086017121891548</v>
      </c>
      <c r="X556" s="229"/>
      <c r="Y556" s="229"/>
      <c r="Z556" s="229"/>
      <c r="AA556" s="229"/>
    </row>
    <row r="557" spans="3:42" s="171" customFormat="1" ht="15" customHeight="1">
      <c r="C557" s="1340"/>
      <c r="D557" s="172" t="str">
        <f>IF(Indice_index!$Z$1=1,"setembro","September")</f>
        <v>September</v>
      </c>
      <c r="E557" s="1291">
        <v>29.469548133595286</v>
      </c>
      <c r="F557" s="1291">
        <v>-84.574468085106375</v>
      </c>
      <c r="G557" s="1291">
        <v>-16.069489685124864</v>
      </c>
      <c r="H557" s="1291">
        <v>-0.32910202162670427</v>
      </c>
      <c r="I557" s="1291">
        <v>32.183908045977013</v>
      </c>
      <c r="J557" s="1291">
        <v>73.446873621707283</v>
      </c>
      <c r="K557" s="1291">
        <v>-81.573720194209571</v>
      </c>
      <c r="L557" s="1291">
        <v>7.8137034258189546</v>
      </c>
      <c r="M557" s="1291">
        <v>40.448908404512032</v>
      </c>
      <c r="N557" s="1291">
        <v>28.034566716222109</v>
      </c>
      <c r="O557" s="1291">
        <v>34.141694093192456</v>
      </c>
      <c r="P557" s="1291">
        <v>28.4661446338093</v>
      </c>
      <c r="R557" s="229"/>
      <c r="S557" s="229"/>
      <c r="T557" s="229"/>
      <c r="U557" s="229"/>
      <c r="V557" s="229"/>
      <c r="W557" s="229"/>
      <c r="X557" s="229"/>
      <c r="Y557" s="229"/>
      <c r="Z557" s="229"/>
      <c r="AA557" s="229"/>
      <c r="AB557" s="229"/>
      <c r="AC557" s="229"/>
    </row>
    <row r="558" spans="3:42" s="171" customFormat="1" ht="15" customHeight="1">
      <c r="C558" s="1340"/>
      <c r="D558" s="172" t="str">
        <f>IF(Indice_index!$Z$1=1,"outubro","October")</f>
        <v>October</v>
      </c>
      <c r="E558" s="1295">
        <v>45.3</v>
      </c>
      <c r="F558" s="1295">
        <v>-69</v>
      </c>
      <c r="G558" s="1295">
        <v>5.2</v>
      </c>
      <c r="H558" s="1295">
        <v>21.4</v>
      </c>
      <c r="I558" s="1295">
        <v>1.9</v>
      </c>
      <c r="J558" s="1295">
        <v>89.3</v>
      </c>
      <c r="K558" s="1295">
        <v>-56.6</v>
      </c>
      <c r="L558" s="1295">
        <v>29.8</v>
      </c>
      <c r="M558" s="1295">
        <v>64.7</v>
      </c>
      <c r="N558" s="1295">
        <v>3.5</v>
      </c>
      <c r="O558" s="1295">
        <v>30.7</v>
      </c>
      <c r="P558" s="1295">
        <v>23.4</v>
      </c>
      <c r="R558" s="229"/>
      <c r="S558" s="229"/>
      <c r="T558" s="229"/>
      <c r="U558" s="229"/>
      <c r="V558" s="229"/>
      <c r="W558" s="229"/>
      <c r="X558" s="229"/>
      <c r="Y558" s="229"/>
      <c r="Z558" s="229"/>
      <c r="AA558" s="229"/>
      <c r="AB558" s="229"/>
      <c r="AC558" s="229"/>
    </row>
    <row r="559" spans="3:42" s="171" customFormat="1" ht="15" customHeight="1">
      <c r="C559" s="1340"/>
      <c r="D559" s="172" t="str">
        <f>IF(Indice_index!$Z$1=1,"novembro","November")</f>
        <v>November</v>
      </c>
      <c r="E559" s="1296">
        <v>-46</v>
      </c>
      <c r="F559" s="1296">
        <v>-51.1</v>
      </c>
      <c r="G559" s="1296">
        <v>-15.8</v>
      </c>
      <c r="H559" s="1296">
        <v>-36.700000000000003</v>
      </c>
      <c r="I559" s="1296">
        <v>10.5</v>
      </c>
      <c r="J559" s="1296">
        <v>17</v>
      </c>
      <c r="K559" s="1296">
        <v>-47.6</v>
      </c>
      <c r="L559" s="1296">
        <v>-7.3</v>
      </c>
      <c r="M559" s="1296">
        <v>5.9</v>
      </c>
      <c r="N559" s="1296">
        <v>10.7</v>
      </c>
      <c r="O559" s="1296">
        <v>104.6</v>
      </c>
      <c r="P559" s="1296">
        <v>10.1</v>
      </c>
      <c r="R559" s="229"/>
      <c r="S559" s="229"/>
      <c r="T559" s="229"/>
      <c r="U559" s="229"/>
      <c r="V559" s="229"/>
      <c r="W559" s="229"/>
      <c r="X559" s="229"/>
      <c r="Y559" s="229"/>
      <c r="Z559" s="229"/>
      <c r="AA559" s="229"/>
      <c r="AB559" s="229"/>
      <c r="AC559" s="229"/>
    </row>
    <row r="560" spans="3:42" s="171" customFormat="1" ht="15" customHeight="1">
      <c r="C560" s="1340"/>
      <c r="D560" s="172" t="str">
        <f>IF(Indice_index!$Z$1=1,"dezembro","December")</f>
        <v>December</v>
      </c>
      <c r="E560" s="1297">
        <v>-48.8</v>
      </c>
      <c r="F560" s="1297">
        <v>-35.799999999999997</v>
      </c>
      <c r="G560" s="1297">
        <v>38.299999999999997</v>
      </c>
      <c r="H560" s="1297">
        <v>-28.6</v>
      </c>
      <c r="I560" s="1297">
        <v>17.600000000000001</v>
      </c>
      <c r="J560" s="1297">
        <v>3.4</v>
      </c>
      <c r="K560" s="1297">
        <v>-24.4</v>
      </c>
      <c r="L560" s="1297">
        <v>53.1</v>
      </c>
      <c r="M560" s="1297">
        <v>8.1999999999999993</v>
      </c>
      <c r="N560" s="1297">
        <v>19.8</v>
      </c>
      <c r="O560" s="1297">
        <v>93.7</v>
      </c>
      <c r="P560" s="1297">
        <v>10.7</v>
      </c>
      <c r="R560" s="229"/>
      <c r="S560" s="229"/>
      <c r="T560" s="229"/>
      <c r="U560" s="229"/>
      <c r="V560" s="229"/>
      <c r="W560" s="229"/>
      <c r="X560" s="229"/>
      <c r="Y560" s="229"/>
      <c r="Z560" s="229"/>
      <c r="AA560" s="229"/>
      <c r="AB560" s="229"/>
      <c r="AC560" s="229"/>
    </row>
    <row r="561" spans="3:42" ht="15" customHeight="1">
      <c r="C561" s="1298" t="s">
        <v>67</v>
      </c>
      <c r="D561" s="171"/>
      <c r="E561" s="1149"/>
      <c r="F561" s="1149"/>
      <c r="G561" s="1149"/>
      <c r="H561" s="1149"/>
      <c r="I561" s="1149"/>
      <c r="J561" s="1149"/>
      <c r="K561" s="1149"/>
      <c r="L561" s="1149"/>
      <c r="N561" s="1149"/>
      <c r="O561" s="1149"/>
      <c r="P561" s="1149"/>
      <c r="R561" s="230"/>
      <c r="S561" s="230"/>
      <c r="T561" s="230"/>
      <c r="U561" s="230"/>
      <c r="V561" s="230"/>
      <c r="W561" s="230"/>
      <c r="X561" s="230"/>
      <c r="Y561" s="230"/>
      <c r="Z561" s="230"/>
      <c r="AA561" s="230"/>
      <c r="AB561" s="230"/>
      <c r="AC561" s="230"/>
    </row>
    <row r="562" spans="3:42" s="171" customFormat="1" ht="15" customHeight="1">
      <c r="C562" s="1340"/>
      <c r="D562" s="172" t="str">
        <f>IF(Indice_index!$Z$1=1,"janeiro","January")</f>
        <v>January</v>
      </c>
      <c r="E562" s="1291">
        <v>-21.3</v>
      </c>
      <c r="F562" s="1291">
        <v>-13.9</v>
      </c>
      <c r="G562" s="1291">
        <v>-57.8</v>
      </c>
      <c r="H562" s="1291">
        <v>-40.5</v>
      </c>
      <c r="I562" s="1291">
        <v>5.2</v>
      </c>
      <c r="J562" s="1291">
        <v>16.600000000000001</v>
      </c>
      <c r="K562" s="1291">
        <v>-13.6</v>
      </c>
      <c r="L562" s="1291">
        <v>-66.8</v>
      </c>
      <c r="M562" s="1291">
        <v>-20.100000000000001</v>
      </c>
      <c r="N562" s="1291">
        <v>22.9</v>
      </c>
      <c r="O562" s="1291">
        <v>44.1</v>
      </c>
      <c r="P562" s="1291">
        <v>-21.3</v>
      </c>
      <c r="R562" s="230"/>
      <c r="S562" s="230"/>
      <c r="T562" s="230"/>
      <c r="U562" s="230"/>
      <c r="V562" s="230"/>
      <c r="W562" s="230"/>
      <c r="X562" s="230"/>
      <c r="Y562" s="230"/>
      <c r="Z562" s="230"/>
      <c r="AA562" s="230"/>
      <c r="AB562" s="230"/>
      <c r="AC562" s="230"/>
      <c r="AD562" s="418"/>
      <c r="AE562" s="418"/>
      <c r="AF562" s="418"/>
      <c r="AG562" s="418"/>
      <c r="AH562" s="418"/>
      <c r="AI562" s="418"/>
      <c r="AJ562" s="418"/>
      <c r="AK562" s="418"/>
      <c r="AL562" s="418"/>
      <c r="AM562" s="418"/>
      <c r="AN562" s="418"/>
      <c r="AO562" s="418"/>
    </row>
    <row r="563" spans="3:42" s="171" customFormat="1" ht="15" customHeight="1">
      <c r="C563" s="1340"/>
      <c r="D563" s="172" t="str">
        <f>IF(Indice_index!$Z$1=1,"fevereiro","February")</f>
        <v>February</v>
      </c>
      <c r="E563" s="1291">
        <v>-23.6</v>
      </c>
      <c r="F563" s="1291">
        <v>17.399999999999999</v>
      </c>
      <c r="G563" s="1291">
        <v>6.6</v>
      </c>
      <c r="H563" s="1291">
        <v>-10.199999999999999</v>
      </c>
      <c r="I563" s="1291">
        <v>17.100000000000001</v>
      </c>
      <c r="J563" s="1291">
        <v>4</v>
      </c>
      <c r="K563" s="1291">
        <v>6.8</v>
      </c>
      <c r="L563" s="1291">
        <v>34.9</v>
      </c>
      <c r="M563" s="1291">
        <v>10.3</v>
      </c>
      <c r="N563" s="1291">
        <v>31.2</v>
      </c>
      <c r="O563" s="1291">
        <v>31.5</v>
      </c>
      <c r="P563" s="1291">
        <v>26.5</v>
      </c>
      <c r="R563" s="230"/>
      <c r="S563" s="230"/>
      <c r="T563" s="230"/>
      <c r="U563" s="230"/>
      <c r="V563" s="230"/>
      <c r="W563" s="230"/>
      <c r="X563" s="230"/>
      <c r="Y563" s="230"/>
      <c r="Z563" s="230"/>
      <c r="AA563" s="230"/>
      <c r="AB563" s="230"/>
      <c r="AC563" s="230"/>
      <c r="AD563" s="418"/>
      <c r="AE563" s="418"/>
      <c r="AF563" s="418"/>
      <c r="AG563" s="418"/>
      <c r="AH563" s="418"/>
      <c r="AI563" s="418"/>
      <c r="AJ563" s="418"/>
      <c r="AK563" s="418"/>
      <c r="AL563" s="418"/>
      <c r="AM563" s="418"/>
      <c r="AN563" s="418"/>
      <c r="AO563" s="418"/>
    </row>
    <row r="564" spans="3:42" s="171" customFormat="1" ht="15" customHeight="1">
      <c r="C564" s="1340"/>
      <c r="D564" s="172" t="str">
        <f>IF(Indice_index!$Z$1=1,"março","March")</f>
        <v>March</v>
      </c>
      <c r="E564" s="1299">
        <v>-7.8291814946619214</v>
      </c>
      <c r="F564" s="1299">
        <v>-25</v>
      </c>
      <c r="G564" s="1299">
        <v>21.807909604519775</v>
      </c>
      <c r="H564" s="1299">
        <v>1.3449023861171365</v>
      </c>
      <c r="I564" s="1299">
        <v>71.17437722419929</v>
      </c>
      <c r="J564" s="1299">
        <v>10.839271844964628</v>
      </c>
      <c r="K564" s="1299">
        <v>-53.224774859240931</v>
      </c>
      <c r="L564" s="1299">
        <v>33.704238057488389</v>
      </c>
      <c r="M564" s="1299">
        <v>7.3137086631989163</v>
      </c>
      <c r="N564" s="1299">
        <v>82.598302873765732</v>
      </c>
      <c r="O564" s="1299">
        <v>13.280039154906595</v>
      </c>
      <c r="P564" s="1299">
        <v>9.7608024691358075</v>
      </c>
      <c r="R564" s="230"/>
      <c r="S564" s="230"/>
      <c r="T564" s="230"/>
      <c r="U564" s="230"/>
      <c r="V564" s="230"/>
      <c r="W564" s="230"/>
      <c r="X564" s="230"/>
      <c r="Y564" s="230"/>
      <c r="Z564" s="230"/>
      <c r="AA564" s="230"/>
      <c r="AB564" s="230"/>
      <c r="AC564" s="230"/>
      <c r="AD564" s="418"/>
      <c r="AE564" s="418"/>
      <c r="AF564" s="418"/>
      <c r="AG564" s="418"/>
      <c r="AH564" s="418"/>
      <c r="AI564" s="418"/>
      <c r="AJ564" s="418"/>
      <c r="AK564" s="418"/>
      <c r="AL564" s="418"/>
      <c r="AM564" s="418"/>
      <c r="AN564" s="418"/>
      <c r="AO564" s="418"/>
    </row>
    <row r="565" spans="3:42" ht="15" customHeight="1">
      <c r="C565" s="1340"/>
      <c r="D565" s="172" t="str">
        <f>IF(Indice_index!$Z$1=1,"abril","April")</f>
        <v>April</v>
      </c>
      <c r="E565" s="1291">
        <v>-6.281957633308985</v>
      </c>
      <c r="F565" s="1291">
        <v>-34.545454545454547</v>
      </c>
      <c r="G565" s="1291">
        <v>29.018789144050107</v>
      </c>
      <c r="H565" s="1291">
        <v>6.3192449733278613</v>
      </c>
      <c r="I565" s="1291">
        <v>47.969924812030072</v>
      </c>
      <c r="J565" s="1291">
        <v>4.0676343472848737</v>
      </c>
      <c r="K565" s="1291">
        <v>-48.029008441945891</v>
      </c>
      <c r="L565" s="1291">
        <v>51.514067622768657</v>
      </c>
      <c r="M565" s="1291">
        <v>10.539632890099218</v>
      </c>
      <c r="N565" s="1291">
        <v>60.052185415998402</v>
      </c>
      <c r="O565" s="1291">
        <v>9.4424673784104467</v>
      </c>
      <c r="P565" s="1291">
        <v>17.418827853788034</v>
      </c>
      <c r="R565" s="230"/>
      <c r="S565" s="230"/>
      <c r="T565" s="230"/>
      <c r="U565" s="230"/>
      <c r="V565" s="230"/>
      <c r="W565" s="230"/>
      <c r="X565" s="230"/>
      <c r="Y565" s="230"/>
      <c r="Z565" s="230"/>
      <c r="AA565" s="230"/>
      <c r="AB565" s="230"/>
      <c r="AC565" s="230"/>
      <c r="AD565" s="418"/>
      <c r="AE565" s="418"/>
      <c r="AF565" s="418"/>
      <c r="AG565" s="418"/>
      <c r="AH565" s="418"/>
      <c r="AI565" s="418"/>
      <c r="AJ565" s="418"/>
      <c r="AK565" s="418"/>
      <c r="AL565" s="418"/>
      <c r="AM565" s="418"/>
      <c r="AN565" s="418"/>
      <c r="AO565" s="418"/>
      <c r="AP565" s="171"/>
    </row>
    <row r="566" spans="3:42" ht="15" customHeight="1">
      <c r="C566" s="1340"/>
      <c r="D566" s="172" t="str">
        <f>IF(Indice_index!$Z$1=1,"maio","May")</f>
        <v>May</v>
      </c>
      <c r="E566" s="1300">
        <v>-14.565643370346178</v>
      </c>
      <c r="F566" s="1300">
        <v>41.025641025641022</v>
      </c>
      <c r="G566" s="1300">
        <v>4.281345565749235</v>
      </c>
      <c r="H566" s="1300">
        <v>-5.7528957528957525</v>
      </c>
      <c r="I566" s="1300">
        <v>-8.2421590080233411</v>
      </c>
      <c r="J566" s="1300">
        <v>-8.4815652405224604</v>
      </c>
      <c r="K566" s="1300">
        <v>44.040690654105155</v>
      </c>
      <c r="L566" s="1300">
        <v>9.7212951494644315</v>
      </c>
      <c r="M566" s="1300">
        <v>-3.0334569693196789</v>
      </c>
      <c r="N566" s="1300">
        <v>-8.1790431814499112</v>
      </c>
      <c r="O566" s="1300">
        <v>6.5003486480204433</v>
      </c>
      <c r="P566" s="1300">
        <v>5.215199689802267</v>
      </c>
      <c r="R566" s="230"/>
      <c r="S566" s="230"/>
      <c r="T566" s="230"/>
      <c r="U566" s="230"/>
      <c r="V566" s="230"/>
      <c r="W566" s="230"/>
      <c r="X566" s="230"/>
      <c r="Y566" s="230"/>
      <c r="Z566" s="230"/>
      <c r="AA566" s="230"/>
      <c r="AB566" s="230"/>
      <c r="AC566" s="230"/>
      <c r="AD566" s="418"/>
      <c r="AE566" s="418"/>
      <c r="AF566" s="418"/>
      <c r="AG566" s="418"/>
      <c r="AH566" s="418"/>
      <c r="AI566" s="418"/>
      <c r="AJ566" s="418"/>
      <c r="AK566" s="418"/>
      <c r="AL566" s="418"/>
      <c r="AM566" s="418"/>
      <c r="AN566" s="418"/>
      <c r="AO566" s="418"/>
      <c r="AP566" s="171"/>
    </row>
    <row r="567" spans="3:42" ht="15" customHeight="1">
      <c r="C567" s="1340"/>
      <c r="D567" s="172" t="str">
        <f>IF(Indice_index!$Z$1=1,"junho","June")</f>
        <v>June</v>
      </c>
      <c r="E567" s="1301">
        <v>-13.609072715143428</v>
      </c>
      <c r="F567" s="1301">
        <v>24.719101123595504</v>
      </c>
      <c r="G567" s="1301">
        <v>7.9768786127167628</v>
      </c>
      <c r="H567" s="1301">
        <v>-4.6066041581736643</v>
      </c>
      <c r="I567" s="1301">
        <v>-17.197924388435879</v>
      </c>
      <c r="J567" s="1301">
        <v>-8.0579048029668616</v>
      </c>
      <c r="K567" s="1301">
        <v>25.44285058084273</v>
      </c>
      <c r="L567" s="1301">
        <v>9.7923334781002129</v>
      </c>
      <c r="M567" s="1301">
        <v>-3.169834198033282</v>
      </c>
      <c r="N567" s="1301">
        <v>-19.66870692142265</v>
      </c>
      <c r="O567" s="1301">
        <v>5.8999676270637824</v>
      </c>
      <c r="P567" s="1301">
        <v>1.6955468604434336</v>
      </c>
      <c r="R567" s="230"/>
      <c r="S567" s="230"/>
      <c r="T567" s="230"/>
      <c r="U567" s="230"/>
      <c r="V567" s="230"/>
      <c r="W567" s="230"/>
      <c r="X567" s="230"/>
      <c r="Y567" s="230"/>
      <c r="Z567" s="230"/>
      <c r="AA567" s="230"/>
      <c r="AB567" s="230"/>
      <c r="AC567" s="230"/>
    </row>
    <row r="568" spans="3:42" ht="15" customHeight="1">
      <c r="C568" s="1340"/>
      <c r="D568" s="172" t="str">
        <f>IF(Indice_index!$Z$1=1,"julho","July")</f>
        <v>July</v>
      </c>
      <c r="E568" s="1302">
        <v>6.6115702479338845</v>
      </c>
      <c r="F568" s="1302">
        <v>84.482758620689651</v>
      </c>
      <c r="G568" s="1302">
        <v>-17.222820236813778</v>
      </c>
      <c r="H568" s="1302">
        <v>-0.61500615006150061</v>
      </c>
      <c r="I568" s="1302">
        <v>0</v>
      </c>
      <c r="J568" s="1302">
        <v>5.0085718424355763</v>
      </c>
      <c r="K568" s="1302">
        <v>87.175888936439208</v>
      </c>
      <c r="L568" s="1302">
        <v>-27.947730603627512</v>
      </c>
      <c r="M568" s="1302">
        <v>0.20488227365179362</v>
      </c>
      <c r="N568" s="1302">
        <v>5.1803294521605645</v>
      </c>
      <c r="O568" s="1302">
        <v>-1.6581632653061156</v>
      </c>
      <c r="P568" s="1302">
        <v>-12.962962962962965</v>
      </c>
      <c r="R568" s="230"/>
      <c r="S568" s="230"/>
      <c r="T568" s="230"/>
      <c r="U568" s="230"/>
      <c r="V568" s="230"/>
      <c r="W568" s="230"/>
      <c r="X568" s="230"/>
      <c r="Y568" s="230"/>
      <c r="Z568" s="230"/>
      <c r="AA568" s="230"/>
      <c r="AB568" s="230"/>
      <c r="AC568" s="230"/>
    </row>
    <row r="569" spans="3:42" ht="15" customHeight="1">
      <c r="C569" s="1340"/>
      <c r="D569" s="172" t="str">
        <f>IF(Indice_index!$Z$1=1,"agosto","August")</f>
        <v>August</v>
      </c>
      <c r="E569" s="1303">
        <v>1.0884353741496597</v>
      </c>
      <c r="F569" s="1303">
        <v>250</v>
      </c>
      <c r="G569" s="1303">
        <v>-13.700000000000001</v>
      </c>
      <c r="H569" s="1303">
        <v>-1.2370311252992818</v>
      </c>
      <c r="I569" s="1303">
        <v>-9.4178082191780828</v>
      </c>
      <c r="J569" s="1303">
        <v>1.1528777438475686</v>
      </c>
      <c r="K569" s="1303">
        <v>284.5793446017957</v>
      </c>
      <c r="L569" s="1303">
        <v>-15.542383367587629</v>
      </c>
      <c r="M569" s="1303">
        <v>1.6462628904625347</v>
      </c>
      <c r="N569" s="1303">
        <v>-9.4192375120917387</v>
      </c>
      <c r="O569" s="1303">
        <v>-0.38579639398471494</v>
      </c>
      <c r="P569" s="1303">
        <v>-2.1268925739004967</v>
      </c>
      <c r="X569" s="229"/>
      <c r="Y569" s="229"/>
      <c r="Z569" s="229"/>
      <c r="AA569" s="229"/>
    </row>
    <row r="570" spans="3:42" s="171" customFormat="1" ht="15" customHeight="1">
      <c r="C570" s="1340"/>
      <c r="D570" s="172" t="str">
        <f>IF(Indice_index!$Z$1=1,"setembro","September")</f>
        <v>September</v>
      </c>
      <c r="E570" s="1304">
        <v>-9.3323216995447638</v>
      </c>
      <c r="F570" s="1304">
        <v>203.44827586206895</v>
      </c>
      <c r="G570" s="1304">
        <v>-5.8214747736093138</v>
      </c>
      <c r="H570" s="1304">
        <v>-5.1415094339622645</v>
      </c>
      <c r="I570" s="1304">
        <v>-11.067193675889328</v>
      </c>
      <c r="J570" s="1304">
        <v>-12.809356610489218</v>
      </c>
      <c r="K570" s="1304">
        <v>140.93232406620285</v>
      </c>
      <c r="L570" s="1304">
        <v>-9.7409309505205357</v>
      </c>
      <c r="M570" s="1304">
        <v>-9.895767217684762</v>
      </c>
      <c r="N570" s="1304">
        <v>-3.3772702929630589</v>
      </c>
      <c r="O570" s="1304">
        <v>-5.4364669421487637</v>
      </c>
      <c r="P570" s="1304">
        <v>-4.1591968447472096</v>
      </c>
      <c r="R570" s="229"/>
      <c r="S570" s="229"/>
      <c r="T570" s="229"/>
      <c r="U570" s="229"/>
      <c r="V570" s="229"/>
      <c r="W570" s="229"/>
      <c r="X570" s="229"/>
      <c r="Y570" s="229"/>
      <c r="Z570" s="229"/>
      <c r="AA570" s="229"/>
      <c r="AB570" s="229"/>
      <c r="AC570" s="229"/>
    </row>
    <row r="571" spans="3:42" s="171" customFormat="1" ht="15" customHeight="1">
      <c r="C571" s="1340"/>
      <c r="D571" s="172" t="str">
        <f>IF(Indice_index!$Z$1=1,"outubro","October")</f>
        <v>October</v>
      </c>
      <c r="E571" s="1295">
        <v>4.9751243781094532</v>
      </c>
      <c r="F571" s="1295">
        <v>270.37037037037038</v>
      </c>
      <c r="G571" s="1295">
        <v>-20.181112548512289</v>
      </c>
      <c r="H571" s="1295">
        <v>-1.1465603190428715</v>
      </c>
      <c r="I571" s="1295">
        <v>5.0390964378801044</v>
      </c>
      <c r="J571" s="1295">
        <v>-6.0763421714063153</v>
      </c>
      <c r="K571" s="1295">
        <v>194.01323091652299</v>
      </c>
      <c r="L571" s="1295">
        <v>-25.297590254874684</v>
      </c>
      <c r="M571" s="1295">
        <v>-5.9955164390096174</v>
      </c>
      <c r="N571" s="1295">
        <v>0.9546927428930112</v>
      </c>
      <c r="O571" s="1295">
        <v>-11.072640868974876</v>
      </c>
      <c r="P571" s="1295">
        <v>-6.4081558346986949</v>
      </c>
      <c r="R571" s="229"/>
      <c r="S571" s="229"/>
      <c r="T571" s="229"/>
      <c r="U571" s="229"/>
      <c r="V571" s="229"/>
      <c r="W571" s="229"/>
      <c r="X571" s="229"/>
      <c r="Y571" s="229"/>
      <c r="Z571" s="229"/>
      <c r="AA571" s="229"/>
      <c r="AB571" s="229"/>
      <c r="AC571" s="229"/>
    </row>
    <row r="572" spans="3:42" s="171" customFormat="1" ht="15" customHeight="1">
      <c r="C572" s="1340"/>
      <c r="D572" s="172" t="str">
        <f>IF(Indice_index!$Z$1=1,"novembro","November")</f>
        <v>November</v>
      </c>
      <c r="E572" s="1296">
        <v>6.4806480648064806</v>
      </c>
      <c r="F572" s="1296">
        <v>19.767441860465116</v>
      </c>
      <c r="G572" s="1296">
        <v>-8.2663605051664764</v>
      </c>
      <c r="H572" s="1296">
        <v>0.82205029013539643</v>
      </c>
      <c r="I572" s="1296">
        <v>0.34423407917383825</v>
      </c>
      <c r="J572" s="1296">
        <v>-9.690802327995101</v>
      </c>
      <c r="K572" s="1296">
        <v>27.931887816267697</v>
      </c>
      <c r="L572" s="1296">
        <v>2.9603281138616149</v>
      </c>
      <c r="M572" s="1296">
        <v>-5.600200726058632</v>
      </c>
      <c r="N572" s="1296">
        <v>0.9995907799451953</v>
      </c>
      <c r="O572" s="1296">
        <v>-14.036321780278808</v>
      </c>
      <c r="P572" s="1296">
        <v>12.225034066575812</v>
      </c>
      <c r="R572" s="229"/>
      <c r="S572" s="229"/>
      <c r="T572" s="229"/>
      <c r="U572" s="229"/>
      <c r="V572" s="229"/>
      <c r="W572" s="229"/>
      <c r="X572" s="229"/>
      <c r="Y572" s="229"/>
      <c r="Z572" s="229"/>
      <c r="AA572" s="229"/>
      <c r="AB572" s="229"/>
      <c r="AC572" s="229"/>
    </row>
    <row r="573" spans="3:42" s="171" customFormat="1" ht="15" customHeight="1">
      <c r="C573" s="1340"/>
      <c r="D573" s="172" t="str">
        <f>IF(Indice_index!$Z$1=1,"dezembro","December")</f>
        <v>December</v>
      </c>
      <c r="E573" s="1305">
        <v>19.01608325449385</v>
      </c>
      <c r="F573" s="1305">
        <v>-18.867924528301888</v>
      </c>
      <c r="G573" s="1305">
        <v>-10.123734533183352</v>
      </c>
      <c r="H573" s="1305">
        <v>4.4346978557504872</v>
      </c>
      <c r="I573" s="1305">
        <v>-10.170807453416149</v>
      </c>
      <c r="J573" s="1305">
        <v>-7.0280443294290809</v>
      </c>
      <c r="K573" s="1305">
        <v>-18.226872590732171</v>
      </c>
      <c r="L573" s="1305">
        <v>-9.4014733085164384</v>
      </c>
      <c r="M573" s="1305">
        <v>-8.052363887392282</v>
      </c>
      <c r="N573" s="1305">
        <v>-6.4650862252319223</v>
      </c>
      <c r="O573" s="1305">
        <v>-20.150636619044779</v>
      </c>
      <c r="P573" s="1305">
        <v>0.81780144541652111</v>
      </c>
      <c r="R573" s="229"/>
      <c r="S573" s="229"/>
      <c r="T573" s="229"/>
      <c r="U573" s="229"/>
      <c r="V573" s="229"/>
      <c r="W573" s="229"/>
      <c r="X573" s="229"/>
      <c r="Y573" s="229"/>
      <c r="Z573" s="229"/>
      <c r="AA573" s="229"/>
      <c r="AB573" s="229"/>
      <c r="AC573" s="229"/>
    </row>
    <row r="574" spans="3:42" ht="15" customHeight="1">
      <c r="C574" s="1298" t="s">
        <v>73</v>
      </c>
      <c r="D574" s="171"/>
      <c r="E574" s="1149"/>
      <c r="F574" s="1149"/>
      <c r="G574" s="1149"/>
      <c r="H574" s="1149"/>
      <c r="I574" s="1149"/>
      <c r="J574" s="1149"/>
      <c r="K574" s="1149"/>
      <c r="L574" s="1149"/>
      <c r="N574" s="1149"/>
      <c r="O574" s="1149"/>
      <c r="P574" s="1149"/>
      <c r="R574" s="230"/>
      <c r="S574" s="230"/>
      <c r="T574" s="230"/>
      <c r="U574" s="230"/>
      <c r="V574" s="230"/>
      <c r="W574" s="230"/>
      <c r="X574" s="230"/>
      <c r="Y574" s="230"/>
      <c r="Z574" s="230"/>
      <c r="AA574" s="230"/>
      <c r="AB574" s="230"/>
      <c r="AC574" s="230"/>
    </row>
    <row r="575" spans="3:42" s="171" customFormat="1" ht="15" customHeight="1">
      <c r="C575" s="1340"/>
      <c r="D575" s="172" t="str">
        <f>IF(Indice_index!$Z$1=1,"janeiro","January")</f>
        <v>January</v>
      </c>
      <c r="E575" s="1306">
        <v>40.33203125</v>
      </c>
      <c r="F575" s="1306">
        <v>10.344827586206897</v>
      </c>
      <c r="G575" s="1306">
        <v>-8.112094395280236</v>
      </c>
      <c r="H575" s="1306">
        <v>20.514253773057575</v>
      </c>
      <c r="I575" s="1306">
        <v>0.45489006823351025</v>
      </c>
      <c r="J575" s="1306">
        <v>22.305863522315818</v>
      </c>
      <c r="K575" s="1306">
        <v>1.6508153079192049</v>
      </c>
      <c r="L575" s="1306">
        <v>-13.902845481270507</v>
      </c>
      <c r="M575" s="1306">
        <v>14.911728527222698</v>
      </c>
      <c r="N575" s="1306">
        <v>4.814647640107542</v>
      </c>
      <c r="O575" s="1306">
        <v>-12.258681108633329</v>
      </c>
      <c r="P575" s="1306">
        <v>-6.2943423685646742</v>
      </c>
      <c r="R575" s="230"/>
      <c r="S575" s="230"/>
      <c r="T575" s="230"/>
      <c r="U575" s="230"/>
      <c r="V575" s="230"/>
      <c r="W575" s="230"/>
      <c r="X575" s="230"/>
      <c r="Y575" s="230"/>
      <c r="Z575" s="230"/>
      <c r="AA575" s="230"/>
      <c r="AB575" s="230"/>
      <c r="AC575" s="230"/>
      <c r="AD575" s="418"/>
      <c r="AE575" s="418"/>
      <c r="AF575" s="418"/>
      <c r="AG575" s="418"/>
      <c r="AH575" s="418"/>
      <c r="AI575" s="418"/>
      <c r="AJ575" s="418"/>
      <c r="AK575" s="418"/>
      <c r="AL575" s="418"/>
      <c r="AM575" s="418"/>
      <c r="AN575" s="418"/>
      <c r="AO575" s="418"/>
    </row>
    <row r="576" spans="3:42" s="171" customFormat="1" ht="15" customHeight="1">
      <c r="C576" s="1340"/>
      <c r="D576" s="172" t="str">
        <f>IF(Indice_index!$Z$1=1,"fevereiro","February")</f>
        <v>February</v>
      </c>
      <c r="E576" s="1307">
        <v>51.415628539071342</v>
      </c>
      <c r="F576" s="1307">
        <v>-48.514851485148512</v>
      </c>
      <c r="G576" s="1307">
        <v>-16.746411483253588</v>
      </c>
      <c r="H576" s="1307">
        <v>14.560439560439562</v>
      </c>
      <c r="I576" s="1307">
        <v>-10.786650774731823</v>
      </c>
      <c r="J576" s="1307">
        <v>45.549798815759672</v>
      </c>
      <c r="K576" s="1307">
        <v>-34.053268290232694</v>
      </c>
      <c r="L576" s="1307">
        <v>-11.666590267175669</v>
      </c>
      <c r="M576" s="1307">
        <v>27.194810628425365</v>
      </c>
      <c r="N576" s="1307">
        <v>-10.82566351975551</v>
      </c>
      <c r="O576" s="1307">
        <v>-0.90953613657034915</v>
      </c>
      <c r="P576" s="1308">
        <v>6.1042274052478138</v>
      </c>
      <c r="R576" s="230"/>
      <c r="S576" s="230"/>
      <c r="T576" s="230"/>
      <c r="U576" s="230"/>
      <c r="V576" s="230"/>
      <c r="W576" s="230"/>
      <c r="X576" s="230"/>
      <c r="Y576" s="230"/>
      <c r="Z576" s="230"/>
      <c r="AA576" s="230"/>
      <c r="AB576" s="230"/>
      <c r="AC576" s="230"/>
      <c r="AD576" s="418"/>
      <c r="AE576" s="418"/>
      <c r="AF576" s="418"/>
      <c r="AG576" s="418"/>
      <c r="AH576" s="418"/>
      <c r="AI576" s="418"/>
      <c r="AJ576" s="418"/>
      <c r="AK576" s="418"/>
      <c r="AL576" s="418"/>
      <c r="AM576" s="418"/>
      <c r="AN576" s="418"/>
      <c r="AO576" s="418"/>
    </row>
    <row r="577" spans="3:42" s="171" customFormat="1" ht="15" customHeight="1">
      <c r="C577" s="1340"/>
      <c r="D577" s="172" t="str">
        <f>IF(Indice_index!$Z$1=1,"março","March")</f>
        <v>March</v>
      </c>
      <c r="E577" s="1309">
        <v>8.7837837837837842</v>
      </c>
      <c r="F577" s="1309">
        <v>-63.513513513513509</v>
      </c>
      <c r="G577" s="1309">
        <v>-30.241187384044526</v>
      </c>
      <c r="H577" s="1309">
        <v>-16.095890410958905</v>
      </c>
      <c r="I577" s="1309">
        <v>-41.455301455301459</v>
      </c>
      <c r="J577" s="1309">
        <v>8.5940753215003394</v>
      </c>
      <c r="K577" s="1309">
        <v>-30.92030818300206</v>
      </c>
      <c r="L577" s="1309">
        <v>-41.223820233966045</v>
      </c>
      <c r="M577" s="1309">
        <v>-6.5820380084581718</v>
      </c>
      <c r="N577" s="1309">
        <v>-39.410469630938792</v>
      </c>
      <c r="O577" s="1309">
        <v>9.9517534384676356</v>
      </c>
      <c r="P577" s="1310">
        <v>-15.746924428822501</v>
      </c>
      <c r="R577" s="230"/>
      <c r="S577" s="230"/>
      <c r="T577" s="230"/>
      <c r="U577" s="230"/>
      <c r="V577" s="230"/>
      <c r="W577" s="230"/>
      <c r="X577" s="230"/>
      <c r="Y577" s="230"/>
      <c r="Z577" s="230"/>
      <c r="AA577" s="230"/>
      <c r="AB577" s="230"/>
      <c r="AC577" s="230"/>
      <c r="AD577" s="418"/>
      <c r="AE577" s="418"/>
      <c r="AF577" s="418"/>
      <c r="AG577" s="418"/>
      <c r="AH577" s="418"/>
      <c r="AI577" s="418"/>
      <c r="AJ577" s="418"/>
      <c r="AK577" s="418"/>
      <c r="AL577" s="418"/>
      <c r="AM577" s="418"/>
      <c r="AN577" s="418"/>
      <c r="AO577" s="418"/>
    </row>
    <row r="578" spans="3:42" ht="15" customHeight="1">
      <c r="C578" s="1340"/>
      <c r="D578" s="172" t="str">
        <f>IF(Indice_index!$Z$1=1,"abril","April")</f>
        <v>April</v>
      </c>
      <c r="E578" s="1291">
        <v>3.9750584567420111</v>
      </c>
      <c r="F578" s="1291">
        <v>-6.9444444444444446</v>
      </c>
      <c r="G578" s="1291">
        <v>-24.595469255663431</v>
      </c>
      <c r="H578" s="1291">
        <v>-9.95754534928599</v>
      </c>
      <c r="I578" s="1291">
        <v>-27.38821138211382</v>
      </c>
      <c r="J578" s="1291">
        <v>10.23626176330926</v>
      </c>
      <c r="K578" s="1291">
        <v>-0.726983799668946</v>
      </c>
      <c r="L578" s="1291">
        <v>-30.943539529049314</v>
      </c>
      <c r="M578" s="1291">
        <v>-1.383180120779361</v>
      </c>
      <c r="N578" s="1291">
        <v>-27.141627720027167</v>
      </c>
      <c r="O578" s="1291">
        <v>6.2143218440638766</v>
      </c>
      <c r="P578" s="1291">
        <v>-8.4173913043478219</v>
      </c>
      <c r="R578" s="230"/>
      <c r="S578" s="230"/>
      <c r="T578" s="230"/>
      <c r="U578" s="230"/>
      <c r="V578" s="230"/>
      <c r="W578" s="230"/>
      <c r="X578" s="230"/>
      <c r="Y578" s="230"/>
      <c r="Z578" s="230"/>
      <c r="AA578" s="230"/>
      <c r="AB578" s="230"/>
      <c r="AC578" s="230"/>
      <c r="AD578" s="418"/>
      <c r="AE578" s="418"/>
      <c r="AF578" s="418"/>
      <c r="AG578" s="418"/>
      <c r="AH578" s="418"/>
      <c r="AI578" s="418"/>
      <c r="AJ578" s="418"/>
      <c r="AK578" s="418"/>
      <c r="AL578" s="418"/>
      <c r="AM578" s="418"/>
      <c r="AN578" s="418"/>
      <c r="AO578" s="418"/>
      <c r="AP578" s="171"/>
    </row>
    <row r="579" spans="3:42" ht="15" customHeight="1">
      <c r="C579" s="1340"/>
      <c r="D579" s="172" t="str">
        <f>IF(Indice_index!$Z$1=1,"maio","May")</f>
        <v>May</v>
      </c>
      <c r="E579" s="1300">
        <v>18.807339449541285</v>
      </c>
      <c r="F579" s="1300">
        <v>-30</v>
      </c>
      <c r="G579" s="1300">
        <v>-20.821114369501466</v>
      </c>
      <c r="H579" s="1300">
        <v>0</v>
      </c>
      <c r="I579" s="1300">
        <v>7.9491255961844196</v>
      </c>
      <c r="J579" s="1300">
        <v>38.494988235755002</v>
      </c>
      <c r="K579" s="1300">
        <v>-35.02629038086301</v>
      </c>
      <c r="L579" s="1300">
        <v>-17.264874383035178</v>
      </c>
      <c r="M579" s="1300">
        <v>22.220851039469331</v>
      </c>
      <c r="N579" s="1300">
        <v>10.554701472596266</v>
      </c>
      <c r="O579" s="1300">
        <v>16.041030117852468</v>
      </c>
      <c r="P579" s="1300">
        <v>4.4960383268840936</v>
      </c>
      <c r="R579" s="230"/>
      <c r="S579" s="230"/>
      <c r="T579" s="230"/>
      <c r="U579" s="230"/>
      <c r="V579" s="230"/>
      <c r="W579" s="230"/>
      <c r="X579" s="230"/>
      <c r="Y579" s="230"/>
      <c r="Z579" s="230"/>
      <c r="AA579" s="230"/>
      <c r="AB579" s="230"/>
      <c r="AC579" s="230"/>
      <c r="AD579" s="418"/>
      <c r="AE579" s="418"/>
      <c r="AF579" s="418"/>
      <c r="AG579" s="418"/>
      <c r="AH579" s="418"/>
      <c r="AI579" s="418"/>
      <c r="AJ579" s="418"/>
      <c r="AK579" s="418"/>
      <c r="AL579" s="418"/>
      <c r="AM579" s="418"/>
      <c r="AN579" s="418"/>
      <c r="AO579" s="418"/>
      <c r="AP579" s="171"/>
    </row>
    <row r="580" spans="3:42" ht="15" customHeight="1">
      <c r="C580" s="1340"/>
      <c r="D580" s="172" t="str">
        <f>IF(Indice_index!$Z$1=1,"junho","June")</f>
        <v>June</v>
      </c>
      <c r="E580" s="1301">
        <v>23.243243243243246</v>
      </c>
      <c r="F580" s="1301">
        <v>-12.612612612612612</v>
      </c>
      <c r="G580" s="1301">
        <v>-10.492505353319057</v>
      </c>
      <c r="H580" s="1301">
        <v>8.0769230769230766</v>
      </c>
      <c r="I580" s="1301">
        <v>18.263205013428827</v>
      </c>
      <c r="J580" s="1301">
        <v>54.366247694733858</v>
      </c>
      <c r="K580" s="1301">
        <v>-18.612591684026185</v>
      </c>
      <c r="L580" s="1301">
        <v>-10.771702382327014</v>
      </c>
      <c r="M580" s="1301">
        <v>36.078310418312739</v>
      </c>
      <c r="N580" s="1301">
        <v>23.857149090524139</v>
      </c>
      <c r="O580" s="1301">
        <v>23.790599923576611</v>
      </c>
      <c r="P580" s="1301">
        <v>-0.3114694027116035</v>
      </c>
      <c r="R580" s="230"/>
      <c r="S580" s="230"/>
      <c r="T580" s="230"/>
      <c r="U580" s="230"/>
      <c r="V580" s="230"/>
      <c r="W580" s="230"/>
      <c r="X580" s="230"/>
      <c r="Y580" s="230"/>
      <c r="Z580" s="230"/>
      <c r="AA580" s="230"/>
      <c r="AB580" s="230"/>
      <c r="AC580" s="230"/>
    </row>
    <row r="581" spans="3:42" ht="15" customHeight="1">
      <c r="C581" s="1340"/>
      <c r="D581" s="172" t="str">
        <f>IF(Indice_index!$Z$1=1,"julho","July")</f>
        <v>July</v>
      </c>
      <c r="E581" s="1302">
        <v>-30.87855297157623</v>
      </c>
      <c r="F581" s="1302">
        <v>-25.233644859813083</v>
      </c>
      <c r="G581" s="1302">
        <v>-10.273081924577374</v>
      </c>
      <c r="H581" s="1302">
        <v>-24.092409240924091</v>
      </c>
      <c r="I581" s="1302">
        <v>13.936651583710407</v>
      </c>
      <c r="J581" s="1302">
        <v>-16.557965022558076</v>
      </c>
      <c r="K581" s="1302">
        <v>-26.381531179405748</v>
      </c>
      <c r="L581" s="1302">
        <v>-4.3492300729846729</v>
      </c>
      <c r="M581" s="1302">
        <v>-15.184254271403594</v>
      </c>
      <c r="N581" s="1302">
        <v>11.071876292484903</v>
      </c>
      <c r="O581" s="1302">
        <v>19.256885633630873</v>
      </c>
      <c r="P581" s="1302">
        <v>6.6193853427896023</v>
      </c>
      <c r="R581" s="230"/>
      <c r="S581" s="230"/>
      <c r="T581" s="230"/>
      <c r="U581" s="230"/>
      <c r="V581" s="230"/>
      <c r="W581" s="230"/>
      <c r="X581" s="230"/>
      <c r="Y581" s="230"/>
      <c r="Z581" s="230"/>
      <c r="AA581" s="230"/>
      <c r="AB581" s="230"/>
      <c r="AC581" s="230"/>
    </row>
    <row r="582" spans="3:42" ht="15" customHeight="1">
      <c r="C582" s="1340"/>
      <c r="D582" s="172" t="str">
        <f>IF(Indice_index!$Z$1=1,"agosto","August")</f>
        <v>August</v>
      </c>
      <c r="E582" s="1303">
        <v>-21.534320323014803</v>
      </c>
      <c r="F582" s="1303">
        <v>-36.507936507936506</v>
      </c>
      <c r="G582" s="1303">
        <v>-10.196987253765933</v>
      </c>
      <c r="H582" s="1303">
        <v>-18.343434343434343</v>
      </c>
      <c r="I582" s="1303">
        <v>29.017013232514177</v>
      </c>
      <c r="J582" s="1303">
        <v>-0.51099783583984504</v>
      </c>
      <c r="K582" s="1303">
        <v>-39.274236561710566</v>
      </c>
      <c r="L582" s="1303">
        <v>-2.673506885388639</v>
      </c>
      <c r="M582" s="1303">
        <v>-3.1128428435897515</v>
      </c>
      <c r="N582" s="1303">
        <v>36.404253231242009</v>
      </c>
      <c r="O582" s="1303">
        <v>25.221308883970906</v>
      </c>
      <c r="P582" s="1303">
        <v>8.3793738489871075</v>
      </c>
      <c r="X582" s="229"/>
      <c r="Y582" s="229"/>
      <c r="Z582" s="229"/>
      <c r="AA582" s="229"/>
    </row>
    <row r="583" spans="3:42" s="171" customFormat="1" ht="15" customHeight="1">
      <c r="C583" s="1340"/>
      <c r="D583" s="172" t="str">
        <f>IF(Indice_index!$Z$1=1,"setembro","September")</f>
        <v>September</v>
      </c>
      <c r="E583" s="1311">
        <v>11.631799163179917</v>
      </c>
      <c r="F583" s="1311">
        <v>0</v>
      </c>
      <c r="G583" s="1311">
        <v>15.384615384615385</v>
      </c>
      <c r="H583" s="1311">
        <v>12.481352560914969</v>
      </c>
      <c r="I583" s="1311">
        <v>15.37777777777778</v>
      </c>
      <c r="J583" s="1311">
        <v>23.445396569347331</v>
      </c>
      <c r="K583" s="1311">
        <v>19.337407913023544</v>
      </c>
      <c r="L583" s="1311">
        <v>8.998576602709484</v>
      </c>
      <c r="M583" s="1311">
        <v>20.796074168410534</v>
      </c>
      <c r="N583" s="1311">
        <v>10.053629495858649</v>
      </c>
      <c r="O583" s="1311">
        <v>11.190768810596758</v>
      </c>
      <c r="P583" s="1312">
        <v>-5.5368499812944298</v>
      </c>
      <c r="R583" s="229"/>
      <c r="S583" s="229"/>
      <c r="T583" s="229"/>
      <c r="U583" s="229"/>
      <c r="V583" s="229"/>
      <c r="W583" s="229"/>
      <c r="X583" s="229"/>
      <c r="Y583" s="229"/>
      <c r="Z583" s="229"/>
      <c r="AA583" s="229"/>
      <c r="AB583" s="229"/>
      <c r="AC583" s="229"/>
    </row>
    <row r="584" spans="3:42" s="171" customFormat="1" ht="15" customHeight="1">
      <c r="C584" s="1340"/>
      <c r="D584" s="172" t="str">
        <f>IF(Indice_index!$Z$1=1,"outubro","October")</f>
        <v>October</v>
      </c>
      <c r="E584" s="1295">
        <v>6.8720379146919433</v>
      </c>
      <c r="F584" s="1295">
        <v>-28.000000000000004</v>
      </c>
      <c r="G584" s="1295">
        <v>26.742301458670987</v>
      </c>
      <c r="H584" s="1295">
        <v>11.29601613716591</v>
      </c>
      <c r="I584" s="1295">
        <v>4.8800661703887513</v>
      </c>
      <c r="J584" s="1295">
        <v>31.487891891253621</v>
      </c>
      <c r="K584" s="1295">
        <v>-25.111854241096804</v>
      </c>
      <c r="L584" s="1295">
        <v>21.328674503232854</v>
      </c>
      <c r="M584" s="1295">
        <v>26.664178590580928</v>
      </c>
      <c r="N584" s="1295">
        <v>9.7256432305006459</v>
      </c>
      <c r="O584" s="1295">
        <v>22.329948851057331</v>
      </c>
      <c r="P584" s="1295">
        <v>-4.2598716203073392</v>
      </c>
      <c r="R584" s="229"/>
      <c r="S584" s="229"/>
      <c r="T584" s="229"/>
      <c r="U584" s="229"/>
      <c r="V584" s="229"/>
      <c r="W584" s="229"/>
      <c r="X584" s="229"/>
      <c r="Y584" s="229"/>
      <c r="Z584" s="229"/>
      <c r="AA584" s="229"/>
      <c r="AB584" s="229"/>
      <c r="AC584" s="229"/>
    </row>
    <row r="585" spans="3:42" s="171" customFormat="1" ht="12.75" customHeight="1">
      <c r="C585" s="1340"/>
      <c r="D585" s="172" t="str">
        <f>IF(Indice_index!$Z$1=1,"novembro","November")</f>
        <v>November</v>
      </c>
      <c r="E585" s="1356">
        <v>-6.3398140321217236</v>
      </c>
      <c r="F585" s="1356">
        <v>-31.067961165048541</v>
      </c>
      <c r="G585" s="1356">
        <v>8.8861076345431798</v>
      </c>
      <c r="H585" s="1356">
        <v>-1.7266187050359711</v>
      </c>
      <c r="I585" s="1356">
        <v>-0.34305317324185247</v>
      </c>
      <c r="J585" s="1356">
        <v>7.263631800449426</v>
      </c>
      <c r="K585" s="1356">
        <v>-39.687454326578397</v>
      </c>
      <c r="L585" s="1356">
        <v>10.715952594147577</v>
      </c>
      <c r="M585" s="1356">
        <v>5.1992948307433275</v>
      </c>
      <c r="N585" s="1356">
        <v>3.2225717285958813</v>
      </c>
      <c r="O585" s="1356">
        <v>13.14438741352377</v>
      </c>
      <c r="P585" s="1355">
        <v>1.6825672159583773</v>
      </c>
      <c r="R585" s="229"/>
      <c r="S585" s="229"/>
      <c r="T585" s="229"/>
      <c r="U585" s="229"/>
      <c r="V585" s="229"/>
      <c r="W585" s="229"/>
      <c r="X585" s="229"/>
      <c r="Y585" s="229"/>
      <c r="Z585" s="229"/>
      <c r="AA585" s="229"/>
      <c r="AB585" s="229"/>
      <c r="AC585" s="229"/>
    </row>
    <row r="586" spans="3:42" s="171" customFormat="1" ht="2.25" hidden="1" customHeight="1">
      <c r="C586" s="1340"/>
      <c r="D586" s="172" t="str">
        <f>IF(Indice_index!$Z$1=1,"dezembro","December")</f>
        <v>December</v>
      </c>
      <c r="E586" s="1305"/>
      <c r="F586" s="1305"/>
      <c r="G586" s="1305"/>
      <c r="H586" s="1305"/>
      <c r="I586" s="1305"/>
      <c r="J586" s="1305"/>
      <c r="K586" s="1305"/>
      <c r="L586" s="1305"/>
      <c r="M586" s="1305"/>
      <c r="N586" s="1305"/>
      <c r="O586" s="1305"/>
      <c r="P586" s="1305"/>
      <c r="R586" s="229"/>
      <c r="S586" s="229"/>
      <c r="T586" s="229"/>
      <c r="U586" s="229"/>
      <c r="V586" s="229"/>
      <c r="W586" s="229"/>
      <c r="X586" s="229"/>
      <c r="Y586" s="229"/>
      <c r="Z586" s="229"/>
      <c r="AA586" s="229"/>
      <c r="AB586" s="229"/>
      <c r="AC586" s="229"/>
    </row>
    <row r="587" spans="3:42" ht="4.5" hidden="1" customHeight="1">
      <c r="C587" s="1345"/>
      <c r="D587" s="1344"/>
      <c r="E587" s="1344"/>
      <c r="F587" s="1344"/>
      <c r="G587" s="1344"/>
      <c r="H587" s="1344"/>
      <c r="I587" s="1344"/>
      <c r="J587" s="1344"/>
      <c r="K587" s="1344"/>
      <c r="L587" s="1344"/>
      <c r="M587" s="1344"/>
      <c r="N587" s="1344"/>
      <c r="O587" s="1344"/>
      <c r="P587" s="1344"/>
      <c r="X587" s="229"/>
      <c r="Y587" s="229"/>
      <c r="Z587" s="229"/>
      <c r="AA587" s="229"/>
    </row>
    <row r="588" spans="3:42" ht="14.25" customHeight="1">
      <c r="C588" s="1313"/>
      <c r="D588" s="171"/>
      <c r="E588" s="1149"/>
      <c r="F588" s="1149"/>
      <c r="G588" s="1149"/>
      <c r="H588" s="1149"/>
      <c r="I588" s="1149"/>
      <c r="J588" s="1149"/>
      <c r="K588" s="1149"/>
      <c r="L588" s="1149"/>
      <c r="M588" s="1149"/>
      <c r="N588" s="1149"/>
      <c r="O588" s="1149"/>
      <c r="P588" s="1149"/>
    </row>
    <row r="589" spans="3:42" ht="5.15" customHeight="1">
      <c r="C589" s="1313"/>
    </row>
    <row r="590" spans="3:42" ht="15" customHeight="1">
      <c r="C590" s="1314" t="str">
        <f>IF(Indice_index!$Z$1=1,"Notas:","Notes:")</f>
        <v>Notes:</v>
      </c>
      <c r="L590" s="229"/>
      <c r="M590" s="229"/>
      <c r="N590" s="229"/>
      <c r="O590" s="229"/>
      <c r="P590" s="229"/>
    </row>
    <row r="591" spans="3:42" ht="31.5" customHeight="1">
      <c r="C591" s="1789" t="str">
        <f>IF(Indice_index!$Z$1=1,C594,C595)</f>
        <v>From the 1st July 2014, the responsibility on pension supplements, previously paid by the Military Forces Pension Fund, was transferred to the CGA. This is reflected in the "Survival and Other" component.</v>
      </c>
      <c r="D591" s="1789"/>
      <c r="E591" s="1789"/>
      <c r="F591" s="1789"/>
      <c r="G591" s="1789"/>
      <c r="H591" s="1789"/>
      <c r="I591" s="1789"/>
      <c r="J591" s="1789"/>
      <c r="K591" s="1789"/>
      <c r="L591" s="1789"/>
      <c r="M591" s="1789"/>
      <c r="N591" s="1789"/>
      <c r="O591" s="1789"/>
      <c r="P591" s="1789"/>
    </row>
    <row r="592" spans="3:42" ht="34.5" customHeight="1">
      <c r="C592" s="1789" t="str">
        <f>IF(Indice_index!$Z$1=1,C596,C597)</f>
        <v>The increase in the number of pensioners and pension expenditure in the item "Survival and Others Pensions" as of October 2017 is the result of the transfer to Caixa Geral de Aposentações, IP, of the financial burden with the pension supplements of Carris’ employees (Law Decree nr. 95/2017 of August 10th). - These supplements have a direct impact on the decrease of the item "Average Value paid per new Survival and Others Pensioner".</v>
      </c>
      <c r="D592" s="1789"/>
      <c r="E592" s="1789"/>
      <c r="F592" s="1789"/>
      <c r="G592" s="1789"/>
      <c r="H592" s="1789"/>
      <c r="I592" s="1789"/>
      <c r="J592" s="1789"/>
      <c r="K592" s="1789"/>
      <c r="L592" s="1789"/>
      <c r="M592" s="1789"/>
      <c r="N592" s="1789"/>
      <c r="O592" s="1789"/>
      <c r="P592" s="1789"/>
    </row>
    <row r="593" spans="3:27" ht="5.15" customHeight="1">
      <c r="C593" s="1313"/>
    </row>
    <row r="594" spans="3:27" s="173" customFormat="1" ht="26.25" hidden="1" customHeight="1">
      <c r="C594" s="1790" t="s">
        <v>57</v>
      </c>
      <c r="D594" s="1790"/>
      <c r="E594" s="1790"/>
      <c r="F594" s="1790"/>
      <c r="G594" s="1790"/>
      <c r="H594" s="1790"/>
      <c r="I594" s="1790"/>
      <c r="J594" s="1790"/>
      <c r="K594" s="1790"/>
      <c r="L594" s="1790"/>
      <c r="M594" s="1790"/>
      <c r="N594" s="1790"/>
      <c r="O594" s="1790"/>
      <c r="P594" s="1790"/>
      <c r="X594" s="103"/>
      <c r="Y594" s="103"/>
      <c r="Z594" s="103"/>
      <c r="AA594" s="174"/>
    </row>
    <row r="595" spans="3:27" s="173" customFormat="1" ht="15" hidden="1" customHeight="1">
      <c r="C595" s="1315" t="s">
        <v>14</v>
      </c>
      <c r="X595" s="103"/>
      <c r="Y595" s="103"/>
      <c r="Z595" s="103"/>
      <c r="AA595" s="174"/>
    </row>
    <row r="596" spans="3:27" s="173" customFormat="1" ht="36.75" hidden="1" customHeight="1">
      <c r="C596" s="1790" t="s">
        <v>55</v>
      </c>
      <c r="D596" s="1790"/>
      <c r="E596" s="1790"/>
      <c r="F596" s="1790"/>
      <c r="G596" s="1790"/>
      <c r="H596" s="1790"/>
      <c r="I596" s="1790"/>
      <c r="J596" s="1790"/>
      <c r="K596" s="1790"/>
      <c r="L596" s="1790"/>
      <c r="M596" s="1790"/>
      <c r="N596" s="1790"/>
      <c r="O596" s="1790"/>
      <c r="P596" s="1790"/>
      <c r="X596" s="103"/>
      <c r="Y596" s="103"/>
      <c r="Z596" s="103"/>
      <c r="AA596" s="174"/>
    </row>
    <row r="597" spans="3:27" s="173" customFormat="1" ht="36.75" hidden="1" customHeight="1">
      <c r="C597" s="1790" t="s">
        <v>56</v>
      </c>
      <c r="D597" s="1790"/>
      <c r="E597" s="1790"/>
      <c r="F597" s="1790"/>
      <c r="G597" s="1790"/>
      <c r="H597" s="1790"/>
      <c r="I597" s="1790"/>
      <c r="J597" s="1790"/>
      <c r="K597" s="1790"/>
      <c r="L597" s="1790"/>
      <c r="M597" s="1790"/>
      <c r="N597" s="1790"/>
      <c r="O597" s="1790"/>
      <c r="P597" s="1790"/>
      <c r="X597" s="103"/>
      <c r="Y597" s="103"/>
      <c r="Z597" s="103"/>
      <c r="AA597" s="174"/>
    </row>
    <row r="598" spans="3:27" ht="15" customHeight="1">
      <c r="C598" s="229" t="str">
        <f>IF(Indice_index!$Z$1=1,"Fonte: Caixa Geral de Aposentações, I.P.","Source: CGA - Public Servants Social Scheme")</f>
        <v>Source: CGA - Public Servants Social Scheme</v>
      </c>
    </row>
  </sheetData>
  <mergeCells count="27">
    <mergeCell ref="C591:P591"/>
    <mergeCell ref="C592:P592"/>
    <mergeCell ref="C594:P594"/>
    <mergeCell ref="C596:P596"/>
    <mergeCell ref="C597:P597"/>
    <mergeCell ref="E454:I454"/>
    <mergeCell ref="J454:N454"/>
    <mergeCell ref="O454:O456"/>
    <mergeCell ref="P454:P456"/>
    <mergeCell ref="E455:H455"/>
    <mergeCell ref="I455:I456"/>
    <mergeCell ref="J455:M455"/>
    <mergeCell ref="N455:N456"/>
    <mergeCell ref="E304:I304"/>
    <mergeCell ref="J304:N304"/>
    <mergeCell ref="O304:O306"/>
    <mergeCell ref="P304:P306"/>
    <mergeCell ref="E305:H305"/>
    <mergeCell ref="I305:I306"/>
    <mergeCell ref="J305:M305"/>
    <mergeCell ref="N305:N306"/>
    <mergeCell ref="E6:H6"/>
    <mergeCell ref="I6:I7"/>
    <mergeCell ref="K6:K7"/>
    <mergeCell ref="E155:H155"/>
    <mergeCell ref="I155:I156"/>
    <mergeCell ref="K155:K156"/>
  </mergeCells>
  <printOptions horizontalCentered="1"/>
  <pageMargins left="0.70866141732283472" right="0.70866141732283472" top="0.74803149606299213" bottom="0.74803149606299213" header="0.74803149606299213" footer="0.35433070866141736"/>
  <pageSetup paperSize="9" scale="56" fitToHeight="4" orientation="portrait" r:id="rId1"/>
  <headerFooter differentOddEven="1">
    <oddFooter>&amp;R&amp;G</oddFooter>
    <evenFooter>&amp;L&amp;G</evenFooter>
  </headerFooter>
  <rowBreaks count="3" manualBreakCount="3">
    <brk id="153" max="16" man="1"/>
    <brk id="301" max="16" man="1"/>
    <brk id="452" max="16" man="1"/>
  </rowBreaks>
  <ignoredErrors>
    <ignoredError sqref="C8:C34 C47 C157:C196 C307:C346 C457:C483 C561 C424 C274 C125 C287 C437 C574 C138" numberStoredAsText="1"/>
  </ignoredErrors>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4"/>
  <dimension ref="B1:BL241"/>
  <sheetViews>
    <sheetView showGridLines="0" zoomScaleNormal="100" zoomScaleSheetLayoutView="100" workbookViewId="0">
      <selection activeCell="B2" sqref="B2"/>
    </sheetView>
  </sheetViews>
  <sheetFormatPr defaultColWidth="10" defaultRowHeight="14.5"/>
  <cols>
    <col min="1" max="1" width="1.81640625" style="175" customWidth="1"/>
    <col min="2" max="2" width="4.453125" style="175" customWidth="1"/>
    <col min="3" max="3" width="77.453125" style="175" customWidth="1"/>
    <col min="4" max="4" width="8.54296875" style="175" customWidth="1"/>
    <col min="5" max="5" width="19.81640625" style="176" hidden="1" customWidth="1"/>
    <col min="6" max="6" width="2.54296875" style="96" customWidth="1"/>
    <col min="7" max="7" width="10.26953125" style="175" hidden="1" customWidth="1"/>
    <col min="8" max="14" width="8.54296875" style="175" hidden="1" customWidth="1"/>
    <col min="15" max="17" width="8.54296875" style="175" customWidth="1"/>
    <col min="18" max="18" width="8.54296875" style="175" hidden="1" customWidth="1"/>
    <col min="19" max="19" width="8.81640625" style="175" customWidth="1"/>
    <col min="20" max="20" width="10.453125" style="175" customWidth="1"/>
    <col min="21" max="21" width="2.54296875" style="96" customWidth="1"/>
    <col min="22" max="29" width="8.54296875" style="175" hidden="1" customWidth="1"/>
    <col min="30" max="32" width="8.54296875" style="175" customWidth="1"/>
    <col min="33" max="33" width="8.54296875" style="175" hidden="1" customWidth="1"/>
    <col min="34" max="34" width="10.453125" style="175" customWidth="1"/>
    <col min="35" max="35" width="10" style="175"/>
    <col min="36" max="36" width="18.81640625" style="233" bestFit="1" customWidth="1"/>
    <col min="37" max="42" width="10" style="233"/>
    <col min="43" max="43" width="10" style="234"/>
    <col min="44" max="63" width="10" style="233"/>
    <col min="64" max="64" width="10" style="413"/>
    <col min="65" max="16384" width="10" style="175"/>
  </cols>
  <sheetData>
    <row r="1" spans="2:64" ht="15" customHeight="1">
      <c r="G1" s="178"/>
      <c r="V1" s="178"/>
    </row>
    <row r="2" spans="2:64" ht="24" customHeight="1">
      <c r="B2" s="8"/>
      <c r="C2" s="51" t="str">
        <f>IF(Indice_index!$Z$1=1,"20 - Efeitos temporários/especiais na conta da Administração Central e Segurança Social","20 - Temporary/special effects on the Central Government and Social Security Account")</f>
        <v>20 - Temporary/special effects on the Central Government and Social Security Account</v>
      </c>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G2" s="51"/>
      <c r="AH2" s="51"/>
    </row>
    <row r="3" spans="2:64" ht="30" customHeight="1">
      <c r="B3" s="50"/>
      <c r="C3" s="52"/>
      <c r="D3" s="52"/>
      <c r="E3" s="52"/>
    </row>
    <row r="4" spans="2:64" ht="15" customHeight="1">
      <c r="C4" s="1366"/>
      <c r="D4" s="179"/>
      <c r="E4" s="1367"/>
      <c r="G4" s="730"/>
      <c r="H4" s="730"/>
      <c r="I4" s="730"/>
      <c r="J4" s="730"/>
      <c r="K4" s="730"/>
      <c r="L4" s="179"/>
      <c r="M4" s="179"/>
      <c r="N4" s="179"/>
      <c r="O4" s="179"/>
      <c r="P4" s="179"/>
      <c r="Q4" s="179"/>
      <c r="R4" s="179"/>
      <c r="S4" s="179"/>
      <c r="T4" s="730"/>
      <c r="V4" s="730"/>
      <c r="W4" s="730"/>
      <c r="X4" s="730"/>
      <c r="Y4" s="730"/>
      <c r="Z4" s="730"/>
      <c r="AA4" s="179"/>
      <c r="AB4" s="179"/>
      <c r="AC4" s="179"/>
      <c r="AD4" s="179"/>
      <c r="AE4" s="179"/>
      <c r="AF4" s="179"/>
      <c r="AG4" s="179"/>
      <c r="AH4" s="730" t="str">
        <f>IF(Indice_index!$Z$1=1,"€ Milhões","€ Millions")</f>
        <v>€ Millions</v>
      </c>
    </row>
    <row r="5" spans="2:64" ht="27" customHeight="1">
      <c r="C5" s="1368"/>
      <c r="D5" s="1368"/>
      <c r="E5" s="1369" t="str">
        <f>IF(Indice_index!$Z$1=1,"Classificação económica","Economic classification")</f>
        <v>Economic classification</v>
      </c>
      <c r="F5" s="1370"/>
      <c r="G5" s="1791" t="str">
        <f>IF(Indice_index!$Z$1=1,"2021 - mensal e acumulado","2021 - monthly and cumulative")</f>
        <v>2021 - monthly and cumulative</v>
      </c>
      <c r="H5" s="1791" t="s">
        <v>15</v>
      </c>
      <c r="I5" s="1791" t="s">
        <v>15</v>
      </c>
      <c r="J5" s="1791" t="s">
        <v>15</v>
      </c>
      <c r="K5" s="1791" t="s">
        <v>15</v>
      </c>
      <c r="L5" s="1791" t="s">
        <v>15</v>
      </c>
      <c r="M5" s="1791" t="s">
        <v>15</v>
      </c>
      <c r="N5" s="1791" t="s">
        <v>15</v>
      </c>
      <c r="O5" s="1791" t="s">
        <v>15</v>
      </c>
      <c r="P5" s="1791" t="s">
        <v>15</v>
      </c>
      <c r="Q5" s="1791" t="s">
        <v>15</v>
      </c>
      <c r="R5" s="1791" t="s">
        <v>15</v>
      </c>
      <c r="S5" s="1791"/>
      <c r="T5" s="1791" t="s">
        <v>15</v>
      </c>
      <c r="U5" s="1370"/>
      <c r="V5" s="1791" t="str">
        <f>IF(Indice_index!$Z$1=1,"2022 - mensal e acumulado","2022 - monthly and cumulative")</f>
        <v>2022 - monthly and cumulative</v>
      </c>
      <c r="W5" s="1791" t="s">
        <v>15</v>
      </c>
      <c r="X5" s="1791" t="s">
        <v>15</v>
      </c>
      <c r="Y5" s="1791" t="s">
        <v>15</v>
      </c>
      <c r="Z5" s="1791" t="s">
        <v>15</v>
      </c>
      <c r="AA5" s="1791" t="s">
        <v>15</v>
      </c>
      <c r="AB5" s="1791" t="s">
        <v>15</v>
      </c>
      <c r="AC5" s="1791" t="s">
        <v>15</v>
      </c>
      <c r="AD5" s="1791" t="s">
        <v>15</v>
      </c>
      <c r="AE5" s="1791" t="s">
        <v>15</v>
      </c>
      <c r="AF5" s="1791" t="s">
        <v>15</v>
      </c>
      <c r="AG5" s="1791" t="s">
        <v>15</v>
      </c>
      <c r="AH5" s="1791" t="s">
        <v>15</v>
      </c>
    </row>
    <row r="6" spans="2:64" ht="22.4" customHeight="1">
      <c r="C6" s="1368"/>
      <c r="D6" s="1369"/>
      <c r="E6" s="1369"/>
      <c r="G6" s="1369" t="str">
        <f>IF(Indice_index!$Z$1=1,"jan","Jan")</f>
        <v>Jan</v>
      </c>
      <c r="H6" s="1369" t="str">
        <f>IF(Indice_index!$Z$1=1,"fev","Feb")</f>
        <v>Feb</v>
      </c>
      <c r="I6" s="1369" t="str">
        <f>IF(Indice_index!$Z$1=1,"mar","Mar")</f>
        <v>Mar</v>
      </c>
      <c r="J6" s="1369" t="str">
        <f>IF(Indice_index!$Z$1=1,"abr","Apr")</f>
        <v>Apr</v>
      </c>
      <c r="K6" s="1369" t="str">
        <f>IF(Indice_index!$Z$1=1,"mai","May")</f>
        <v>May</v>
      </c>
      <c r="L6" s="1369" t="str">
        <f>IF(Indice_index!$Z$1=1,"jun","Jun")</f>
        <v>Jun</v>
      </c>
      <c r="M6" s="1369" t="str">
        <f>IF(Indice_index!$Z$1=1,"jul","Jul")</f>
        <v>Jul</v>
      </c>
      <c r="N6" s="1369" t="str">
        <f>IF(Indice_index!$Z$1=1,"ago","Aug")</f>
        <v>Aug</v>
      </c>
      <c r="O6" s="1369" t="str">
        <f>IF(Indice_index!$Z$1=1,"set","Sep")</f>
        <v>Sep</v>
      </c>
      <c r="P6" s="1369" t="str">
        <f>IF(Indice_index!$Z$1=1,"out","Oct")</f>
        <v>Oct</v>
      </c>
      <c r="Q6" s="1369" t="str">
        <f>IF(Indice_index!$Z$1=1,"nov","Nov")</f>
        <v>Nov</v>
      </c>
      <c r="R6" s="1369" t="str">
        <f>IF(Indice_index!$Z$1=1,"dez","Dec")</f>
        <v>Dec</v>
      </c>
      <c r="S6" s="1369" t="str">
        <f>IF(Indice_index!$Z$1=1,"Ano até à data","Year to date")</f>
        <v>Year to date</v>
      </c>
      <c r="T6" s="1369" t="str">
        <f>IF(Indice_index!$Z$1=1,"Acumulado","Cumulative")</f>
        <v>Cumulative</v>
      </c>
      <c r="V6" s="1369" t="str">
        <f>IF(Indice_index!$Z$1=1,"jan","Jan")</f>
        <v>Jan</v>
      </c>
      <c r="W6" s="1369" t="str">
        <f>IF(Indice_index!$Z$1=1,"fev","Feb")</f>
        <v>Feb</v>
      </c>
      <c r="X6" s="1369" t="str">
        <f>IF(Indice_index!$Z$1=1,"mar","Mar")</f>
        <v>Mar</v>
      </c>
      <c r="Y6" s="1369" t="str">
        <f>IF(Indice_index!$Z$1=1,"abr","Apr")</f>
        <v>Apr</v>
      </c>
      <c r="Z6" s="1369" t="str">
        <f>IF(Indice_index!$Z$1=1,"mai","May")</f>
        <v>May</v>
      </c>
      <c r="AA6" s="1369" t="str">
        <f>IF(Indice_index!$Z$1=1,"jun","Jun")</f>
        <v>Jun</v>
      </c>
      <c r="AB6" s="1369" t="str">
        <f>IF(Indice_index!$Z$1=1,"jul","Jul")</f>
        <v>Jul</v>
      </c>
      <c r="AC6" s="1369" t="str">
        <f>IF(Indice_index!$Z$1=1,"ago","Aug")</f>
        <v>Aug</v>
      </c>
      <c r="AD6" s="1369" t="str">
        <f>IF(Indice_index!$Z$1=1,"set","Sep")</f>
        <v>Sep</v>
      </c>
      <c r="AE6" s="1369" t="str">
        <f>IF(Indice_index!$Z$1=1,"out","Oct")</f>
        <v>Oct</v>
      </c>
      <c r="AF6" s="1369" t="str">
        <f>IF(Indice_index!$Z$1=1,"nov","Nov")</f>
        <v>Nov</v>
      </c>
      <c r="AG6" s="1369" t="str">
        <f>IF(Indice_index!$Z$1=1,"dez","Dec")</f>
        <v>Dec</v>
      </c>
      <c r="AH6" s="1369" t="str">
        <f>IF(Indice_index!$Z$1=1,"Acumulado","Cumulative")</f>
        <v>Cumulative</v>
      </c>
    </row>
    <row r="7" spans="2:64" ht="4.5" customHeight="1">
      <c r="D7" s="1358"/>
      <c r="E7" s="1371"/>
      <c r="G7" s="1371"/>
      <c r="H7" s="1371"/>
      <c r="I7" s="1371"/>
      <c r="J7" s="1371"/>
      <c r="K7" s="1371"/>
      <c r="L7" s="1371"/>
      <c r="M7" s="1371"/>
      <c r="N7" s="1371"/>
      <c r="O7" s="1371"/>
      <c r="P7" s="1371"/>
      <c r="Q7" s="1371"/>
      <c r="R7" s="1371"/>
      <c r="S7" s="1371"/>
      <c r="T7" s="1371"/>
      <c r="V7" s="1371"/>
      <c r="W7" s="1371"/>
      <c r="X7" s="1371"/>
      <c r="Y7" s="1371"/>
      <c r="Z7" s="1371"/>
      <c r="AA7" s="1371"/>
      <c r="AB7" s="1371"/>
      <c r="AC7" s="1371"/>
      <c r="AD7" s="1371"/>
      <c r="AE7" s="1371"/>
      <c r="AF7" s="1371"/>
      <c r="AG7" s="1371"/>
      <c r="AH7" s="1371"/>
    </row>
    <row r="8" spans="2:64" s="317" customFormat="1" ht="15" customHeight="1">
      <c r="C8" s="318" t="str">
        <f>IF(Indice_index!$Z$1=1,"Receita corrente","Current revenue")</f>
        <v>Current revenue</v>
      </c>
      <c r="D8" s="1372"/>
      <c r="E8" s="1372"/>
      <c r="F8" s="250"/>
      <c r="G8" s="1372">
        <f>+G9+G10+G12+G15+G11</f>
        <v>58.729722030000005</v>
      </c>
      <c r="H8" s="1372">
        <f>+H9+H10+H12+H15+H11</f>
        <v>49.319399959999998</v>
      </c>
      <c r="I8" s="1372">
        <f t="shared" ref="I8:J8" si="0">+I9+I10+I12+I15+I11</f>
        <v>128.68634004999998</v>
      </c>
      <c r="J8" s="1372">
        <f t="shared" si="0"/>
        <v>69.781900579999984</v>
      </c>
      <c r="K8" s="1372">
        <f>+K9+K10+K12+K15+K11</f>
        <v>375.48363393000005</v>
      </c>
      <c r="L8" s="1372">
        <f t="shared" ref="L8:N8" si="1">+L9+L10+L12+L15+L11</f>
        <v>89.418738279999999</v>
      </c>
      <c r="M8" s="1372">
        <f t="shared" si="1"/>
        <v>22.32705601</v>
      </c>
      <c r="N8" s="1372">
        <f t="shared" si="1"/>
        <v>16.159748709999999</v>
      </c>
      <c r="O8" s="1372">
        <f>+O9+O10+O12+O15+O11</f>
        <v>22.437207060000002</v>
      </c>
      <c r="P8" s="1372">
        <f t="shared" ref="P8:R8" si="2">+P9+P10+P12+P15+P11</f>
        <v>74.431590709999995</v>
      </c>
      <c r="Q8" s="1372">
        <f t="shared" si="2"/>
        <v>653.0488730300001</v>
      </c>
      <c r="R8" s="1372">
        <f t="shared" si="2"/>
        <v>552.70443967999995</v>
      </c>
      <c r="S8" s="1372">
        <f>+S9+S10+S12+S15+S11</f>
        <v>1559.8242103499999</v>
      </c>
      <c r="T8" s="1372">
        <f>SUM(G8:R8)</f>
        <v>2112.5286500299999</v>
      </c>
      <c r="U8" s="250"/>
      <c r="V8" s="1372">
        <f>+V9+V10+V12+V15+V11</f>
        <v>81.355944469999997</v>
      </c>
      <c r="W8" s="1372">
        <f t="shared" ref="W8:Y8" si="3">+W9+W10+W12+W15+W11</f>
        <v>49.06931307</v>
      </c>
      <c r="X8" s="1372">
        <f t="shared" si="3"/>
        <v>52.151623739999998</v>
      </c>
      <c r="Y8" s="1372">
        <f t="shared" si="3"/>
        <v>52.417114399999996</v>
      </c>
      <c r="Z8" s="1372">
        <f>+Z9+Z10+Z12+Z15+Z11</f>
        <v>326.45193912000002</v>
      </c>
      <c r="AA8" s="1372">
        <f t="shared" ref="AA8:AC8" si="4">+AA9+AA10+AA12+AA15+AA11</f>
        <v>315.39769131000003</v>
      </c>
      <c r="AB8" s="1372">
        <f t="shared" ref="AB8" si="5">+AB9+AB10+AB12+AB15+AB11</f>
        <v>33.325220420000001</v>
      </c>
      <c r="AC8" s="1372">
        <f t="shared" si="4"/>
        <v>19.32709805</v>
      </c>
      <c r="AD8" s="1372">
        <f>+AD9+AD10+AD12+AD15+AD11</f>
        <v>17.472382710000002</v>
      </c>
      <c r="AE8" s="1372">
        <f t="shared" ref="AE8:AG8" si="6">+AE9+AE10+AE12+AE15+AE11</f>
        <v>134.8039225</v>
      </c>
      <c r="AF8" s="1372">
        <f t="shared" si="6"/>
        <v>417.39163814999995</v>
      </c>
      <c r="AG8" s="1372">
        <f t="shared" si="6"/>
        <v>0</v>
      </c>
      <c r="AH8" s="1372">
        <f>SUM(V8:AG8)</f>
        <v>1499.1638879400002</v>
      </c>
      <c r="AJ8" s="319"/>
      <c r="AK8" s="319"/>
      <c r="AL8" s="319"/>
      <c r="AM8" s="319"/>
      <c r="AN8" s="319"/>
      <c r="AO8" s="319"/>
      <c r="AP8" s="319"/>
      <c r="AQ8" s="319"/>
      <c r="AR8" s="319"/>
      <c r="AS8" s="319"/>
      <c r="AT8" s="319"/>
      <c r="AU8" s="319"/>
      <c r="AV8" s="319"/>
      <c r="AW8" s="319"/>
      <c r="AX8" s="319"/>
      <c r="AY8" s="319"/>
      <c r="AZ8" s="319"/>
      <c r="BA8" s="319"/>
      <c r="BB8" s="319"/>
      <c r="BC8" s="319"/>
      <c r="BD8" s="319"/>
      <c r="BE8" s="319"/>
      <c r="BF8" s="319"/>
      <c r="BG8" s="319"/>
      <c r="BH8" s="319"/>
      <c r="BI8" s="319"/>
      <c r="BJ8" s="319"/>
      <c r="BK8" s="319"/>
      <c r="BL8" s="414"/>
    </row>
    <row r="9" spans="2:64" s="179" customFormat="1" ht="15" customHeight="1">
      <c r="C9" s="703" t="str">
        <f>IF(Indice_index!$Z$1=1,"Impostos diretos ","Direct taxes")</f>
        <v>Direct taxes</v>
      </c>
      <c r="D9" s="135"/>
      <c r="E9" s="135" t="s">
        <v>16</v>
      </c>
      <c r="F9" s="96"/>
      <c r="G9" s="135">
        <f t="shared" ref="G9:T11" si="7">+SUMIF($E$56:$E$86,$E9,G$56:G$86)</f>
        <v>3.7343899899999999</v>
      </c>
      <c r="H9" s="135">
        <f t="shared" si="7"/>
        <v>-0.11633714000000001</v>
      </c>
      <c r="I9" s="135">
        <f t="shared" si="7"/>
        <v>-0.24181496999999999</v>
      </c>
      <c r="J9" s="135">
        <f t="shared" si="7"/>
        <v>-6.5510680000000002E-2</v>
      </c>
      <c r="K9" s="135">
        <f t="shared" si="7"/>
        <v>3.1850899999999998E-3</v>
      </c>
      <c r="L9" s="135">
        <f t="shared" si="7"/>
        <v>-0.2503862</v>
      </c>
      <c r="M9" s="135">
        <f t="shared" si="7"/>
        <v>0.28461910000000001</v>
      </c>
      <c r="N9" s="135">
        <f t="shared" si="7"/>
        <v>5.8610000000000003E-5</v>
      </c>
      <c r="O9" s="135">
        <f t="shared" si="7"/>
        <v>6.5700255299999997</v>
      </c>
      <c r="P9" s="135">
        <f t="shared" si="7"/>
        <v>50.91310713</v>
      </c>
      <c r="Q9" s="135">
        <f t="shared" si="7"/>
        <v>50.634189110000001</v>
      </c>
      <c r="R9" s="135">
        <f t="shared" si="7"/>
        <v>356.34298188000002</v>
      </c>
      <c r="S9" s="135">
        <f t="shared" si="7"/>
        <v>111.46552557000001</v>
      </c>
      <c r="T9" s="135">
        <f t="shared" si="7"/>
        <v>467.80850744999998</v>
      </c>
      <c r="U9" s="96"/>
      <c r="V9" s="135">
        <f t="shared" ref="V9:AH11" si="8">+SUMIF($E$56:$E$86,$E9,V$56:V$86)</f>
        <v>1.60246394</v>
      </c>
      <c r="W9" s="135">
        <f t="shared" si="8"/>
        <v>-3.21659746</v>
      </c>
      <c r="X9" s="135">
        <f t="shared" si="8"/>
        <v>-0.23536579999999999</v>
      </c>
      <c r="Y9" s="135">
        <f t="shared" si="8"/>
        <v>-3.9654219999999997E-2</v>
      </c>
      <c r="Z9" s="135">
        <f t="shared" si="8"/>
        <v>1.1234E-4</v>
      </c>
      <c r="AA9" s="135">
        <f t="shared" si="8"/>
        <v>3.1173220000000001E-2</v>
      </c>
      <c r="AB9" s="135">
        <f t="shared" si="8"/>
        <v>-0.17013945</v>
      </c>
      <c r="AC9" s="135">
        <f t="shared" si="8"/>
        <v>2.1176326900000002</v>
      </c>
      <c r="AD9" s="135">
        <f t="shared" si="8"/>
        <v>5.8850000000000001E-5</v>
      </c>
      <c r="AE9" s="135">
        <f t="shared" si="8"/>
        <v>100.16905783999999</v>
      </c>
      <c r="AF9" s="135">
        <f t="shared" si="8"/>
        <v>395.69546006999997</v>
      </c>
      <c r="AG9" s="135">
        <f t="shared" si="8"/>
        <v>0</v>
      </c>
      <c r="AH9" s="135">
        <f t="shared" si="8"/>
        <v>495.95420201999997</v>
      </c>
      <c r="AJ9" s="235"/>
      <c r="AK9" s="235"/>
      <c r="AL9" s="235"/>
      <c r="AM9" s="235"/>
      <c r="AN9" s="235"/>
      <c r="AO9" s="235"/>
      <c r="AP9" s="235"/>
      <c r="AQ9" s="235"/>
      <c r="AR9" s="235"/>
      <c r="AS9" s="235"/>
      <c r="AT9" s="235"/>
      <c r="AU9" s="235"/>
      <c r="AV9" s="235"/>
      <c r="AW9" s="235"/>
      <c r="AX9" s="235"/>
      <c r="AY9" s="235"/>
      <c r="AZ9" s="235"/>
      <c r="BA9" s="235"/>
      <c r="BB9" s="235"/>
      <c r="BC9" s="235"/>
      <c r="BD9" s="235"/>
      <c r="BE9" s="235"/>
      <c r="BF9" s="235"/>
      <c r="BG9" s="235"/>
      <c r="BH9" s="235"/>
      <c r="BI9" s="235"/>
      <c r="BJ9" s="235"/>
      <c r="BK9" s="235"/>
      <c r="BL9" s="413"/>
    </row>
    <row r="10" spans="2:64" s="179" customFormat="1" ht="15" customHeight="1">
      <c r="C10" s="703" t="str">
        <f>IF(Indice_index!$Z$1=1,"Impostos indiretos","Indirect taxes")</f>
        <v>Indirect taxes</v>
      </c>
      <c r="D10" s="135"/>
      <c r="E10" s="135" t="s">
        <v>17</v>
      </c>
      <c r="F10" s="96"/>
      <c r="G10" s="135">
        <f t="shared" si="7"/>
        <v>54.282757560000007</v>
      </c>
      <c r="H10" s="135">
        <f t="shared" si="7"/>
        <v>48.575820739999997</v>
      </c>
      <c r="I10" s="135">
        <f t="shared" si="7"/>
        <v>41.067772329999997</v>
      </c>
      <c r="J10" s="135">
        <f t="shared" si="7"/>
        <v>69.096578859999994</v>
      </c>
      <c r="K10" s="135">
        <f t="shared" si="7"/>
        <v>24.17361519</v>
      </c>
      <c r="L10" s="135">
        <f t="shared" si="7"/>
        <v>14.987979920000001</v>
      </c>
      <c r="M10" s="135">
        <f t="shared" si="7"/>
        <v>21.421607989999998</v>
      </c>
      <c r="N10" s="135">
        <f t="shared" si="7"/>
        <v>15.495488809999999</v>
      </c>
      <c r="O10" s="135">
        <f t="shared" si="7"/>
        <v>15.215828910000001</v>
      </c>
      <c r="P10" s="135">
        <f t="shared" si="7"/>
        <v>22.83669562</v>
      </c>
      <c r="Q10" s="135">
        <f t="shared" si="7"/>
        <v>15.374769649999999</v>
      </c>
      <c r="R10" s="135">
        <f t="shared" si="7"/>
        <v>16.644486520000001</v>
      </c>
      <c r="S10" s="135">
        <f t="shared" si="7"/>
        <v>342.52891557999999</v>
      </c>
      <c r="T10" s="135">
        <f t="shared" si="7"/>
        <v>359.17340210000003</v>
      </c>
      <c r="U10" s="96"/>
      <c r="V10" s="135">
        <f t="shared" si="8"/>
        <v>67.751514249999985</v>
      </c>
      <c r="W10" s="135">
        <f t="shared" si="8"/>
        <v>51.575350900000004</v>
      </c>
      <c r="X10" s="135">
        <f t="shared" si="8"/>
        <v>51.780592909999996</v>
      </c>
      <c r="Y10" s="135">
        <f t="shared" si="8"/>
        <v>48.687685209999998</v>
      </c>
      <c r="Z10" s="135">
        <f t="shared" si="8"/>
        <v>14.7148579</v>
      </c>
      <c r="AA10" s="135">
        <f t="shared" si="8"/>
        <v>15.90066094</v>
      </c>
      <c r="AB10" s="135">
        <f t="shared" si="8"/>
        <v>22.435918010000002</v>
      </c>
      <c r="AC10" s="135">
        <f t="shared" si="8"/>
        <v>16.540300009999999</v>
      </c>
      <c r="AD10" s="135">
        <f t="shared" si="8"/>
        <v>15.936710020000001</v>
      </c>
      <c r="AE10" s="135">
        <f t="shared" si="8"/>
        <v>23.446554949999999</v>
      </c>
      <c r="AF10" s="135">
        <f t="shared" si="8"/>
        <v>13.70795064</v>
      </c>
      <c r="AG10" s="135">
        <f t="shared" si="8"/>
        <v>0</v>
      </c>
      <c r="AH10" s="135">
        <f t="shared" si="8"/>
        <v>342.47809574000001</v>
      </c>
      <c r="AJ10" s="235"/>
      <c r="AK10" s="235"/>
      <c r="AL10" s="235"/>
      <c r="AM10" s="235"/>
      <c r="AN10" s="235"/>
      <c r="AO10" s="235"/>
      <c r="AP10" s="235"/>
      <c r="AQ10" s="235"/>
      <c r="AR10" s="235"/>
      <c r="AS10" s="235"/>
      <c r="AT10" s="235"/>
      <c r="AU10" s="235"/>
      <c r="AV10" s="235"/>
      <c r="AW10" s="235"/>
      <c r="AX10" s="235"/>
      <c r="AY10" s="235"/>
      <c r="AZ10" s="235"/>
      <c r="BA10" s="235"/>
      <c r="BB10" s="235"/>
      <c r="BC10" s="235"/>
      <c r="BD10" s="235"/>
      <c r="BE10" s="235"/>
      <c r="BF10" s="235"/>
      <c r="BG10" s="235"/>
      <c r="BH10" s="235"/>
      <c r="BI10" s="235"/>
      <c r="BJ10" s="235"/>
      <c r="BK10" s="235"/>
      <c r="BL10" s="413"/>
    </row>
    <row r="11" spans="2:64" s="179" customFormat="1" ht="15" customHeight="1">
      <c r="C11" s="1080" t="str">
        <f>IF(Indice_index!$Z$1=1,"Contribuições para Segurança Social, CGA e ADSE","Social security, CGA and ADSE contributions")</f>
        <v>Social security, CGA and ADSE contributions</v>
      </c>
      <c r="D11" s="135"/>
      <c r="E11" s="135" t="s">
        <v>18</v>
      </c>
      <c r="F11" s="96"/>
      <c r="G11" s="135">
        <f t="shared" si="7"/>
        <v>0</v>
      </c>
      <c r="H11" s="135">
        <f t="shared" si="7"/>
        <v>0</v>
      </c>
      <c r="I11" s="135">
        <f t="shared" si="7"/>
        <v>0</v>
      </c>
      <c r="J11" s="135">
        <f t="shared" si="7"/>
        <v>0</v>
      </c>
      <c r="K11" s="135">
        <f t="shared" si="7"/>
        <v>0</v>
      </c>
      <c r="L11" s="135">
        <f t="shared" si="7"/>
        <v>0</v>
      </c>
      <c r="M11" s="135">
        <f t="shared" si="7"/>
        <v>0</v>
      </c>
      <c r="N11" s="135">
        <f t="shared" si="7"/>
        <v>0</v>
      </c>
      <c r="O11" s="135">
        <f t="shared" si="7"/>
        <v>0</v>
      </c>
      <c r="P11" s="135">
        <f t="shared" si="7"/>
        <v>0</v>
      </c>
      <c r="Q11" s="135">
        <f t="shared" si="7"/>
        <v>0</v>
      </c>
      <c r="R11" s="135">
        <f t="shared" si="7"/>
        <v>0</v>
      </c>
      <c r="S11" s="135">
        <f t="shared" si="7"/>
        <v>0</v>
      </c>
      <c r="T11" s="135">
        <f t="shared" si="7"/>
        <v>0</v>
      </c>
      <c r="U11" s="96"/>
      <c r="V11" s="135">
        <f t="shared" si="8"/>
        <v>0</v>
      </c>
      <c r="W11" s="135">
        <f t="shared" si="8"/>
        <v>0</v>
      </c>
      <c r="X11" s="135">
        <f t="shared" si="8"/>
        <v>0</v>
      </c>
      <c r="Y11" s="135">
        <f t="shared" si="8"/>
        <v>0</v>
      </c>
      <c r="Z11" s="135">
        <f t="shared" si="8"/>
        <v>0</v>
      </c>
      <c r="AA11" s="135">
        <f t="shared" si="8"/>
        <v>0</v>
      </c>
      <c r="AB11" s="135">
        <f t="shared" si="8"/>
        <v>0</v>
      </c>
      <c r="AC11" s="135">
        <f t="shared" si="8"/>
        <v>0</v>
      </c>
      <c r="AD11" s="135">
        <f t="shared" si="8"/>
        <v>0</v>
      </c>
      <c r="AE11" s="135">
        <f t="shared" si="8"/>
        <v>0</v>
      </c>
      <c r="AF11" s="135">
        <f t="shared" si="8"/>
        <v>0</v>
      </c>
      <c r="AG11" s="135">
        <f t="shared" si="8"/>
        <v>0</v>
      </c>
      <c r="AH11" s="135">
        <f t="shared" si="8"/>
        <v>0</v>
      </c>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413"/>
    </row>
    <row r="12" spans="2:64" s="179" customFormat="1" ht="15" customHeight="1">
      <c r="C12" s="703" t="str">
        <f>IF(Indice_index!$Z$1=1,"Transferências Correntes","Current transfers")</f>
        <v>Current transfers</v>
      </c>
      <c r="D12" s="135"/>
      <c r="E12" s="135" t="s">
        <v>19</v>
      </c>
      <c r="F12" s="96"/>
      <c r="G12" s="135">
        <f t="shared" ref="G12:T12" si="9">+G13+G14</f>
        <v>0</v>
      </c>
      <c r="H12" s="135">
        <f t="shared" si="9"/>
        <v>0</v>
      </c>
      <c r="I12" s="135">
        <f t="shared" si="9"/>
        <v>0</v>
      </c>
      <c r="J12" s="135">
        <f t="shared" si="9"/>
        <v>0</v>
      </c>
      <c r="K12" s="135">
        <f t="shared" si="9"/>
        <v>0</v>
      </c>
      <c r="L12" s="135">
        <f t="shared" si="9"/>
        <v>0</v>
      </c>
      <c r="M12" s="135">
        <f t="shared" si="9"/>
        <v>0</v>
      </c>
      <c r="N12" s="135">
        <f t="shared" si="9"/>
        <v>0</v>
      </c>
      <c r="O12" s="135">
        <f t="shared" si="9"/>
        <v>0</v>
      </c>
      <c r="P12" s="135">
        <f t="shared" si="9"/>
        <v>0</v>
      </c>
      <c r="Q12" s="135">
        <f t="shared" si="9"/>
        <v>0</v>
      </c>
      <c r="R12" s="135">
        <f t="shared" si="9"/>
        <v>0</v>
      </c>
      <c r="S12" s="135">
        <f t="shared" si="9"/>
        <v>0</v>
      </c>
      <c r="T12" s="135">
        <f t="shared" si="9"/>
        <v>0</v>
      </c>
      <c r="U12" s="96"/>
      <c r="V12" s="135">
        <f t="shared" ref="V12:AH12" si="10">+V13+V14</f>
        <v>0</v>
      </c>
      <c r="W12" s="135">
        <f t="shared" si="10"/>
        <v>0</v>
      </c>
      <c r="X12" s="135">
        <f t="shared" si="10"/>
        <v>0</v>
      </c>
      <c r="Y12" s="135">
        <f t="shared" si="10"/>
        <v>0</v>
      </c>
      <c r="Z12" s="135">
        <f t="shared" si="10"/>
        <v>0</v>
      </c>
      <c r="AA12" s="135">
        <f t="shared" si="10"/>
        <v>0</v>
      </c>
      <c r="AB12" s="135">
        <f t="shared" ref="AB12" si="11">+AB13+AB14</f>
        <v>0</v>
      </c>
      <c r="AC12" s="135">
        <f t="shared" si="10"/>
        <v>0</v>
      </c>
      <c r="AD12" s="135">
        <f t="shared" si="10"/>
        <v>0</v>
      </c>
      <c r="AE12" s="135">
        <f t="shared" si="10"/>
        <v>0</v>
      </c>
      <c r="AF12" s="135">
        <f t="shared" si="10"/>
        <v>0</v>
      </c>
      <c r="AG12" s="135">
        <f t="shared" si="10"/>
        <v>0</v>
      </c>
      <c r="AH12" s="135">
        <f t="shared" si="10"/>
        <v>0</v>
      </c>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413"/>
    </row>
    <row r="13" spans="2:64" s="179" customFormat="1" ht="15" customHeight="1">
      <c r="C13" s="1373" t="str">
        <f>IF(Indice_index!$Z$1=1,"Administrações Públicas","General Government subsectors")</f>
        <v>General Government subsectors</v>
      </c>
      <c r="D13" s="135"/>
      <c r="E13" s="135" t="s">
        <v>20</v>
      </c>
      <c r="F13" s="96"/>
      <c r="G13" s="135">
        <f t="shared" ref="G13:T15" si="12">+SUMIF($E$56:$E$86,$E13,G$56:G$86)</f>
        <v>0</v>
      </c>
      <c r="H13" s="135">
        <f t="shared" si="12"/>
        <v>0</v>
      </c>
      <c r="I13" s="135">
        <f t="shared" si="12"/>
        <v>0</v>
      </c>
      <c r="J13" s="135">
        <f t="shared" si="12"/>
        <v>0</v>
      </c>
      <c r="K13" s="135">
        <f t="shared" si="12"/>
        <v>0</v>
      </c>
      <c r="L13" s="135">
        <f t="shared" si="12"/>
        <v>0</v>
      </c>
      <c r="M13" s="135">
        <f t="shared" si="12"/>
        <v>0</v>
      </c>
      <c r="N13" s="135">
        <f t="shared" si="12"/>
        <v>0</v>
      </c>
      <c r="O13" s="135">
        <f t="shared" si="12"/>
        <v>0</v>
      </c>
      <c r="P13" s="135">
        <f t="shared" si="12"/>
        <v>0</v>
      </c>
      <c r="Q13" s="135">
        <f t="shared" si="12"/>
        <v>0</v>
      </c>
      <c r="R13" s="135">
        <f t="shared" si="12"/>
        <v>0</v>
      </c>
      <c r="S13" s="135">
        <f t="shared" si="12"/>
        <v>0</v>
      </c>
      <c r="T13" s="135">
        <f t="shared" si="12"/>
        <v>0</v>
      </c>
      <c r="U13" s="96"/>
      <c r="V13" s="135">
        <f t="shared" ref="V13:AH15" si="13">+SUMIF($E$56:$E$86,$E13,V$56:V$86)</f>
        <v>0</v>
      </c>
      <c r="W13" s="135">
        <f t="shared" si="13"/>
        <v>0</v>
      </c>
      <c r="X13" s="135">
        <f t="shared" si="13"/>
        <v>0</v>
      </c>
      <c r="Y13" s="135">
        <f t="shared" si="13"/>
        <v>0</v>
      </c>
      <c r="Z13" s="135">
        <f t="shared" si="13"/>
        <v>0</v>
      </c>
      <c r="AA13" s="135">
        <f t="shared" si="13"/>
        <v>0</v>
      </c>
      <c r="AB13" s="135">
        <f t="shared" si="13"/>
        <v>0</v>
      </c>
      <c r="AC13" s="135">
        <f t="shared" si="13"/>
        <v>0</v>
      </c>
      <c r="AD13" s="135">
        <f t="shared" si="13"/>
        <v>0</v>
      </c>
      <c r="AE13" s="135">
        <f t="shared" si="13"/>
        <v>0</v>
      </c>
      <c r="AF13" s="135">
        <f t="shared" si="13"/>
        <v>0</v>
      </c>
      <c r="AG13" s="135">
        <f t="shared" si="13"/>
        <v>0</v>
      </c>
      <c r="AH13" s="135">
        <f t="shared" si="13"/>
        <v>0</v>
      </c>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413"/>
    </row>
    <row r="14" spans="2:64" s="179" customFormat="1" ht="15" customHeight="1">
      <c r="C14" s="1373" t="str">
        <f>IF(Indice_index!$Z$1=1,"Outras","Others")</f>
        <v>Others</v>
      </c>
      <c r="D14" s="135"/>
      <c r="E14" s="135" t="s">
        <v>21</v>
      </c>
      <c r="F14" s="96"/>
      <c r="G14" s="135">
        <f t="shared" si="12"/>
        <v>0</v>
      </c>
      <c r="H14" s="135">
        <f t="shared" si="12"/>
        <v>0</v>
      </c>
      <c r="I14" s="135">
        <f t="shared" si="12"/>
        <v>0</v>
      </c>
      <c r="J14" s="135">
        <f t="shared" si="12"/>
        <v>0</v>
      </c>
      <c r="K14" s="135">
        <f t="shared" si="12"/>
        <v>0</v>
      </c>
      <c r="L14" s="135">
        <f t="shared" si="12"/>
        <v>0</v>
      </c>
      <c r="M14" s="135">
        <f t="shared" si="12"/>
        <v>0</v>
      </c>
      <c r="N14" s="135">
        <f t="shared" si="12"/>
        <v>0</v>
      </c>
      <c r="O14" s="135">
        <f t="shared" si="12"/>
        <v>0</v>
      </c>
      <c r="P14" s="135">
        <f t="shared" si="12"/>
        <v>0</v>
      </c>
      <c r="Q14" s="135">
        <f t="shared" si="12"/>
        <v>0</v>
      </c>
      <c r="R14" s="135">
        <f t="shared" si="12"/>
        <v>0</v>
      </c>
      <c r="S14" s="135">
        <f t="shared" si="12"/>
        <v>0</v>
      </c>
      <c r="T14" s="135">
        <f t="shared" si="12"/>
        <v>0</v>
      </c>
      <c r="U14" s="96"/>
      <c r="V14" s="135">
        <f t="shared" si="13"/>
        <v>0</v>
      </c>
      <c r="W14" s="135">
        <f t="shared" si="13"/>
        <v>0</v>
      </c>
      <c r="X14" s="135">
        <f t="shared" si="13"/>
        <v>0</v>
      </c>
      <c r="Y14" s="135">
        <f t="shared" si="13"/>
        <v>0</v>
      </c>
      <c r="Z14" s="135">
        <f t="shared" si="13"/>
        <v>0</v>
      </c>
      <c r="AA14" s="135">
        <f t="shared" si="13"/>
        <v>0</v>
      </c>
      <c r="AB14" s="135">
        <f t="shared" si="13"/>
        <v>0</v>
      </c>
      <c r="AC14" s="135">
        <f t="shared" si="13"/>
        <v>0</v>
      </c>
      <c r="AD14" s="135">
        <f t="shared" si="13"/>
        <v>0</v>
      </c>
      <c r="AE14" s="135">
        <f t="shared" si="13"/>
        <v>0</v>
      </c>
      <c r="AF14" s="135">
        <f t="shared" si="13"/>
        <v>0</v>
      </c>
      <c r="AG14" s="135">
        <f t="shared" si="13"/>
        <v>0</v>
      </c>
      <c r="AH14" s="135">
        <f t="shared" si="13"/>
        <v>0</v>
      </c>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413"/>
    </row>
    <row r="15" spans="2:64" s="179" customFormat="1" ht="15" customHeight="1">
      <c r="C15" s="703" t="str">
        <f>IF(Indice_index!$Z$1=1,"Outras receitas correntes","Other current revenue")</f>
        <v>Other current revenue</v>
      </c>
      <c r="D15" s="135"/>
      <c r="E15" s="135" t="s">
        <v>58</v>
      </c>
      <c r="F15" s="96"/>
      <c r="G15" s="135">
        <f t="shared" si="12"/>
        <v>0.71257448000000001</v>
      </c>
      <c r="H15" s="135">
        <f t="shared" si="12"/>
        <v>0.85991636000000005</v>
      </c>
      <c r="I15" s="135">
        <f t="shared" si="12"/>
        <v>87.860382689999994</v>
      </c>
      <c r="J15" s="135">
        <f t="shared" si="12"/>
        <v>0.75083239999999973</v>
      </c>
      <c r="K15" s="135">
        <f t="shared" si="12"/>
        <v>351.30683365000004</v>
      </c>
      <c r="L15" s="135">
        <f t="shared" si="12"/>
        <v>74.681144559999993</v>
      </c>
      <c r="M15" s="135">
        <f t="shared" si="12"/>
        <v>0.62082892000000001</v>
      </c>
      <c r="N15" s="135">
        <f t="shared" si="12"/>
        <v>0.66420129000000006</v>
      </c>
      <c r="O15" s="135">
        <f t="shared" si="12"/>
        <v>0.65135262000000005</v>
      </c>
      <c r="P15" s="135">
        <f t="shared" si="12"/>
        <v>0.68178795999999997</v>
      </c>
      <c r="Q15" s="135">
        <f t="shared" si="12"/>
        <v>587.03991427000005</v>
      </c>
      <c r="R15" s="135">
        <f t="shared" si="12"/>
        <v>179.71697128</v>
      </c>
      <c r="S15" s="135">
        <f t="shared" si="12"/>
        <v>1105.8297691999999</v>
      </c>
      <c r="T15" s="135">
        <f t="shared" si="12"/>
        <v>1285.5467404799999</v>
      </c>
      <c r="U15" s="96"/>
      <c r="V15" s="135">
        <f t="shared" si="13"/>
        <v>12.00196628</v>
      </c>
      <c r="W15" s="135">
        <f t="shared" si="13"/>
        <v>0.71055963</v>
      </c>
      <c r="X15" s="135">
        <f t="shared" si="13"/>
        <v>0.60639662999999999</v>
      </c>
      <c r="Y15" s="135">
        <f t="shared" si="13"/>
        <v>3.7690834099999999</v>
      </c>
      <c r="Z15" s="135">
        <f t="shared" si="13"/>
        <v>311.73696888000001</v>
      </c>
      <c r="AA15" s="135">
        <f t="shared" si="13"/>
        <v>299.46585715000003</v>
      </c>
      <c r="AB15" s="135">
        <f t="shared" si="13"/>
        <v>11.05944186</v>
      </c>
      <c r="AC15" s="135">
        <f t="shared" si="13"/>
        <v>0.66916534999999999</v>
      </c>
      <c r="AD15" s="135">
        <f t="shared" si="13"/>
        <v>1.5356138399999999</v>
      </c>
      <c r="AE15" s="135">
        <f t="shared" si="13"/>
        <v>11.18830971</v>
      </c>
      <c r="AF15" s="135">
        <f t="shared" si="13"/>
        <v>7.9882274400000002</v>
      </c>
      <c r="AG15" s="135">
        <f t="shared" si="13"/>
        <v>0</v>
      </c>
      <c r="AH15" s="135">
        <f t="shared" si="13"/>
        <v>660.73159018000001</v>
      </c>
      <c r="AJ15" s="235"/>
      <c r="AK15" s="235"/>
      <c r="AL15" s="235"/>
      <c r="AM15" s="235"/>
      <c r="AN15" s="235"/>
      <c r="AO15" s="235"/>
      <c r="AP15" s="235"/>
      <c r="AQ15" s="235"/>
      <c r="AR15" s="235"/>
      <c r="AS15" s="235"/>
      <c r="AT15" s="235"/>
      <c r="AU15" s="235"/>
      <c r="AV15" s="235"/>
      <c r="AW15" s="235"/>
      <c r="AX15" s="235"/>
      <c r="AY15" s="235"/>
      <c r="AZ15" s="235"/>
      <c r="BA15" s="235"/>
      <c r="BB15" s="235"/>
      <c r="BC15" s="235"/>
      <c r="BD15" s="235"/>
      <c r="BE15" s="235"/>
      <c r="BF15" s="235"/>
      <c r="BG15" s="235"/>
      <c r="BH15" s="235"/>
      <c r="BI15" s="235"/>
      <c r="BJ15" s="235"/>
      <c r="BK15" s="235"/>
      <c r="BL15" s="413"/>
    </row>
    <row r="16" spans="2:64" s="317" customFormat="1" ht="15" customHeight="1">
      <c r="C16" s="318" t="str">
        <f>IF(Indice_index!$Z$1=1,"Receita de capital","Capital revenue")</f>
        <v>Capital revenue</v>
      </c>
      <c r="D16" s="1372"/>
      <c r="E16" s="1372"/>
      <c r="F16" s="250"/>
      <c r="G16" s="1372">
        <f t="shared" ref="G16:T16" si="14">+G17+G18+G21</f>
        <v>0</v>
      </c>
      <c r="H16" s="1372">
        <f t="shared" si="14"/>
        <v>26.836077</v>
      </c>
      <c r="I16" s="1372">
        <f t="shared" si="14"/>
        <v>0</v>
      </c>
      <c r="J16" s="1372">
        <f t="shared" si="14"/>
        <v>0</v>
      </c>
      <c r="K16" s="1372">
        <f t="shared" si="14"/>
        <v>0</v>
      </c>
      <c r="L16" s="1372">
        <f t="shared" si="14"/>
        <v>0</v>
      </c>
      <c r="M16" s="1372">
        <f t="shared" si="14"/>
        <v>0</v>
      </c>
      <c r="N16" s="1372">
        <f t="shared" si="14"/>
        <v>0</v>
      </c>
      <c r="O16" s="1372">
        <f t="shared" si="14"/>
        <v>0</v>
      </c>
      <c r="P16" s="1372">
        <f t="shared" si="14"/>
        <v>0</v>
      </c>
      <c r="Q16" s="1372">
        <f t="shared" si="14"/>
        <v>0</v>
      </c>
      <c r="R16" s="1372">
        <f t="shared" si="14"/>
        <v>0</v>
      </c>
      <c r="S16" s="1372">
        <f t="shared" si="14"/>
        <v>26.836077</v>
      </c>
      <c r="T16" s="1372">
        <f t="shared" si="14"/>
        <v>26.836077</v>
      </c>
      <c r="U16" s="250"/>
      <c r="V16" s="1372">
        <f t="shared" ref="V16:AH16" si="15">+V17+V18+V21</f>
        <v>0</v>
      </c>
      <c r="W16" s="1372">
        <f t="shared" si="15"/>
        <v>0</v>
      </c>
      <c r="X16" s="1372">
        <f t="shared" si="15"/>
        <v>30</v>
      </c>
      <c r="Y16" s="1372">
        <f t="shared" si="15"/>
        <v>0</v>
      </c>
      <c r="Z16" s="1372">
        <f t="shared" si="15"/>
        <v>0</v>
      </c>
      <c r="AA16" s="1372">
        <f t="shared" si="15"/>
        <v>0</v>
      </c>
      <c r="AB16" s="1372">
        <f t="shared" ref="AB16" si="16">+AB17+AB18+AB21</f>
        <v>0</v>
      </c>
      <c r="AC16" s="1372">
        <f t="shared" si="15"/>
        <v>0</v>
      </c>
      <c r="AD16" s="1372">
        <f t="shared" si="15"/>
        <v>0</v>
      </c>
      <c r="AE16" s="1372">
        <f t="shared" si="15"/>
        <v>0</v>
      </c>
      <c r="AF16" s="1372">
        <f t="shared" si="15"/>
        <v>0</v>
      </c>
      <c r="AG16" s="1372">
        <f t="shared" si="15"/>
        <v>0</v>
      </c>
      <c r="AH16" s="1372">
        <f t="shared" si="15"/>
        <v>30</v>
      </c>
      <c r="AJ16" s="319"/>
      <c r="AK16" s="319"/>
      <c r="AL16" s="319"/>
      <c r="AM16" s="319"/>
      <c r="AN16" s="319"/>
      <c r="AO16" s="319"/>
      <c r="AP16" s="319"/>
      <c r="AQ16" s="319"/>
      <c r="AR16" s="319"/>
      <c r="AS16" s="319"/>
      <c r="AT16" s="319"/>
      <c r="AU16" s="319"/>
      <c r="AV16" s="319"/>
      <c r="AW16" s="319"/>
      <c r="AX16" s="319"/>
      <c r="AY16" s="319"/>
      <c r="AZ16" s="319"/>
      <c r="BA16" s="319"/>
      <c r="BB16" s="319"/>
      <c r="BC16" s="319"/>
      <c r="BD16" s="319"/>
      <c r="BE16" s="319"/>
      <c r="BF16" s="319"/>
      <c r="BG16" s="319"/>
      <c r="BH16" s="319"/>
      <c r="BI16" s="319"/>
      <c r="BJ16" s="319"/>
      <c r="BK16" s="319"/>
      <c r="BL16" s="414"/>
    </row>
    <row r="17" spans="3:64" s="179" customFormat="1" ht="15" customHeight="1">
      <c r="C17" s="703" t="str">
        <f>IF(Indice_index!$Z$1=1,"Venda de bens de investimento","Sale of investment good")</f>
        <v>Sale of investment good</v>
      </c>
      <c r="D17" s="135"/>
      <c r="E17" s="135" t="s">
        <v>22</v>
      </c>
      <c r="F17" s="96"/>
      <c r="G17" s="135">
        <f t="shared" ref="G17:T17" si="17">+SUMIF($E$56:$E$86,$E17,G$56:G$86)</f>
        <v>0</v>
      </c>
      <c r="H17" s="135">
        <f t="shared" si="17"/>
        <v>26.836077</v>
      </c>
      <c r="I17" s="135">
        <f t="shared" si="17"/>
        <v>0</v>
      </c>
      <c r="J17" s="135">
        <f t="shared" si="17"/>
        <v>0</v>
      </c>
      <c r="K17" s="135">
        <f t="shared" si="17"/>
        <v>0</v>
      </c>
      <c r="L17" s="135">
        <f t="shared" si="17"/>
        <v>0</v>
      </c>
      <c r="M17" s="135">
        <f t="shared" si="17"/>
        <v>0</v>
      </c>
      <c r="N17" s="135">
        <f t="shared" si="17"/>
        <v>0</v>
      </c>
      <c r="O17" s="135">
        <f t="shared" si="17"/>
        <v>0</v>
      </c>
      <c r="P17" s="135">
        <f t="shared" si="17"/>
        <v>0</v>
      </c>
      <c r="Q17" s="135">
        <f t="shared" si="17"/>
        <v>0</v>
      </c>
      <c r="R17" s="135">
        <f t="shared" si="17"/>
        <v>0</v>
      </c>
      <c r="S17" s="135">
        <f t="shared" si="17"/>
        <v>26.836077</v>
      </c>
      <c r="T17" s="135">
        <f t="shared" si="17"/>
        <v>26.836077</v>
      </c>
      <c r="U17" s="96"/>
      <c r="V17" s="135">
        <f t="shared" ref="V17:AH17" si="18">+SUMIF($E$56:$E$86,$E17,V$56:V$86)</f>
        <v>0</v>
      </c>
      <c r="W17" s="135">
        <f t="shared" si="18"/>
        <v>0</v>
      </c>
      <c r="X17" s="135">
        <f t="shared" si="18"/>
        <v>30</v>
      </c>
      <c r="Y17" s="135">
        <f t="shared" si="18"/>
        <v>0</v>
      </c>
      <c r="Z17" s="135">
        <f t="shared" si="18"/>
        <v>0</v>
      </c>
      <c r="AA17" s="135">
        <f t="shared" si="18"/>
        <v>0</v>
      </c>
      <c r="AB17" s="135">
        <f t="shared" si="18"/>
        <v>0</v>
      </c>
      <c r="AC17" s="135">
        <f t="shared" si="18"/>
        <v>0</v>
      </c>
      <c r="AD17" s="135">
        <f t="shared" si="18"/>
        <v>0</v>
      </c>
      <c r="AE17" s="135">
        <f t="shared" si="18"/>
        <v>0</v>
      </c>
      <c r="AF17" s="135">
        <f t="shared" si="18"/>
        <v>0</v>
      </c>
      <c r="AG17" s="135">
        <f t="shared" si="18"/>
        <v>0</v>
      </c>
      <c r="AH17" s="135">
        <f t="shared" si="18"/>
        <v>30</v>
      </c>
      <c r="AJ17" s="235"/>
      <c r="AK17" s="235"/>
      <c r="AL17" s="235"/>
      <c r="AM17" s="235"/>
      <c r="AN17" s="235"/>
      <c r="AO17" s="235"/>
      <c r="AP17" s="235"/>
      <c r="AQ17" s="235"/>
      <c r="AR17" s="235"/>
      <c r="AS17" s="235"/>
      <c r="AT17" s="235"/>
      <c r="AU17" s="235"/>
      <c r="AV17" s="235"/>
      <c r="AW17" s="235"/>
      <c r="AX17" s="235"/>
      <c r="AY17" s="235"/>
      <c r="AZ17" s="235"/>
      <c r="BA17" s="235"/>
      <c r="BB17" s="235"/>
      <c r="BC17" s="235"/>
      <c r="BD17" s="235"/>
      <c r="BE17" s="235"/>
      <c r="BF17" s="235"/>
      <c r="BG17" s="235"/>
      <c r="BH17" s="235"/>
      <c r="BI17" s="235"/>
      <c r="BJ17" s="235"/>
      <c r="BK17" s="235"/>
      <c r="BL17" s="413"/>
    </row>
    <row r="18" spans="3:64" s="179" customFormat="1" ht="15" customHeight="1">
      <c r="C18" s="703" t="str">
        <f>IF(Indice_index!$Z$1=1,"Transferências de Capital","Capital transfers")</f>
        <v>Capital transfers</v>
      </c>
      <c r="D18" s="135"/>
      <c r="E18" s="135" t="s">
        <v>23</v>
      </c>
      <c r="F18" s="96"/>
      <c r="G18" s="135">
        <f t="shared" ref="G18:T18" si="19">+G19+G20</f>
        <v>0</v>
      </c>
      <c r="H18" s="135">
        <f t="shared" si="19"/>
        <v>0</v>
      </c>
      <c r="I18" s="135">
        <f t="shared" si="19"/>
        <v>0</v>
      </c>
      <c r="J18" s="135">
        <f t="shared" si="19"/>
        <v>0</v>
      </c>
      <c r="K18" s="135">
        <f t="shared" si="19"/>
        <v>0</v>
      </c>
      <c r="L18" s="135">
        <f t="shared" si="19"/>
        <v>0</v>
      </c>
      <c r="M18" s="135">
        <f t="shared" si="19"/>
        <v>0</v>
      </c>
      <c r="N18" s="135">
        <f t="shared" si="19"/>
        <v>0</v>
      </c>
      <c r="O18" s="135">
        <f t="shared" si="19"/>
        <v>0</v>
      </c>
      <c r="P18" s="135">
        <f t="shared" si="19"/>
        <v>0</v>
      </c>
      <c r="Q18" s="135">
        <f t="shared" si="19"/>
        <v>0</v>
      </c>
      <c r="R18" s="135">
        <f t="shared" si="19"/>
        <v>0</v>
      </c>
      <c r="S18" s="135">
        <f t="shared" si="19"/>
        <v>0</v>
      </c>
      <c r="T18" s="135">
        <f t="shared" si="19"/>
        <v>0</v>
      </c>
      <c r="U18" s="96"/>
      <c r="V18" s="135">
        <f t="shared" ref="V18:AH18" si="20">+V19+V20</f>
        <v>0</v>
      </c>
      <c r="W18" s="135">
        <f t="shared" si="20"/>
        <v>0</v>
      </c>
      <c r="X18" s="135">
        <f t="shared" si="20"/>
        <v>0</v>
      </c>
      <c r="Y18" s="135">
        <f t="shared" si="20"/>
        <v>0</v>
      </c>
      <c r="Z18" s="135">
        <f t="shared" si="20"/>
        <v>0</v>
      </c>
      <c r="AA18" s="135">
        <f t="shared" si="20"/>
        <v>0</v>
      </c>
      <c r="AB18" s="135">
        <f t="shared" ref="AB18" si="21">+AB19+AB20</f>
        <v>0</v>
      </c>
      <c r="AC18" s="135">
        <f t="shared" si="20"/>
        <v>0</v>
      </c>
      <c r="AD18" s="135">
        <f t="shared" si="20"/>
        <v>0</v>
      </c>
      <c r="AE18" s="135">
        <f t="shared" si="20"/>
        <v>0</v>
      </c>
      <c r="AF18" s="135">
        <f t="shared" si="20"/>
        <v>0</v>
      </c>
      <c r="AG18" s="135">
        <f t="shared" si="20"/>
        <v>0</v>
      </c>
      <c r="AH18" s="135">
        <f t="shared" si="20"/>
        <v>0</v>
      </c>
      <c r="AJ18" s="235"/>
      <c r="AK18" s="235"/>
      <c r="AL18" s="235"/>
      <c r="AM18" s="235"/>
      <c r="AN18" s="235"/>
      <c r="AO18" s="235"/>
      <c r="AP18" s="235"/>
      <c r="AQ18" s="235"/>
      <c r="AR18" s="235"/>
      <c r="AS18" s="235"/>
      <c r="AT18" s="235"/>
      <c r="AU18" s="235"/>
      <c r="AV18" s="235"/>
      <c r="AW18" s="235"/>
      <c r="AX18" s="235"/>
      <c r="AY18" s="235"/>
      <c r="AZ18" s="235"/>
      <c r="BA18" s="235"/>
      <c r="BB18" s="235"/>
      <c r="BC18" s="235"/>
      <c r="BD18" s="235"/>
      <c r="BE18" s="235"/>
      <c r="BF18" s="235"/>
      <c r="BG18" s="235"/>
      <c r="BH18" s="235"/>
      <c r="BI18" s="235"/>
      <c r="BJ18" s="235"/>
      <c r="BK18" s="235"/>
      <c r="BL18" s="413"/>
    </row>
    <row r="19" spans="3:64" s="179" customFormat="1" ht="15" customHeight="1">
      <c r="C19" s="1373" t="str">
        <f>IF(Indice_index!$Z$1=1,"Administrações Públicas","General Government subsectors")</f>
        <v>General Government subsectors</v>
      </c>
      <c r="D19" s="135"/>
      <c r="E19" s="135" t="s">
        <v>24</v>
      </c>
      <c r="F19" s="96"/>
      <c r="G19" s="135">
        <f t="shared" ref="G19:T21" si="22">+SUMIF($E$56:$E$86,$E19,G$56:G$86)</f>
        <v>0</v>
      </c>
      <c r="H19" s="135">
        <f t="shared" si="22"/>
        <v>0</v>
      </c>
      <c r="I19" s="135">
        <f t="shared" si="22"/>
        <v>0</v>
      </c>
      <c r="J19" s="135">
        <f t="shared" si="22"/>
        <v>0</v>
      </c>
      <c r="K19" s="135">
        <f t="shared" si="22"/>
        <v>0</v>
      </c>
      <c r="L19" s="135">
        <f t="shared" si="22"/>
        <v>0</v>
      </c>
      <c r="M19" s="135">
        <f t="shared" si="22"/>
        <v>0</v>
      </c>
      <c r="N19" s="135">
        <f t="shared" si="22"/>
        <v>0</v>
      </c>
      <c r="O19" s="135">
        <f t="shared" si="22"/>
        <v>0</v>
      </c>
      <c r="P19" s="135">
        <f t="shared" si="22"/>
        <v>0</v>
      </c>
      <c r="Q19" s="135">
        <f t="shared" si="22"/>
        <v>0</v>
      </c>
      <c r="R19" s="135">
        <f t="shared" si="22"/>
        <v>0</v>
      </c>
      <c r="S19" s="135">
        <f t="shared" si="22"/>
        <v>0</v>
      </c>
      <c r="T19" s="135">
        <f t="shared" si="22"/>
        <v>0</v>
      </c>
      <c r="U19" s="96"/>
      <c r="V19" s="135">
        <f t="shared" ref="V19:AH21" si="23">+SUMIF($E$56:$E$86,$E19,V$56:V$86)</f>
        <v>0</v>
      </c>
      <c r="W19" s="135">
        <f t="shared" si="23"/>
        <v>0</v>
      </c>
      <c r="X19" s="135">
        <f t="shared" si="23"/>
        <v>0</v>
      </c>
      <c r="Y19" s="135">
        <f t="shared" si="23"/>
        <v>0</v>
      </c>
      <c r="Z19" s="135">
        <f t="shared" si="23"/>
        <v>0</v>
      </c>
      <c r="AA19" s="135">
        <f t="shared" si="23"/>
        <v>0</v>
      </c>
      <c r="AB19" s="135">
        <f t="shared" si="23"/>
        <v>0</v>
      </c>
      <c r="AC19" s="135">
        <f t="shared" si="23"/>
        <v>0</v>
      </c>
      <c r="AD19" s="135">
        <f t="shared" si="23"/>
        <v>0</v>
      </c>
      <c r="AE19" s="135">
        <f t="shared" si="23"/>
        <v>0</v>
      </c>
      <c r="AF19" s="135">
        <f t="shared" si="23"/>
        <v>0</v>
      </c>
      <c r="AG19" s="135">
        <f t="shared" si="23"/>
        <v>0</v>
      </c>
      <c r="AH19" s="135">
        <f t="shared" si="23"/>
        <v>0</v>
      </c>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413"/>
    </row>
    <row r="20" spans="3:64" s="179" customFormat="1" ht="15" customHeight="1">
      <c r="C20" s="1373" t="str">
        <f>IF(Indice_index!$Z$1=1,"Outras","Others")</f>
        <v>Others</v>
      </c>
      <c r="D20" s="135"/>
      <c r="E20" s="135" t="s">
        <v>25</v>
      </c>
      <c r="F20" s="96"/>
      <c r="G20" s="135">
        <f t="shared" si="22"/>
        <v>0</v>
      </c>
      <c r="H20" s="135">
        <f t="shared" si="22"/>
        <v>0</v>
      </c>
      <c r="I20" s="135">
        <f t="shared" si="22"/>
        <v>0</v>
      </c>
      <c r="J20" s="135">
        <f t="shared" si="22"/>
        <v>0</v>
      </c>
      <c r="K20" s="135">
        <f t="shared" si="22"/>
        <v>0</v>
      </c>
      <c r="L20" s="135">
        <f t="shared" si="22"/>
        <v>0</v>
      </c>
      <c r="M20" s="135">
        <f t="shared" si="22"/>
        <v>0</v>
      </c>
      <c r="N20" s="135">
        <f t="shared" si="22"/>
        <v>0</v>
      </c>
      <c r="O20" s="135">
        <f t="shared" si="22"/>
        <v>0</v>
      </c>
      <c r="P20" s="135">
        <f t="shared" si="22"/>
        <v>0</v>
      </c>
      <c r="Q20" s="135">
        <f t="shared" si="22"/>
        <v>0</v>
      </c>
      <c r="R20" s="135">
        <f t="shared" si="22"/>
        <v>0</v>
      </c>
      <c r="S20" s="135">
        <f t="shared" si="22"/>
        <v>0</v>
      </c>
      <c r="T20" s="135">
        <f t="shared" si="22"/>
        <v>0</v>
      </c>
      <c r="U20" s="96"/>
      <c r="V20" s="135">
        <f t="shared" si="23"/>
        <v>0</v>
      </c>
      <c r="W20" s="135">
        <f t="shared" si="23"/>
        <v>0</v>
      </c>
      <c r="X20" s="135">
        <f t="shared" si="23"/>
        <v>0</v>
      </c>
      <c r="Y20" s="135">
        <f t="shared" si="23"/>
        <v>0</v>
      </c>
      <c r="Z20" s="135">
        <f t="shared" si="23"/>
        <v>0</v>
      </c>
      <c r="AA20" s="135">
        <f t="shared" si="23"/>
        <v>0</v>
      </c>
      <c r="AB20" s="135">
        <f t="shared" si="23"/>
        <v>0</v>
      </c>
      <c r="AC20" s="135">
        <f t="shared" si="23"/>
        <v>0</v>
      </c>
      <c r="AD20" s="135">
        <f t="shared" si="23"/>
        <v>0</v>
      </c>
      <c r="AE20" s="135">
        <f t="shared" si="23"/>
        <v>0</v>
      </c>
      <c r="AF20" s="135">
        <f t="shared" si="23"/>
        <v>0</v>
      </c>
      <c r="AG20" s="135">
        <f t="shared" si="23"/>
        <v>0</v>
      </c>
      <c r="AH20" s="135">
        <f t="shared" si="23"/>
        <v>0</v>
      </c>
      <c r="AJ20" s="235"/>
      <c r="AK20" s="235"/>
      <c r="AL20" s="235"/>
      <c r="AM20" s="235"/>
      <c r="AN20" s="235"/>
      <c r="AO20" s="235"/>
      <c r="AP20" s="235"/>
      <c r="AQ20" s="235"/>
      <c r="AR20" s="235"/>
      <c r="AS20" s="235"/>
      <c r="AT20" s="235"/>
      <c r="AU20" s="235"/>
      <c r="AV20" s="235"/>
      <c r="AW20" s="235"/>
      <c r="AX20" s="235"/>
      <c r="AY20" s="235"/>
      <c r="AZ20" s="235"/>
      <c r="BA20" s="235"/>
      <c r="BB20" s="235"/>
      <c r="BC20" s="235"/>
      <c r="BD20" s="235"/>
      <c r="BE20" s="235"/>
      <c r="BF20" s="235"/>
      <c r="BG20" s="235"/>
      <c r="BH20" s="235"/>
      <c r="BI20" s="235"/>
      <c r="BJ20" s="235"/>
      <c r="BK20" s="235"/>
      <c r="BL20" s="413"/>
    </row>
    <row r="21" spans="3:64" s="179" customFormat="1" ht="15" customHeight="1">
      <c r="C21" s="703" t="str">
        <f>IF(Indice_index!$Z$1=1,"Outras receitas de capital","Other capital revenue")</f>
        <v>Other capital revenue</v>
      </c>
      <c r="D21" s="135"/>
      <c r="E21" s="135" t="s">
        <v>26</v>
      </c>
      <c r="F21" s="96"/>
      <c r="G21" s="135">
        <f t="shared" si="22"/>
        <v>0</v>
      </c>
      <c r="H21" s="135">
        <f t="shared" si="22"/>
        <v>0</v>
      </c>
      <c r="I21" s="135">
        <f t="shared" si="22"/>
        <v>0</v>
      </c>
      <c r="J21" s="135">
        <f t="shared" si="22"/>
        <v>0</v>
      </c>
      <c r="K21" s="135">
        <f t="shared" si="22"/>
        <v>0</v>
      </c>
      <c r="L21" s="135">
        <f t="shared" si="22"/>
        <v>0</v>
      </c>
      <c r="M21" s="135">
        <f t="shared" si="22"/>
        <v>0</v>
      </c>
      <c r="N21" s="135">
        <f t="shared" si="22"/>
        <v>0</v>
      </c>
      <c r="O21" s="135">
        <f t="shared" si="22"/>
        <v>0</v>
      </c>
      <c r="P21" s="135">
        <f t="shared" si="22"/>
        <v>0</v>
      </c>
      <c r="Q21" s="135">
        <f t="shared" si="22"/>
        <v>0</v>
      </c>
      <c r="R21" s="135">
        <f t="shared" si="22"/>
        <v>0</v>
      </c>
      <c r="S21" s="135">
        <f t="shared" si="22"/>
        <v>0</v>
      </c>
      <c r="T21" s="135">
        <f t="shared" si="22"/>
        <v>0</v>
      </c>
      <c r="U21" s="96"/>
      <c r="V21" s="135">
        <f t="shared" si="23"/>
        <v>0</v>
      </c>
      <c r="W21" s="135">
        <f t="shared" si="23"/>
        <v>0</v>
      </c>
      <c r="X21" s="135">
        <f t="shared" si="23"/>
        <v>0</v>
      </c>
      <c r="Y21" s="135">
        <f t="shared" si="23"/>
        <v>0</v>
      </c>
      <c r="Z21" s="135">
        <f t="shared" si="23"/>
        <v>0</v>
      </c>
      <c r="AA21" s="135">
        <f t="shared" si="23"/>
        <v>0</v>
      </c>
      <c r="AB21" s="135">
        <f t="shared" si="23"/>
        <v>0</v>
      </c>
      <c r="AC21" s="135">
        <f t="shared" si="23"/>
        <v>0</v>
      </c>
      <c r="AD21" s="135">
        <f t="shared" si="23"/>
        <v>0</v>
      </c>
      <c r="AE21" s="135">
        <f t="shared" si="23"/>
        <v>0</v>
      </c>
      <c r="AF21" s="135">
        <f t="shared" si="23"/>
        <v>0</v>
      </c>
      <c r="AG21" s="135">
        <f t="shared" si="23"/>
        <v>0</v>
      </c>
      <c r="AH21" s="135">
        <f t="shared" si="23"/>
        <v>0</v>
      </c>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413"/>
    </row>
    <row r="22" spans="3:64" s="179" customFormat="1" ht="4.5" customHeight="1">
      <c r="C22" s="1374"/>
      <c r="D22" s="135"/>
      <c r="E22" s="135"/>
      <c r="F22" s="96"/>
      <c r="G22" s="135"/>
      <c r="H22" s="135"/>
      <c r="I22" s="135"/>
      <c r="J22" s="135"/>
      <c r="K22" s="135"/>
      <c r="L22" s="135"/>
      <c r="M22" s="135"/>
      <c r="N22" s="135"/>
      <c r="O22" s="135"/>
      <c r="P22" s="135"/>
      <c r="Q22" s="135"/>
      <c r="R22" s="135"/>
      <c r="S22" s="135"/>
      <c r="T22" s="135"/>
      <c r="U22" s="96"/>
      <c r="V22" s="135"/>
      <c r="W22" s="135"/>
      <c r="X22" s="135"/>
      <c r="Y22" s="135"/>
      <c r="Z22" s="135"/>
      <c r="AA22" s="135"/>
      <c r="AB22" s="135"/>
      <c r="AC22" s="135"/>
      <c r="AD22" s="135"/>
      <c r="AE22" s="135"/>
      <c r="AF22" s="135"/>
      <c r="AG22" s="135"/>
      <c r="AH22" s="135"/>
      <c r="AJ22" s="235"/>
      <c r="AK22" s="235"/>
      <c r="AL22" s="235"/>
      <c r="AM22" s="235"/>
      <c r="AN22" s="235"/>
      <c r="AO22" s="235"/>
      <c r="AP22" s="235"/>
      <c r="AQ22" s="235"/>
      <c r="AR22" s="235"/>
      <c r="AS22" s="235"/>
      <c r="AT22" s="235"/>
      <c r="AU22" s="235"/>
      <c r="AV22" s="235"/>
      <c r="AW22" s="235"/>
      <c r="AX22" s="235"/>
      <c r="AY22" s="235"/>
      <c r="AZ22" s="235"/>
      <c r="BA22" s="235"/>
      <c r="BB22" s="235"/>
      <c r="BC22" s="235"/>
      <c r="BD22" s="235"/>
      <c r="BE22" s="235"/>
      <c r="BF22" s="235"/>
      <c r="BG22" s="235"/>
      <c r="BH22" s="235"/>
      <c r="BI22" s="235"/>
      <c r="BJ22" s="235"/>
      <c r="BK22" s="235"/>
      <c r="BL22" s="413"/>
    </row>
    <row r="23" spans="3:64" s="318" customFormat="1" ht="15" customHeight="1">
      <c r="C23" s="1375" t="str">
        <f>IF(Indice_index!$Z$1=1,"Receita efetiva","Effective revenue")</f>
        <v>Effective revenue</v>
      </c>
      <c r="D23" s="1376"/>
      <c r="E23" s="1377"/>
      <c r="F23" s="250"/>
      <c r="G23" s="1376">
        <f t="shared" ref="G23:T23" si="24">+G8+G16</f>
        <v>58.729722030000005</v>
      </c>
      <c r="H23" s="1377">
        <f t="shared" si="24"/>
        <v>76.155476960000001</v>
      </c>
      <c r="I23" s="1377">
        <f t="shared" si="24"/>
        <v>128.68634004999998</v>
      </c>
      <c r="J23" s="1377">
        <f t="shared" si="24"/>
        <v>69.781900579999984</v>
      </c>
      <c r="K23" s="1377">
        <f t="shared" si="24"/>
        <v>375.48363393000005</v>
      </c>
      <c r="L23" s="1377">
        <f t="shared" si="24"/>
        <v>89.418738279999999</v>
      </c>
      <c r="M23" s="1377">
        <f t="shared" si="24"/>
        <v>22.32705601</v>
      </c>
      <c r="N23" s="1377">
        <f t="shared" si="24"/>
        <v>16.159748709999999</v>
      </c>
      <c r="O23" s="1377">
        <f t="shared" si="24"/>
        <v>22.437207060000002</v>
      </c>
      <c r="P23" s="1377">
        <f t="shared" si="24"/>
        <v>74.431590709999995</v>
      </c>
      <c r="Q23" s="1377">
        <f t="shared" si="24"/>
        <v>653.0488730300001</v>
      </c>
      <c r="R23" s="1377">
        <f t="shared" si="24"/>
        <v>552.70443967999995</v>
      </c>
      <c r="S23" s="1377">
        <f t="shared" si="24"/>
        <v>1586.6602873499999</v>
      </c>
      <c r="T23" s="1376">
        <f t="shared" si="24"/>
        <v>2139.3647270299998</v>
      </c>
      <c r="U23" s="250"/>
      <c r="V23" s="1376">
        <f t="shared" ref="V23:AH23" si="25">+V8+V16</f>
        <v>81.355944469999997</v>
      </c>
      <c r="W23" s="1377">
        <f t="shared" si="25"/>
        <v>49.06931307</v>
      </c>
      <c r="X23" s="1377">
        <f t="shared" si="25"/>
        <v>82.151623739999991</v>
      </c>
      <c r="Y23" s="1377">
        <f t="shared" si="25"/>
        <v>52.417114399999996</v>
      </c>
      <c r="Z23" s="1377">
        <f t="shared" si="25"/>
        <v>326.45193912000002</v>
      </c>
      <c r="AA23" s="1377">
        <f t="shared" si="25"/>
        <v>315.39769131000003</v>
      </c>
      <c r="AB23" s="1377">
        <f t="shared" ref="AB23" si="26">+AB8+AB16</f>
        <v>33.325220420000001</v>
      </c>
      <c r="AC23" s="1377">
        <f t="shared" si="25"/>
        <v>19.32709805</v>
      </c>
      <c r="AD23" s="1377">
        <f t="shared" si="25"/>
        <v>17.472382710000002</v>
      </c>
      <c r="AE23" s="1377">
        <f t="shared" si="25"/>
        <v>134.8039225</v>
      </c>
      <c r="AF23" s="1377">
        <f t="shared" si="25"/>
        <v>417.39163814999995</v>
      </c>
      <c r="AG23" s="1377">
        <f t="shared" si="25"/>
        <v>0</v>
      </c>
      <c r="AH23" s="1376">
        <f t="shared" si="25"/>
        <v>1529.1638879400002</v>
      </c>
      <c r="AJ23" s="319"/>
      <c r="AK23" s="319"/>
      <c r="AL23" s="319"/>
      <c r="AM23" s="319"/>
      <c r="AN23" s="319"/>
      <c r="AO23" s="319"/>
      <c r="AP23" s="319"/>
      <c r="AQ23" s="319"/>
      <c r="AR23" s="319"/>
      <c r="AS23" s="319"/>
      <c r="AT23" s="319"/>
      <c r="AU23" s="319"/>
      <c r="AV23" s="319"/>
      <c r="AW23" s="319"/>
      <c r="AX23" s="319"/>
      <c r="AY23" s="319"/>
      <c r="AZ23" s="319"/>
      <c r="BA23" s="319"/>
      <c r="BB23" s="319"/>
      <c r="BC23" s="319"/>
      <c r="BD23" s="319"/>
      <c r="BE23" s="319"/>
      <c r="BF23" s="319"/>
      <c r="BG23" s="319"/>
      <c r="BH23" s="319"/>
      <c r="BI23" s="319"/>
      <c r="BJ23" s="319"/>
      <c r="BK23" s="319"/>
      <c r="BL23" s="414"/>
    </row>
    <row r="24" spans="3:64" s="179" customFormat="1" ht="4.5" customHeight="1">
      <c r="C24" s="1374"/>
      <c r="D24" s="135"/>
      <c r="E24" s="135"/>
      <c r="F24" s="96"/>
      <c r="G24" s="135"/>
      <c r="H24" s="135"/>
      <c r="I24" s="135"/>
      <c r="J24" s="135"/>
      <c r="K24" s="135"/>
      <c r="L24" s="135"/>
      <c r="M24" s="135"/>
      <c r="N24" s="135"/>
      <c r="O24" s="135"/>
      <c r="P24" s="135"/>
      <c r="Q24" s="135"/>
      <c r="R24" s="135"/>
      <c r="S24" s="135"/>
      <c r="T24" s="135"/>
      <c r="U24" s="96"/>
      <c r="V24" s="135"/>
      <c r="W24" s="135"/>
      <c r="X24" s="135"/>
      <c r="Y24" s="135"/>
      <c r="Z24" s="135"/>
      <c r="AA24" s="135"/>
      <c r="AB24" s="135"/>
      <c r="AC24" s="135"/>
      <c r="AD24" s="135"/>
      <c r="AE24" s="135"/>
      <c r="AF24" s="135"/>
      <c r="AG24" s="135"/>
      <c r="AH24" s="135"/>
      <c r="AJ24" s="235"/>
      <c r="AK24" s="235"/>
      <c r="AL24" s="235"/>
      <c r="AM24" s="235"/>
      <c r="AN24" s="235"/>
      <c r="AO24" s="235"/>
      <c r="AP24" s="235"/>
      <c r="AQ24" s="235"/>
      <c r="AR24" s="235"/>
      <c r="AS24" s="235"/>
      <c r="AT24" s="235"/>
      <c r="AU24" s="235"/>
      <c r="AV24" s="235"/>
      <c r="AW24" s="235"/>
      <c r="AX24" s="235"/>
      <c r="AY24" s="235"/>
      <c r="AZ24" s="235"/>
      <c r="BA24" s="235"/>
      <c r="BB24" s="235"/>
      <c r="BC24" s="235"/>
      <c r="BD24" s="235"/>
      <c r="BE24" s="235"/>
      <c r="BF24" s="235"/>
      <c r="BG24" s="235"/>
      <c r="BH24" s="235"/>
      <c r="BI24" s="235"/>
      <c r="BJ24" s="235"/>
      <c r="BK24" s="235"/>
      <c r="BL24" s="413"/>
    </row>
    <row r="25" spans="3:64" s="317" customFormat="1" ht="15" customHeight="1">
      <c r="C25" s="318" t="str">
        <f>IF(Indice_index!$Z$1=1,"Despesa corrente","Current expenditure")</f>
        <v>Current expenditure</v>
      </c>
      <c r="D25" s="1372"/>
      <c r="E25" s="1372"/>
      <c r="F25" s="250"/>
      <c r="G25" s="1372">
        <f t="shared" ref="G25:R25" si="27">+G26+G27+G28+G29+G32+G33</f>
        <v>44.129766109999998</v>
      </c>
      <c r="H25" s="1372">
        <f t="shared" si="27"/>
        <v>0</v>
      </c>
      <c r="I25" s="1372">
        <f t="shared" si="27"/>
        <v>87.3</v>
      </c>
      <c r="J25" s="1372">
        <f t="shared" si="27"/>
        <v>5.8756139999999988</v>
      </c>
      <c r="K25" s="1372">
        <f t="shared" si="27"/>
        <v>0</v>
      </c>
      <c r="L25" s="1372">
        <f t="shared" si="27"/>
        <v>0</v>
      </c>
      <c r="M25" s="1372">
        <f t="shared" si="27"/>
        <v>-270.43729654000003</v>
      </c>
      <c r="N25" s="1372">
        <f t="shared" si="27"/>
        <v>334.63643481999998</v>
      </c>
      <c r="O25" s="1372">
        <f t="shared" si="27"/>
        <v>9.7948094399999945</v>
      </c>
      <c r="P25" s="1372">
        <f t="shared" si="27"/>
        <v>5.8698915900000319</v>
      </c>
      <c r="Q25" s="1372">
        <f t="shared" si="27"/>
        <v>-1.2073909999969601E-2</v>
      </c>
      <c r="R25" s="1372">
        <f t="shared" si="27"/>
        <v>571.33993764000002</v>
      </c>
      <c r="S25" s="1372">
        <f>+S26+S27+S28+S29+S32+S33</f>
        <v>217.15714551000002</v>
      </c>
      <c r="T25" s="1372">
        <f>SUM(G25:R25)</f>
        <v>788.49708314999998</v>
      </c>
      <c r="U25" s="250"/>
      <c r="V25" s="1372">
        <f t="shared" ref="V25:AG25" si="28">+V26+V27+V28+V29+V32+V33</f>
        <v>21.59949417</v>
      </c>
      <c r="W25" s="1372">
        <f t="shared" si="28"/>
        <v>6.1171480000000003</v>
      </c>
      <c r="X25" s="1372">
        <f t="shared" si="28"/>
        <v>1.9571480000000001</v>
      </c>
      <c r="Y25" s="1372">
        <f t="shared" si="28"/>
        <v>1.9571480000000001</v>
      </c>
      <c r="Z25" s="1372">
        <f t="shared" si="28"/>
        <v>1.9571480000000001</v>
      </c>
      <c r="AA25" s="1372">
        <f t="shared" si="28"/>
        <v>1.9571480000000001</v>
      </c>
      <c r="AB25" s="1372">
        <f>+AB26+AB27+AB28+AB29+AB32+AB33</f>
        <v>30.518876999999996</v>
      </c>
      <c r="AC25" s="1372">
        <f t="shared" si="28"/>
        <v>0</v>
      </c>
      <c r="AD25" s="1372">
        <f t="shared" si="28"/>
        <v>0</v>
      </c>
      <c r="AE25" s="1372">
        <f t="shared" si="28"/>
        <v>22.092358000000004</v>
      </c>
      <c r="AF25" s="1372">
        <f t="shared" si="28"/>
        <v>0</v>
      </c>
      <c r="AG25" s="1372">
        <f t="shared" si="28"/>
        <v>0</v>
      </c>
      <c r="AH25" s="1372">
        <f>SUM(V25:AG25)</f>
        <v>88.156469169999994</v>
      </c>
      <c r="AJ25" s="319"/>
      <c r="AK25" s="319"/>
      <c r="AL25" s="319"/>
      <c r="AM25" s="319"/>
      <c r="AN25" s="319"/>
      <c r="AO25" s="319"/>
      <c r="AP25" s="319"/>
      <c r="AQ25" s="319"/>
      <c r="AR25" s="319"/>
      <c r="AS25" s="319"/>
      <c r="AT25" s="319"/>
      <c r="AU25" s="319"/>
      <c r="AV25" s="319"/>
      <c r="AW25" s="319"/>
      <c r="AX25" s="319"/>
      <c r="AY25" s="319"/>
      <c r="AZ25" s="319"/>
      <c r="BA25" s="319"/>
      <c r="BB25" s="319"/>
      <c r="BC25" s="319"/>
      <c r="BD25" s="319"/>
      <c r="BE25" s="319"/>
      <c r="BF25" s="319"/>
      <c r="BG25" s="319"/>
      <c r="BH25" s="319"/>
      <c r="BI25" s="319"/>
      <c r="BJ25" s="319"/>
      <c r="BK25" s="319"/>
      <c r="BL25" s="414"/>
    </row>
    <row r="26" spans="3:64" s="179" customFormat="1" ht="15" customHeight="1">
      <c r="C26" s="703" t="str">
        <f>IF(Indice_index!$Z$1=1,"Despesas com o pessoal","Employees")</f>
        <v>Employees</v>
      </c>
      <c r="D26" s="135"/>
      <c r="E26" s="135" t="s">
        <v>27</v>
      </c>
      <c r="F26" s="96"/>
      <c r="G26" s="135">
        <f t="shared" ref="G26:T28" si="29">+SUMIF($E$56:$E$86,$E26,G$56:G$86)</f>
        <v>38.25415211</v>
      </c>
      <c r="H26" s="135">
        <f t="shared" si="29"/>
        <v>0</v>
      </c>
      <c r="I26" s="135">
        <f t="shared" si="29"/>
        <v>0</v>
      </c>
      <c r="J26" s="135">
        <f t="shared" si="29"/>
        <v>0</v>
      </c>
      <c r="K26" s="135">
        <f t="shared" si="29"/>
        <v>0</v>
      </c>
      <c r="L26" s="135">
        <f t="shared" si="29"/>
        <v>0</v>
      </c>
      <c r="M26" s="135">
        <f t="shared" si="29"/>
        <v>0</v>
      </c>
      <c r="N26" s="135">
        <f t="shared" si="29"/>
        <v>0</v>
      </c>
      <c r="O26" s="135">
        <f t="shared" si="29"/>
        <v>0</v>
      </c>
      <c r="P26" s="135">
        <f t="shared" si="29"/>
        <v>0</v>
      </c>
      <c r="Q26" s="135">
        <f t="shared" si="29"/>
        <v>0</v>
      </c>
      <c r="R26" s="135">
        <f t="shared" si="29"/>
        <v>0</v>
      </c>
      <c r="S26" s="135">
        <f t="shared" si="29"/>
        <v>38.25415211</v>
      </c>
      <c r="T26" s="135">
        <f t="shared" si="29"/>
        <v>38.25415211</v>
      </c>
      <c r="U26" s="96"/>
      <c r="V26" s="135">
        <f t="shared" ref="V26:AH28" si="30">+SUMIF($E$56:$E$86,$E26,V$56:V$86)</f>
        <v>1.3520901699999999</v>
      </c>
      <c r="W26" s="135">
        <f t="shared" si="30"/>
        <v>0</v>
      </c>
      <c r="X26" s="135">
        <f t="shared" si="30"/>
        <v>0</v>
      </c>
      <c r="Y26" s="135">
        <f t="shared" si="30"/>
        <v>0</v>
      </c>
      <c r="Z26" s="135">
        <f t="shared" si="30"/>
        <v>0</v>
      </c>
      <c r="AA26" s="135">
        <f t="shared" si="30"/>
        <v>0</v>
      </c>
      <c r="AB26" s="135">
        <f t="shared" si="30"/>
        <v>0</v>
      </c>
      <c r="AC26" s="135">
        <f t="shared" si="30"/>
        <v>0</v>
      </c>
      <c r="AD26" s="135">
        <f t="shared" si="30"/>
        <v>0</v>
      </c>
      <c r="AE26" s="135">
        <f t="shared" si="30"/>
        <v>0</v>
      </c>
      <c r="AF26" s="135">
        <f t="shared" si="30"/>
        <v>0</v>
      </c>
      <c r="AG26" s="135">
        <f t="shared" si="30"/>
        <v>0</v>
      </c>
      <c r="AH26" s="135">
        <f t="shared" si="30"/>
        <v>1.3520901699999999</v>
      </c>
      <c r="AJ26" s="235"/>
      <c r="AK26" s="235"/>
      <c r="AL26" s="235"/>
      <c r="AM26" s="235"/>
      <c r="AN26" s="235"/>
      <c r="AO26" s="235"/>
      <c r="AP26" s="235"/>
      <c r="AQ26" s="235"/>
      <c r="AR26" s="235"/>
      <c r="AS26" s="235"/>
      <c r="AT26" s="235"/>
      <c r="AU26" s="235"/>
      <c r="AV26" s="235"/>
      <c r="AW26" s="235"/>
      <c r="AX26" s="235"/>
      <c r="AY26" s="235"/>
      <c r="AZ26" s="235"/>
      <c r="BA26" s="235"/>
      <c r="BB26" s="235"/>
      <c r="BC26" s="235"/>
      <c r="BD26" s="235"/>
      <c r="BE26" s="235"/>
      <c r="BF26" s="235"/>
      <c r="BG26" s="235"/>
      <c r="BH26" s="235"/>
      <c r="BI26" s="235"/>
      <c r="BJ26" s="235"/>
      <c r="BK26" s="235"/>
      <c r="BL26" s="413"/>
    </row>
    <row r="27" spans="3:64" s="179" customFormat="1" ht="15" customHeight="1">
      <c r="C27" s="703" t="str">
        <f>IF(Indice_index!$Z$1=1,"Aquisição de bens e serviços","Purchase of goods and services")</f>
        <v>Purchase of goods and services</v>
      </c>
      <c r="D27" s="135"/>
      <c r="E27" s="135" t="s">
        <v>28</v>
      </c>
      <c r="F27" s="96"/>
      <c r="G27" s="135">
        <f t="shared" si="29"/>
        <v>0</v>
      </c>
      <c r="H27" s="135">
        <f t="shared" si="29"/>
        <v>0</v>
      </c>
      <c r="I27" s="135">
        <f t="shared" si="29"/>
        <v>0</v>
      </c>
      <c r="J27" s="135">
        <f t="shared" si="29"/>
        <v>0</v>
      </c>
      <c r="K27" s="135">
        <f t="shared" si="29"/>
        <v>0</v>
      </c>
      <c r="L27" s="135">
        <f t="shared" si="29"/>
        <v>0</v>
      </c>
      <c r="M27" s="135">
        <f t="shared" si="29"/>
        <v>0</v>
      </c>
      <c r="N27" s="135">
        <f t="shared" si="29"/>
        <v>0</v>
      </c>
      <c r="O27" s="135">
        <f t="shared" si="29"/>
        <v>0</v>
      </c>
      <c r="P27" s="135">
        <f t="shared" si="29"/>
        <v>0</v>
      </c>
      <c r="Q27" s="135">
        <f t="shared" si="29"/>
        <v>0</v>
      </c>
      <c r="R27" s="135">
        <f t="shared" si="29"/>
        <v>-115.58609199999999</v>
      </c>
      <c r="S27" s="135">
        <f t="shared" si="29"/>
        <v>0</v>
      </c>
      <c r="T27" s="135">
        <f t="shared" si="29"/>
        <v>-115.58609199999999</v>
      </c>
      <c r="U27" s="96"/>
      <c r="V27" s="135">
        <f t="shared" si="30"/>
        <v>18.290255999999999</v>
      </c>
      <c r="W27" s="135">
        <f t="shared" si="30"/>
        <v>0</v>
      </c>
      <c r="X27" s="135">
        <f t="shared" si="30"/>
        <v>0</v>
      </c>
      <c r="Y27" s="135">
        <f t="shared" si="30"/>
        <v>0</v>
      </c>
      <c r="Z27" s="135">
        <f t="shared" si="30"/>
        <v>0</v>
      </c>
      <c r="AA27" s="135">
        <f t="shared" si="30"/>
        <v>0</v>
      </c>
      <c r="AB27" s="135">
        <f t="shared" si="30"/>
        <v>0</v>
      </c>
      <c r="AC27" s="135">
        <f t="shared" si="30"/>
        <v>0</v>
      </c>
      <c r="AD27" s="135">
        <f t="shared" si="30"/>
        <v>0</v>
      </c>
      <c r="AE27" s="135">
        <f t="shared" si="30"/>
        <v>0</v>
      </c>
      <c r="AF27" s="135">
        <f t="shared" si="30"/>
        <v>0</v>
      </c>
      <c r="AG27" s="135">
        <f t="shared" si="30"/>
        <v>0</v>
      </c>
      <c r="AH27" s="135">
        <f t="shared" si="30"/>
        <v>18.290255999999999</v>
      </c>
      <c r="AJ27" s="235"/>
      <c r="AK27" s="235"/>
      <c r="AL27" s="235"/>
      <c r="AM27" s="235"/>
      <c r="AN27" s="235"/>
      <c r="AO27" s="235"/>
      <c r="AP27" s="235"/>
      <c r="AQ27" s="235"/>
      <c r="AR27" s="235"/>
      <c r="AS27" s="235"/>
      <c r="AT27" s="235"/>
      <c r="AU27" s="235"/>
      <c r="AV27" s="235"/>
      <c r="AW27" s="235"/>
      <c r="AX27" s="235"/>
      <c r="AY27" s="235"/>
      <c r="AZ27" s="235"/>
      <c r="BA27" s="235"/>
      <c r="BB27" s="235"/>
      <c r="BC27" s="235"/>
      <c r="BD27" s="235"/>
      <c r="BE27" s="235"/>
      <c r="BF27" s="235"/>
      <c r="BG27" s="235"/>
      <c r="BH27" s="235"/>
      <c r="BI27" s="235"/>
      <c r="BJ27" s="235"/>
      <c r="BK27" s="235"/>
      <c r="BL27" s="413"/>
    </row>
    <row r="28" spans="3:64" s="179" customFormat="1" ht="15" customHeight="1">
      <c r="C28" s="703" t="str">
        <f>IF(Indice_index!$Z$1=1,"Juros e outros encargos","Interests and other charges")</f>
        <v>Interests and other charges</v>
      </c>
      <c r="D28" s="135"/>
      <c r="E28" s="135" t="s">
        <v>29</v>
      </c>
      <c r="F28" s="96"/>
      <c r="G28" s="135">
        <f t="shared" si="29"/>
        <v>0</v>
      </c>
      <c r="H28" s="135">
        <f t="shared" si="29"/>
        <v>0</v>
      </c>
      <c r="I28" s="135">
        <f t="shared" si="29"/>
        <v>0</v>
      </c>
      <c r="J28" s="135">
        <f t="shared" si="29"/>
        <v>0</v>
      </c>
      <c r="K28" s="135">
        <f t="shared" si="29"/>
        <v>0</v>
      </c>
      <c r="L28" s="135">
        <f t="shared" si="29"/>
        <v>0</v>
      </c>
      <c r="M28" s="135">
        <f t="shared" si="29"/>
        <v>-286.65263454000001</v>
      </c>
      <c r="N28" s="135">
        <f t="shared" si="29"/>
        <v>0</v>
      </c>
      <c r="O28" s="135">
        <f t="shared" si="29"/>
        <v>0</v>
      </c>
      <c r="P28" s="135">
        <f t="shared" si="29"/>
        <v>0</v>
      </c>
      <c r="Q28" s="135">
        <f t="shared" si="29"/>
        <v>0</v>
      </c>
      <c r="R28" s="135">
        <f t="shared" si="29"/>
        <v>0</v>
      </c>
      <c r="S28" s="135">
        <f t="shared" si="29"/>
        <v>-286.65263454000001</v>
      </c>
      <c r="T28" s="135">
        <f t="shared" si="29"/>
        <v>-286.65263454000001</v>
      </c>
      <c r="U28" s="96"/>
      <c r="V28" s="135">
        <f t="shared" si="30"/>
        <v>0</v>
      </c>
      <c r="W28" s="135">
        <f t="shared" si="30"/>
        <v>0</v>
      </c>
      <c r="X28" s="135">
        <f t="shared" si="30"/>
        <v>0</v>
      </c>
      <c r="Y28" s="135">
        <f t="shared" si="30"/>
        <v>0</v>
      </c>
      <c r="Z28" s="135">
        <f t="shared" si="30"/>
        <v>0</v>
      </c>
      <c r="AA28" s="135">
        <f t="shared" si="30"/>
        <v>0</v>
      </c>
      <c r="AB28" s="135">
        <f t="shared" si="30"/>
        <v>0</v>
      </c>
      <c r="AC28" s="135">
        <f t="shared" si="30"/>
        <v>0</v>
      </c>
      <c r="AD28" s="135">
        <f t="shared" si="30"/>
        <v>0</v>
      </c>
      <c r="AE28" s="135">
        <f t="shared" si="30"/>
        <v>0</v>
      </c>
      <c r="AF28" s="135">
        <f t="shared" si="30"/>
        <v>0</v>
      </c>
      <c r="AG28" s="135">
        <f t="shared" si="30"/>
        <v>0</v>
      </c>
      <c r="AH28" s="135">
        <f t="shared" si="30"/>
        <v>0</v>
      </c>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35"/>
      <c r="BL28" s="413"/>
    </row>
    <row r="29" spans="3:64" s="179" customFormat="1" ht="15" customHeight="1">
      <c r="C29" s="703" t="str">
        <f>IF(Indice_index!$Z$1=1,"Transferências Correntes","Current transfers")</f>
        <v>Current transfers</v>
      </c>
      <c r="D29" s="135"/>
      <c r="E29" s="135" t="s">
        <v>30</v>
      </c>
      <c r="F29" s="96"/>
      <c r="G29" s="135">
        <f t="shared" ref="G29:T29" si="31">+G30+G31</f>
        <v>5.8756139999999997</v>
      </c>
      <c r="H29" s="135">
        <f t="shared" si="31"/>
        <v>0</v>
      </c>
      <c r="I29" s="135">
        <f t="shared" si="31"/>
        <v>87.3</v>
      </c>
      <c r="J29" s="135">
        <f t="shared" si="31"/>
        <v>5.8756139999999988</v>
      </c>
      <c r="K29" s="135">
        <f t="shared" si="31"/>
        <v>0</v>
      </c>
      <c r="L29" s="135">
        <f t="shared" si="31"/>
        <v>0</v>
      </c>
      <c r="M29" s="135">
        <f t="shared" si="31"/>
        <v>16.215338000000003</v>
      </c>
      <c r="N29" s="135">
        <f t="shared" si="31"/>
        <v>334.63643481999998</v>
      </c>
      <c r="O29" s="135">
        <f t="shared" si="31"/>
        <v>9.7948094399999981</v>
      </c>
      <c r="P29" s="135">
        <f t="shared" si="31"/>
        <v>5.8698915900000319</v>
      </c>
      <c r="Q29" s="135">
        <f t="shared" si="31"/>
        <v>-1.2073909999966621E-2</v>
      </c>
      <c r="R29" s="135">
        <f t="shared" si="31"/>
        <v>686.92602964000002</v>
      </c>
      <c r="S29" s="135">
        <f t="shared" si="31"/>
        <v>465.55562794000002</v>
      </c>
      <c r="T29" s="135">
        <f t="shared" si="31"/>
        <v>1152.4816575800003</v>
      </c>
      <c r="U29" s="96"/>
      <c r="V29" s="135">
        <f t="shared" ref="V29:AH29" si="32">+V30+V31</f>
        <v>1.9571480000000001</v>
      </c>
      <c r="W29" s="135">
        <f t="shared" si="32"/>
        <v>6.1171480000000003</v>
      </c>
      <c r="X29" s="135">
        <f t="shared" si="32"/>
        <v>1.9571480000000001</v>
      </c>
      <c r="Y29" s="135">
        <f t="shared" si="32"/>
        <v>1.9571480000000001</v>
      </c>
      <c r="Z29" s="135">
        <f t="shared" si="32"/>
        <v>1.9571480000000001</v>
      </c>
      <c r="AA29" s="135">
        <f t="shared" si="32"/>
        <v>1.9571480000000001</v>
      </c>
      <c r="AB29" s="135">
        <f t="shared" ref="AB29" si="33">+AB30+AB31</f>
        <v>30.518876999999996</v>
      </c>
      <c r="AC29" s="135">
        <f t="shared" si="32"/>
        <v>0</v>
      </c>
      <c r="AD29" s="135">
        <f t="shared" si="32"/>
        <v>0</v>
      </c>
      <c r="AE29" s="135">
        <f t="shared" si="32"/>
        <v>22.092358000000004</v>
      </c>
      <c r="AF29" s="135">
        <f t="shared" si="32"/>
        <v>0</v>
      </c>
      <c r="AG29" s="135">
        <f t="shared" si="32"/>
        <v>0</v>
      </c>
      <c r="AH29" s="135">
        <f t="shared" si="32"/>
        <v>68.514122999999998</v>
      </c>
      <c r="AJ29" s="235"/>
      <c r="AK29" s="235"/>
      <c r="AL29" s="235"/>
      <c r="AM29" s="235"/>
      <c r="AN29" s="235"/>
      <c r="AO29" s="235"/>
      <c r="AP29" s="235"/>
      <c r="AQ29" s="235"/>
      <c r="AR29" s="235"/>
      <c r="AS29" s="235"/>
      <c r="AT29" s="235"/>
      <c r="AU29" s="235"/>
      <c r="AV29" s="235"/>
      <c r="AW29" s="235"/>
      <c r="AX29" s="235"/>
      <c r="AY29" s="235"/>
      <c r="AZ29" s="235"/>
      <c r="BA29" s="235"/>
      <c r="BB29" s="235"/>
      <c r="BC29" s="235"/>
      <c r="BD29" s="235"/>
      <c r="BE29" s="235"/>
      <c r="BF29" s="235"/>
      <c r="BG29" s="235"/>
      <c r="BH29" s="235"/>
      <c r="BI29" s="235"/>
      <c r="BJ29" s="235"/>
      <c r="BK29" s="235"/>
      <c r="BL29" s="413"/>
    </row>
    <row r="30" spans="3:64" s="179" customFormat="1" ht="15" customHeight="1">
      <c r="C30" s="1373" t="str">
        <f>IF(Indice_index!$Z$1=1,"Administrações Públicas","General Government subsectors")</f>
        <v>General Government subsectors</v>
      </c>
      <c r="D30" s="135"/>
      <c r="E30" s="135" t="s">
        <v>85</v>
      </c>
      <c r="F30" s="96"/>
      <c r="G30" s="135">
        <f t="shared" ref="G30:T33" si="34">+SUMIF($E$56:$E$86,$E30,G$56:G$86)</f>
        <v>5.8756139999999997</v>
      </c>
      <c r="H30" s="135">
        <f t="shared" si="34"/>
        <v>0</v>
      </c>
      <c r="I30" s="135">
        <f t="shared" si="34"/>
        <v>0</v>
      </c>
      <c r="J30" s="135">
        <f t="shared" si="34"/>
        <v>5.8756139999999988</v>
      </c>
      <c r="K30" s="135">
        <f t="shared" si="34"/>
        <v>0</v>
      </c>
      <c r="L30" s="135">
        <f t="shared" si="34"/>
        <v>0</v>
      </c>
      <c r="M30" s="135">
        <f t="shared" si="34"/>
        <v>5.8753380000000011</v>
      </c>
      <c r="N30" s="135">
        <f t="shared" si="34"/>
        <v>334.63643481999998</v>
      </c>
      <c r="O30" s="135">
        <f t="shared" si="34"/>
        <v>9.7948094399999981</v>
      </c>
      <c r="P30" s="135">
        <f t="shared" si="34"/>
        <v>5.8698915900000319</v>
      </c>
      <c r="Q30" s="135">
        <f t="shared" si="34"/>
        <v>-1.2073909999966621E-2</v>
      </c>
      <c r="R30" s="135">
        <f t="shared" si="34"/>
        <v>686.92602964000002</v>
      </c>
      <c r="S30" s="135">
        <f t="shared" si="34"/>
        <v>367.91562794000004</v>
      </c>
      <c r="T30" s="135">
        <f t="shared" si="34"/>
        <v>1054.8416575800002</v>
      </c>
      <c r="U30" s="96"/>
      <c r="V30" s="135">
        <f t="shared" ref="V30:AH33" si="35">+SUMIF($E$56:$E$86,$E30,V$56:V$86)</f>
        <v>1.9571480000000001</v>
      </c>
      <c r="W30" s="135">
        <f t="shared" si="35"/>
        <v>1.9571480000000001</v>
      </c>
      <c r="X30" s="135">
        <f t="shared" si="35"/>
        <v>1.9571480000000001</v>
      </c>
      <c r="Y30" s="135">
        <f t="shared" si="35"/>
        <v>1.9571480000000001</v>
      </c>
      <c r="Z30" s="135">
        <f t="shared" si="35"/>
        <v>1.9571480000000001</v>
      </c>
      <c r="AA30" s="135">
        <f t="shared" si="35"/>
        <v>1.9571480000000001</v>
      </c>
      <c r="AB30" s="135">
        <f t="shared" si="35"/>
        <v>30.518876999999996</v>
      </c>
      <c r="AC30" s="135">
        <f t="shared" si="35"/>
        <v>0</v>
      </c>
      <c r="AD30" s="135">
        <f t="shared" si="35"/>
        <v>0</v>
      </c>
      <c r="AE30" s="135">
        <f t="shared" si="35"/>
        <v>14.092358000000004</v>
      </c>
      <c r="AF30" s="135">
        <f t="shared" si="35"/>
        <v>0</v>
      </c>
      <c r="AG30" s="135">
        <f t="shared" si="35"/>
        <v>0</v>
      </c>
      <c r="AH30" s="135">
        <f t="shared" si="35"/>
        <v>56.354123000000001</v>
      </c>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35"/>
      <c r="BL30" s="413"/>
    </row>
    <row r="31" spans="3:64" s="179" customFormat="1" ht="15" customHeight="1">
      <c r="C31" s="1373" t="str">
        <f>IF(Indice_index!$Z$1=1,"Outras","Others")</f>
        <v>Others</v>
      </c>
      <c r="D31" s="135"/>
      <c r="E31" s="135" t="s">
        <v>31</v>
      </c>
      <c r="F31" s="96"/>
      <c r="G31" s="135">
        <f t="shared" si="34"/>
        <v>0</v>
      </c>
      <c r="H31" s="135">
        <f t="shared" si="34"/>
        <v>0</v>
      </c>
      <c r="I31" s="135">
        <f t="shared" si="34"/>
        <v>87.3</v>
      </c>
      <c r="J31" s="135">
        <f t="shared" si="34"/>
        <v>0</v>
      </c>
      <c r="K31" s="135">
        <f t="shared" si="34"/>
        <v>0</v>
      </c>
      <c r="L31" s="135">
        <f t="shared" si="34"/>
        <v>0</v>
      </c>
      <c r="M31" s="135">
        <f t="shared" si="34"/>
        <v>10.34</v>
      </c>
      <c r="N31" s="135">
        <f t="shared" si="34"/>
        <v>0</v>
      </c>
      <c r="O31" s="135">
        <f t="shared" si="34"/>
        <v>0</v>
      </c>
      <c r="P31" s="135">
        <f t="shared" si="34"/>
        <v>0</v>
      </c>
      <c r="Q31" s="135">
        <f t="shared" si="34"/>
        <v>0</v>
      </c>
      <c r="R31" s="135">
        <f t="shared" si="34"/>
        <v>0</v>
      </c>
      <c r="S31" s="135">
        <f t="shared" si="34"/>
        <v>97.64</v>
      </c>
      <c r="T31" s="135">
        <f t="shared" si="34"/>
        <v>97.64</v>
      </c>
      <c r="U31" s="96"/>
      <c r="V31" s="135">
        <f t="shared" si="35"/>
        <v>0</v>
      </c>
      <c r="W31" s="135">
        <f t="shared" si="35"/>
        <v>4.16</v>
      </c>
      <c r="X31" s="135">
        <f t="shared" si="35"/>
        <v>0</v>
      </c>
      <c r="Y31" s="135">
        <f t="shared" si="35"/>
        <v>0</v>
      </c>
      <c r="Z31" s="135">
        <f t="shared" si="35"/>
        <v>0</v>
      </c>
      <c r="AA31" s="135">
        <f t="shared" si="35"/>
        <v>0</v>
      </c>
      <c r="AB31" s="135">
        <f t="shared" si="35"/>
        <v>0</v>
      </c>
      <c r="AC31" s="135">
        <f t="shared" si="35"/>
        <v>0</v>
      </c>
      <c r="AD31" s="135">
        <f t="shared" si="35"/>
        <v>0</v>
      </c>
      <c r="AE31" s="135">
        <f t="shared" si="35"/>
        <v>8</v>
      </c>
      <c r="AF31" s="135">
        <f t="shared" si="35"/>
        <v>0</v>
      </c>
      <c r="AG31" s="135">
        <f t="shared" si="35"/>
        <v>0</v>
      </c>
      <c r="AH31" s="135">
        <f t="shared" si="35"/>
        <v>12.16</v>
      </c>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35"/>
      <c r="BL31" s="413"/>
    </row>
    <row r="32" spans="3:64" s="179" customFormat="1" ht="15" customHeight="1">
      <c r="C32" s="703" t="str">
        <f>IF(Indice_index!$Z$1=1,"Subsídios","Subsidies")</f>
        <v>Subsidies</v>
      </c>
      <c r="D32" s="135"/>
      <c r="E32" s="135" t="s">
        <v>32</v>
      </c>
      <c r="F32" s="96"/>
      <c r="G32" s="135">
        <f t="shared" si="34"/>
        <v>0</v>
      </c>
      <c r="H32" s="135">
        <f t="shared" si="34"/>
        <v>0</v>
      </c>
      <c r="I32" s="135">
        <f t="shared" si="34"/>
        <v>0</v>
      </c>
      <c r="J32" s="135">
        <f t="shared" si="34"/>
        <v>0</v>
      </c>
      <c r="K32" s="135">
        <f t="shared" si="34"/>
        <v>0</v>
      </c>
      <c r="L32" s="135">
        <f t="shared" si="34"/>
        <v>0</v>
      </c>
      <c r="M32" s="135">
        <f t="shared" si="34"/>
        <v>0</v>
      </c>
      <c r="N32" s="135">
        <f t="shared" si="34"/>
        <v>0</v>
      </c>
      <c r="O32" s="135">
        <f t="shared" si="34"/>
        <v>47.518923000000001</v>
      </c>
      <c r="P32" s="135">
        <f t="shared" si="34"/>
        <v>0</v>
      </c>
      <c r="Q32" s="135">
        <f t="shared" si="34"/>
        <v>-47.518923000000001</v>
      </c>
      <c r="R32" s="135">
        <f t="shared" si="34"/>
        <v>0</v>
      </c>
      <c r="S32" s="135">
        <f t="shared" si="34"/>
        <v>0</v>
      </c>
      <c r="T32" s="135">
        <f t="shared" si="34"/>
        <v>0</v>
      </c>
      <c r="U32" s="96"/>
      <c r="V32" s="135">
        <f t="shared" si="35"/>
        <v>0</v>
      </c>
      <c r="W32" s="135">
        <f t="shared" si="35"/>
        <v>0</v>
      </c>
      <c r="X32" s="135">
        <f t="shared" si="35"/>
        <v>0</v>
      </c>
      <c r="Y32" s="135">
        <f t="shared" si="35"/>
        <v>0</v>
      </c>
      <c r="Z32" s="135">
        <f t="shared" si="35"/>
        <v>0</v>
      </c>
      <c r="AA32" s="135">
        <f t="shared" si="35"/>
        <v>0</v>
      </c>
      <c r="AB32" s="135">
        <f t="shared" si="35"/>
        <v>0</v>
      </c>
      <c r="AC32" s="135">
        <f t="shared" si="35"/>
        <v>0</v>
      </c>
      <c r="AD32" s="135">
        <f t="shared" si="35"/>
        <v>0</v>
      </c>
      <c r="AE32" s="135">
        <f t="shared" si="35"/>
        <v>0</v>
      </c>
      <c r="AF32" s="135">
        <f t="shared" si="35"/>
        <v>0</v>
      </c>
      <c r="AG32" s="135">
        <f t="shared" si="35"/>
        <v>0</v>
      </c>
      <c r="AH32" s="135">
        <f t="shared" si="35"/>
        <v>0</v>
      </c>
      <c r="AJ32" s="235"/>
      <c r="AK32" s="235"/>
      <c r="AL32" s="235"/>
      <c r="AM32" s="235"/>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35"/>
      <c r="BL32" s="413"/>
    </row>
    <row r="33" spans="3:64" s="179" customFormat="1" ht="15" customHeight="1">
      <c r="C33" s="703" t="str">
        <f>IF(Indice_index!$Z$1=1,"Outras despesas correntes","Other current expenditure")</f>
        <v>Other current expenditure</v>
      </c>
      <c r="D33" s="135"/>
      <c r="E33" s="135" t="s">
        <v>33</v>
      </c>
      <c r="F33" s="96"/>
      <c r="G33" s="135">
        <f t="shared" si="34"/>
        <v>0</v>
      </c>
      <c r="H33" s="135">
        <f t="shared" si="34"/>
        <v>0</v>
      </c>
      <c r="I33" s="135">
        <f t="shared" si="34"/>
        <v>0</v>
      </c>
      <c r="J33" s="135">
        <f t="shared" si="34"/>
        <v>0</v>
      </c>
      <c r="K33" s="135">
        <f t="shared" si="34"/>
        <v>0</v>
      </c>
      <c r="L33" s="135">
        <f t="shared" si="34"/>
        <v>0</v>
      </c>
      <c r="M33" s="135">
        <f t="shared" si="34"/>
        <v>0</v>
      </c>
      <c r="N33" s="135">
        <f t="shared" si="34"/>
        <v>0</v>
      </c>
      <c r="O33" s="135">
        <f t="shared" si="34"/>
        <v>-47.518923000000001</v>
      </c>
      <c r="P33" s="135">
        <f t="shared" si="34"/>
        <v>0</v>
      </c>
      <c r="Q33" s="135">
        <f t="shared" si="34"/>
        <v>47.518923000000001</v>
      </c>
      <c r="R33" s="135">
        <f t="shared" si="34"/>
        <v>0</v>
      </c>
      <c r="S33" s="135">
        <f t="shared" si="34"/>
        <v>0</v>
      </c>
      <c r="T33" s="135">
        <f t="shared" si="34"/>
        <v>0</v>
      </c>
      <c r="U33" s="96"/>
      <c r="V33" s="135">
        <f t="shared" si="35"/>
        <v>0</v>
      </c>
      <c r="W33" s="135">
        <f t="shared" si="35"/>
        <v>0</v>
      </c>
      <c r="X33" s="135">
        <f t="shared" si="35"/>
        <v>0</v>
      </c>
      <c r="Y33" s="135">
        <f t="shared" si="35"/>
        <v>0</v>
      </c>
      <c r="Z33" s="135">
        <f t="shared" si="35"/>
        <v>0</v>
      </c>
      <c r="AA33" s="135">
        <f t="shared" si="35"/>
        <v>0</v>
      </c>
      <c r="AB33" s="135">
        <f t="shared" si="35"/>
        <v>0</v>
      </c>
      <c r="AC33" s="135">
        <f t="shared" si="35"/>
        <v>0</v>
      </c>
      <c r="AD33" s="135">
        <f t="shared" si="35"/>
        <v>0</v>
      </c>
      <c r="AE33" s="135">
        <f t="shared" si="35"/>
        <v>0</v>
      </c>
      <c r="AF33" s="135">
        <f t="shared" si="35"/>
        <v>0</v>
      </c>
      <c r="AG33" s="135">
        <f t="shared" si="35"/>
        <v>0</v>
      </c>
      <c r="AH33" s="135">
        <f t="shared" si="35"/>
        <v>0</v>
      </c>
      <c r="AJ33" s="235"/>
      <c r="AK33" s="235"/>
      <c r="AL33" s="235"/>
      <c r="AM33" s="235"/>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35"/>
      <c r="BL33" s="413"/>
    </row>
    <row r="34" spans="3:64" s="317" customFormat="1" ht="15" customHeight="1">
      <c r="C34" s="318" t="str">
        <f>IF(Indice_index!$Z$1=1,"Despesa de capital","Capital expenditure")</f>
        <v>Capital expenditure</v>
      </c>
      <c r="D34" s="1372"/>
      <c r="E34" s="1372"/>
      <c r="F34" s="250"/>
      <c r="G34" s="1372">
        <f t="shared" ref="G34:S34" si="36">+G35+G36+G39</f>
        <v>13.88124</v>
      </c>
      <c r="H34" s="1372">
        <f t="shared" si="36"/>
        <v>14.138688</v>
      </c>
      <c r="I34" s="1372">
        <f t="shared" si="36"/>
        <v>13.929066999999996</v>
      </c>
      <c r="J34" s="1372">
        <f t="shared" si="36"/>
        <v>52.205551000000007</v>
      </c>
      <c r="K34" s="1372">
        <f t="shared" si="36"/>
        <v>15.331340999999995</v>
      </c>
      <c r="L34" s="1372">
        <f t="shared" si="36"/>
        <v>332.31218000000001</v>
      </c>
      <c r="M34" s="1372">
        <f t="shared" si="36"/>
        <v>102.70864908</v>
      </c>
      <c r="N34" s="1372">
        <f t="shared" si="36"/>
        <v>15.335550999999995</v>
      </c>
      <c r="O34" s="1372">
        <f t="shared" si="36"/>
        <v>68.196328999999992</v>
      </c>
      <c r="P34" s="1372">
        <f t="shared" si="36"/>
        <v>15.418551000000015</v>
      </c>
      <c r="Q34" s="1372">
        <f t="shared" si="36"/>
        <v>37.195811999999975</v>
      </c>
      <c r="R34" s="1372">
        <f t="shared" si="36"/>
        <v>239.87069623999997</v>
      </c>
      <c r="S34" s="1372">
        <f t="shared" si="36"/>
        <v>680.65295907999996</v>
      </c>
      <c r="T34" s="1372">
        <f t="shared" ref="T34" si="37">SUM(G34:R34)</f>
        <v>920.52365531999999</v>
      </c>
      <c r="U34" s="250"/>
      <c r="V34" s="1372">
        <f t="shared" ref="V34:AG34" si="38">+V35+V36+V39</f>
        <v>15.434491319999999</v>
      </c>
      <c r="W34" s="1372">
        <f t="shared" si="38"/>
        <v>13.88124</v>
      </c>
      <c r="X34" s="1372">
        <f t="shared" si="38"/>
        <v>16.98774264</v>
      </c>
      <c r="Y34" s="1372">
        <f t="shared" si="38"/>
        <v>15.434491319999998</v>
      </c>
      <c r="Z34" s="1372">
        <f t="shared" si="38"/>
        <v>15.389491319999998</v>
      </c>
      <c r="AA34" s="1372">
        <f t="shared" si="38"/>
        <v>15.434491320000005</v>
      </c>
      <c r="AB34" s="1372">
        <f t="shared" ref="AB34" si="39">+AB35+AB36+AB39</f>
        <v>1.5532513200000011</v>
      </c>
      <c r="AC34" s="1372">
        <f t="shared" si="38"/>
        <v>-3.920281680000004</v>
      </c>
      <c r="AD34" s="1372">
        <f t="shared" si="38"/>
        <v>42.928732820000008</v>
      </c>
      <c r="AE34" s="1372">
        <f t="shared" si="38"/>
        <v>-4.1478966800000041</v>
      </c>
      <c r="AF34" s="1372">
        <f t="shared" si="38"/>
        <v>-4.1478966799999988</v>
      </c>
      <c r="AG34" s="1372">
        <f t="shared" si="38"/>
        <v>0</v>
      </c>
      <c r="AH34" s="1372">
        <f>SUM(V34:AG34)</f>
        <v>124.82785702000001</v>
      </c>
      <c r="AJ34" s="319"/>
      <c r="AK34" s="319"/>
      <c r="AL34" s="319"/>
      <c r="AM34" s="319"/>
      <c r="AN34" s="319"/>
      <c r="AO34" s="319"/>
      <c r="AP34" s="319"/>
      <c r="AQ34" s="319"/>
      <c r="AR34" s="319"/>
      <c r="AS34" s="319"/>
      <c r="AT34" s="319"/>
      <c r="AU34" s="319"/>
      <c r="AV34" s="319"/>
      <c r="AW34" s="319"/>
      <c r="AX34" s="319"/>
      <c r="AY34" s="319"/>
      <c r="AZ34" s="319"/>
      <c r="BA34" s="319"/>
      <c r="BB34" s="319"/>
      <c r="BC34" s="319"/>
      <c r="BD34" s="319"/>
      <c r="BE34" s="319"/>
      <c r="BF34" s="319"/>
      <c r="BG34" s="319"/>
      <c r="BH34" s="319"/>
      <c r="BI34" s="319"/>
      <c r="BJ34" s="319"/>
      <c r="BK34" s="319"/>
      <c r="BL34" s="414"/>
    </row>
    <row r="35" spans="3:64" s="179" customFormat="1" ht="15" customHeight="1">
      <c r="C35" s="703" t="str">
        <f>IF(Indice_index!$Z$1=1,"Investimento","Investments")</f>
        <v>Investments</v>
      </c>
      <c r="D35" s="135"/>
      <c r="E35" s="135" t="s">
        <v>34</v>
      </c>
      <c r="F35" s="96"/>
      <c r="G35" s="135">
        <f t="shared" ref="G35:T35" si="40">+SUMIF($E$56:$E$86,$E35,G$56:G$86)</f>
        <v>0</v>
      </c>
      <c r="H35" s="135">
        <f t="shared" si="40"/>
        <v>0</v>
      </c>
      <c r="I35" s="135">
        <f t="shared" si="40"/>
        <v>0</v>
      </c>
      <c r="J35" s="135">
        <f t="shared" si="40"/>
        <v>38.340000000000003</v>
      </c>
      <c r="K35" s="135">
        <f t="shared" si="40"/>
        <v>1.4299999999999997</v>
      </c>
      <c r="L35" s="135">
        <f t="shared" si="40"/>
        <v>1.4339999999999975</v>
      </c>
      <c r="M35" s="135">
        <f t="shared" si="40"/>
        <v>88.843098080000004</v>
      </c>
      <c r="N35" s="135">
        <f t="shared" si="40"/>
        <v>1.4699999999999989</v>
      </c>
      <c r="O35" s="135">
        <f t="shared" si="40"/>
        <v>54.330777999999995</v>
      </c>
      <c r="P35" s="135">
        <f t="shared" si="40"/>
        <v>1.5530000000000044</v>
      </c>
      <c r="Q35" s="135">
        <f t="shared" si="40"/>
        <v>1.5529999999999973</v>
      </c>
      <c r="R35" s="135">
        <f t="shared" si="40"/>
        <v>1.5530000000000044</v>
      </c>
      <c r="S35" s="135">
        <f t="shared" si="40"/>
        <v>188.95387607999999</v>
      </c>
      <c r="T35" s="135">
        <f t="shared" si="40"/>
        <v>190.50687608000001</v>
      </c>
      <c r="U35" s="96"/>
      <c r="V35" s="135">
        <f t="shared" ref="V35:AH35" si="41">+SUMIF($E$56:$E$86,$E35,V$56:V$86)</f>
        <v>1.55325132</v>
      </c>
      <c r="W35" s="135">
        <f t="shared" si="41"/>
        <v>0</v>
      </c>
      <c r="X35" s="135">
        <f t="shared" si="41"/>
        <v>3.1065026400000004</v>
      </c>
      <c r="Y35" s="135">
        <f t="shared" si="41"/>
        <v>1.5532513199999993</v>
      </c>
      <c r="Z35" s="135">
        <f t="shared" si="41"/>
        <v>1.5532513200000002</v>
      </c>
      <c r="AA35" s="135">
        <f t="shared" si="41"/>
        <v>1.5532513199999993</v>
      </c>
      <c r="AB35" s="135">
        <f t="shared" si="41"/>
        <v>1.5532513200000011</v>
      </c>
      <c r="AC35" s="135">
        <f t="shared" si="41"/>
        <v>1.5532513199999993</v>
      </c>
      <c r="AD35" s="135">
        <f t="shared" si="41"/>
        <v>54.33102882</v>
      </c>
      <c r="AE35" s="135">
        <f t="shared" si="41"/>
        <v>1.5532513199999993</v>
      </c>
      <c r="AF35" s="135">
        <f t="shared" si="41"/>
        <v>1.5532513200000047</v>
      </c>
      <c r="AG35" s="135">
        <f t="shared" si="41"/>
        <v>0</v>
      </c>
      <c r="AH35" s="135">
        <f t="shared" si="41"/>
        <v>69.863542020000011</v>
      </c>
      <c r="AJ35" s="235"/>
      <c r="AK35" s="235"/>
      <c r="AL35" s="235"/>
      <c r="AM35" s="235"/>
      <c r="AN35" s="235"/>
      <c r="AO35" s="235"/>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35"/>
      <c r="BL35" s="413"/>
    </row>
    <row r="36" spans="3:64" s="179" customFormat="1" ht="15" customHeight="1">
      <c r="C36" s="703" t="str">
        <f>IF(Indice_index!$Z$1=1,"Transferências de capital","Capital transfers")</f>
        <v>Capital transfers</v>
      </c>
      <c r="D36" s="135"/>
      <c r="E36" s="135" t="s">
        <v>35</v>
      </c>
      <c r="F36" s="96"/>
      <c r="G36" s="135">
        <f t="shared" ref="G36:T36" si="42">+G37+G38</f>
        <v>13.88124</v>
      </c>
      <c r="H36" s="135">
        <f t="shared" si="42"/>
        <v>14.138688</v>
      </c>
      <c r="I36" s="135">
        <f t="shared" si="42"/>
        <v>13.929066999999996</v>
      </c>
      <c r="J36" s="135">
        <f t="shared" si="42"/>
        <v>13.865551000000004</v>
      </c>
      <c r="K36" s="135">
        <f t="shared" si="42"/>
        <v>13.901340999999995</v>
      </c>
      <c r="L36" s="135">
        <f t="shared" si="42"/>
        <v>330.87818000000004</v>
      </c>
      <c r="M36" s="135">
        <f t="shared" si="42"/>
        <v>13.865550999999996</v>
      </c>
      <c r="N36" s="135">
        <f t="shared" si="42"/>
        <v>13.865550999999996</v>
      </c>
      <c r="O36" s="135">
        <f t="shared" si="42"/>
        <v>13.865550999999996</v>
      </c>
      <c r="P36" s="135">
        <f t="shared" si="42"/>
        <v>13.865551000000011</v>
      </c>
      <c r="Q36" s="135">
        <f t="shared" si="42"/>
        <v>35.642811999999978</v>
      </c>
      <c r="R36" s="135">
        <f t="shared" si="42"/>
        <v>238.31769623999998</v>
      </c>
      <c r="S36" s="135">
        <f t="shared" si="42"/>
        <v>491.69908299999997</v>
      </c>
      <c r="T36" s="135">
        <f t="shared" si="42"/>
        <v>730.01677924000001</v>
      </c>
      <c r="U36" s="96"/>
      <c r="V36" s="135">
        <f t="shared" ref="V36:AH36" si="43">+V37+V38</f>
        <v>13.88124</v>
      </c>
      <c r="W36" s="135">
        <f t="shared" si="43"/>
        <v>13.88124</v>
      </c>
      <c r="X36" s="135">
        <f t="shared" si="43"/>
        <v>13.881240000000002</v>
      </c>
      <c r="Y36" s="135">
        <f t="shared" si="43"/>
        <v>13.881239999999998</v>
      </c>
      <c r="Z36" s="135">
        <f t="shared" si="43"/>
        <v>13.836239999999997</v>
      </c>
      <c r="AA36" s="135">
        <f t="shared" si="43"/>
        <v>13.881240000000005</v>
      </c>
      <c r="AB36" s="135">
        <f t="shared" ref="AB36" si="44">+AB37+AB38</f>
        <v>0</v>
      </c>
      <c r="AC36" s="135">
        <f t="shared" si="43"/>
        <v>-5.4735330000000033</v>
      </c>
      <c r="AD36" s="135">
        <f t="shared" si="43"/>
        <v>-11.402295999999993</v>
      </c>
      <c r="AE36" s="135">
        <f t="shared" si="43"/>
        <v>-5.7011480000000034</v>
      </c>
      <c r="AF36" s="135">
        <f t="shared" si="43"/>
        <v>-5.7011480000000034</v>
      </c>
      <c r="AG36" s="135">
        <f t="shared" si="43"/>
        <v>0</v>
      </c>
      <c r="AH36" s="135">
        <f t="shared" si="43"/>
        <v>54.964314999999999</v>
      </c>
      <c r="AJ36" s="235"/>
      <c r="AK36" s="235"/>
      <c r="AL36" s="235"/>
      <c r="AM36" s="235"/>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35"/>
      <c r="BL36" s="413"/>
    </row>
    <row r="37" spans="3:64" s="179" customFormat="1" ht="15" customHeight="1">
      <c r="C37" s="1373" t="str">
        <f>IF(Indice_index!$Z$1=1,"Administrações Públicas","General Government subsectors")</f>
        <v>General Government subsectors</v>
      </c>
      <c r="D37" s="135"/>
      <c r="E37" s="135" t="s">
        <v>36</v>
      </c>
      <c r="F37" s="96"/>
      <c r="G37" s="135">
        <f t="shared" ref="G37:T39" si="45">+SUMIF($E$56:$E$86,$E37,G$56:G$86)</f>
        <v>13.88124</v>
      </c>
      <c r="H37" s="135">
        <f t="shared" si="45"/>
        <v>14.138688</v>
      </c>
      <c r="I37" s="135">
        <f t="shared" si="45"/>
        <v>13.929066999999996</v>
      </c>
      <c r="J37" s="135">
        <f t="shared" si="45"/>
        <v>13.865551000000004</v>
      </c>
      <c r="K37" s="135">
        <f t="shared" si="45"/>
        <v>13.901340999999995</v>
      </c>
      <c r="L37" s="135">
        <f t="shared" si="45"/>
        <v>13.865551000000011</v>
      </c>
      <c r="M37" s="135">
        <f t="shared" si="45"/>
        <v>13.865550999999996</v>
      </c>
      <c r="N37" s="135">
        <f t="shared" si="45"/>
        <v>13.865550999999996</v>
      </c>
      <c r="O37" s="135">
        <f t="shared" si="45"/>
        <v>13.865550999999996</v>
      </c>
      <c r="P37" s="135">
        <f t="shared" si="45"/>
        <v>13.865551000000011</v>
      </c>
      <c r="Q37" s="135">
        <f t="shared" si="45"/>
        <v>13.865550999999982</v>
      </c>
      <c r="R37" s="135">
        <f t="shared" si="45"/>
        <v>13.667325999999974</v>
      </c>
      <c r="S37" s="135">
        <f t="shared" si="45"/>
        <v>152.90919299999999</v>
      </c>
      <c r="T37" s="135">
        <f t="shared" si="45"/>
        <v>166.57651899999996</v>
      </c>
      <c r="U37" s="96"/>
      <c r="V37" s="135">
        <f t="shared" ref="V37:AH39" si="46">+SUMIF($E$56:$E$86,$E37,V$56:V$86)</f>
        <v>13.88124</v>
      </c>
      <c r="W37" s="135">
        <f t="shared" si="46"/>
        <v>13.88124</v>
      </c>
      <c r="X37" s="135">
        <f t="shared" si="46"/>
        <v>13.881240000000002</v>
      </c>
      <c r="Y37" s="135">
        <f t="shared" si="46"/>
        <v>13.881239999999998</v>
      </c>
      <c r="Z37" s="135">
        <f t="shared" si="46"/>
        <v>13.836239999999997</v>
      </c>
      <c r="AA37" s="135">
        <f t="shared" si="46"/>
        <v>13.881240000000005</v>
      </c>
      <c r="AB37" s="135">
        <f t="shared" si="46"/>
        <v>0</v>
      </c>
      <c r="AC37" s="135">
        <f t="shared" si="46"/>
        <v>-5.4735330000000033</v>
      </c>
      <c r="AD37" s="135">
        <f t="shared" si="46"/>
        <v>-11.402295999999993</v>
      </c>
      <c r="AE37" s="135">
        <f t="shared" si="46"/>
        <v>-5.7011480000000034</v>
      </c>
      <c r="AF37" s="135">
        <f t="shared" si="46"/>
        <v>-5.7011480000000034</v>
      </c>
      <c r="AG37" s="135">
        <f t="shared" si="46"/>
        <v>0</v>
      </c>
      <c r="AH37" s="135">
        <f t="shared" si="46"/>
        <v>54.964314999999999</v>
      </c>
      <c r="AJ37" s="235"/>
      <c r="AK37" s="235"/>
      <c r="AL37" s="235"/>
      <c r="AM37" s="235"/>
      <c r="AN37" s="235"/>
      <c r="AO37" s="235"/>
      <c r="AP37" s="235"/>
      <c r="AQ37" s="235"/>
      <c r="AR37" s="235"/>
      <c r="AS37" s="235"/>
      <c r="AT37" s="235"/>
      <c r="AU37" s="235"/>
      <c r="AV37" s="235"/>
      <c r="AW37" s="235"/>
      <c r="AX37" s="235"/>
      <c r="AY37" s="235"/>
      <c r="AZ37" s="235"/>
      <c r="BA37" s="235"/>
      <c r="BB37" s="235"/>
      <c r="BC37" s="235"/>
      <c r="BD37" s="235"/>
      <c r="BE37" s="235"/>
      <c r="BF37" s="235"/>
      <c r="BG37" s="235"/>
      <c r="BH37" s="235"/>
      <c r="BI37" s="235"/>
      <c r="BJ37" s="235"/>
      <c r="BK37" s="235"/>
      <c r="BL37" s="413"/>
    </row>
    <row r="38" spans="3:64" s="179" customFormat="1" ht="15" customHeight="1">
      <c r="C38" s="1373" t="str">
        <f>IF(Indice_index!$Z$1=1,"Outras","Others")</f>
        <v>Others</v>
      </c>
      <c r="D38" s="135"/>
      <c r="E38" s="135" t="s">
        <v>37</v>
      </c>
      <c r="F38" s="96"/>
      <c r="G38" s="135">
        <f t="shared" si="45"/>
        <v>0</v>
      </c>
      <c r="H38" s="135">
        <f t="shared" si="45"/>
        <v>0</v>
      </c>
      <c r="I38" s="135">
        <f t="shared" si="45"/>
        <v>0</v>
      </c>
      <c r="J38" s="135">
        <f t="shared" si="45"/>
        <v>0</v>
      </c>
      <c r="K38" s="135">
        <f t="shared" si="45"/>
        <v>0</v>
      </c>
      <c r="L38" s="135">
        <f t="shared" si="45"/>
        <v>317.012629</v>
      </c>
      <c r="M38" s="135">
        <f t="shared" si="45"/>
        <v>0</v>
      </c>
      <c r="N38" s="135">
        <f t="shared" si="45"/>
        <v>0</v>
      </c>
      <c r="O38" s="135">
        <f t="shared" si="45"/>
        <v>0</v>
      </c>
      <c r="P38" s="135">
        <f t="shared" si="45"/>
        <v>0</v>
      </c>
      <c r="Q38" s="135">
        <f t="shared" si="45"/>
        <v>21.777260999999999</v>
      </c>
      <c r="R38" s="135">
        <f t="shared" si="45"/>
        <v>224.65037024</v>
      </c>
      <c r="S38" s="135">
        <f t="shared" si="45"/>
        <v>338.78989000000001</v>
      </c>
      <c r="T38" s="135">
        <f t="shared" si="45"/>
        <v>563.44026024000004</v>
      </c>
      <c r="U38" s="96"/>
      <c r="V38" s="135">
        <f t="shared" si="46"/>
        <v>0</v>
      </c>
      <c r="W38" s="135">
        <f t="shared" si="46"/>
        <v>0</v>
      </c>
      <c r="X38" s="135">
        <f t="shared" si="46"/>
        <v>0</v>
      </c>
      <c r="Y38" s="135">
        <f t="shared" si="46"/>
        <v>0</v>
      </c>
      <c r="Z38" s="135">
        <f t="shared" si="46"/>
        <v>0</v>
      </c>
      <c r="AA38" s="135">
        <f t="shared" si="46"/>
        <v>0</v>
      </c>
      <c r="AB38" s="135">
        <f t="shared" si="46"/>
        <v>0</v>
      </c>
      <c r="AC38" s="135">
        <f t="shared" si="46"/>
        <v>0</v>
      </c>
      <c r="AD38" s="135">
        <f t="shared" si="46"/>
        <v>0</v>
      </c>
      <c r="AE38" s="135">
        <f t="shared" si="46"/>
        <v>0</v>
      </c>
      <c r="AF38" s="135">
        <f t="shared" si="46"/>
        <v>0</v>
      </c>
      <c r="AG38" s="135">
        <f t="shared" si="46"/>
        <v>0</v>
      </c>
      <c r="AH38" s="135">
        <f t="shared" si="46"/>
        <v>0</v>
      </c>
      <c r="AJ38" s="235"/>
      <c r="AK38" s="235"/>
      <c r="AL38" s="235"/>
      <c r="AM38" s="235"/>
      <c r="AN38" s="235"/>
      <c r="AO38" s="235"/>
      <c r="AP38" s="235"/>
      <c r="AQ38" s="235"/>
      <c r="AR38" s="235"/>
      <c r="AS38" s="235"/>
      <c r="AT38" s="235"/>
      <c r="AU38" s="235"/>
      <c r="AV38" s="235"/>
      <c r="AW38" s="235"/>
      <c r="AX38" s="235"/>
      <c r="AY38" s="235"/>
      <c r="AZ38" s="235"/>
      <c r="BA38" s="235"/>
      <c r="BB38" s="235"/>
      <c r="BC38" s="235"/>
      <c r="BD38" s="235"/>
      <c r="BE38" s="235"/>
      <c r="BF38" s="235"/>
      <c r="BG38" s="235"/>
      <c r="BH38" s="235"/>
      <c r="BI38" s="235"/>
      <c r="BJ38" s="235"/>
      <c r="BK38" s="235"/>
      <c r="BL38" s="413"/>
    </row>
    <row r="39" spans="3:64" s="179" customFormat="1" ht="15" customHeight="1">
      <c r="C39" s="703" t="str">
        <f>IF(Indice_index!$Z$1=1,"Outras despesas de capital","Other capital expenditure")</f>
        <v>Other capital expenditure</v>
      </c>
      <c r="D39" s="135"/>
      <c r="E39" s="135" t="s">
        <v>38</v>
      </c>
      <c r="F39" s="96"/>
      <c r="G39" s="135">
        <f t="shared" si="45"/>
        <v>0</v>
      </c>
      <c r="H39" s="135">
        <f t="shared" si="45"/>
        <v>0</v>
      </c>
      <c r="I39" s="135">
        <f t="shared" si="45"/>
        <v>0</v>
      </c>
      <c r="J39" s="135">
        <f t="shared" si="45"/>
        <v>0</v>
      </c>
      <c r="K39" s="135">
        <f t="shared" si="45"/>
        <v>0</v>
      </c>
      <c r="L39" s="135">
        <f t="shared" si="45"/>
        <v>0</v>
      </c>
      <c r="M39" s="135">
        <f t="shared" si="45"/>
        <v>0</v>
      </c>
      <c r="N39" s="135">
        <f t="shared" si="45"/>
        <v>0</v>
      </c>
      <c r="O39" s="135">
        <f t="shared" si="45"/>
        <v>0</v>
      </c>
      <c r="P39" s="135">
        <f t="shared" si="45"/>
        <v>0</v>
      </c>
      <c r="Q39" s="135">
        <f t="shared" si="45"/>
        <v>0</v>
      </c>
      <c r="R39" s="135">
        <f t="shared" si="45"/>
        <v>0</v>
      </c>
      <c r="S39" s="135">
        <f t="shared" si="45"/>
        <v>0</v>
      </c>
      <c r="T39" s="135">
        <f t="shared" si="45"/>
        <v>0</v>
      </c>
      <c r="U39" s="96"/>
      <c r="V39" s="135">
        <f t="shared" si="46"/>
        <v>0</v>
      </c>
      <c r="W39" s="135">
        <f t="shared" si="46"/>
        <v>0</v>
      </c>
      <c r="X39" s="135">
        <f t="shared" si="46"/>
        <v>0</v>
      </c>
      <c r="Y39" s="135">
        <f t="shared" si="46"/>
        <v>0</v>
      </c>
      <c r="Z39" s="135">
        <f t="shared" si="46"/>
        <v>0</v>
      </c>
      <c r="AA39" s="135">
        <f t="shared" si="46"/>
        <v>0</v>
      </c>
      <c r="AB39" s="135">
        <f t="shared" si="46"/>
        <v>0</v>
      </c>
      <c r="AC39" s="135">
        <f t="shared" si="46"/>
        <v>0</v>
      </c>
      <c r="AD39" s="135">
        <f t="shared" si="46"/>
        <v>0</v>
      </c>
      <c r="AE39" s="135">
        <f t="shared" si="46"/>
        <v>0</v>
      </c>
      <c r="AF39" s="135">
        <f t="shared" si="46"/>
        <v>0</v>
      </c>
      <c r="AG39" s="135">
        <f t="shared" si="46"/>
        <v>0</v>
      </c>
      <c r="AH39" s="135">
        <f t="shared" si="46"/>
        <v>0</v>
      </c>
      <c r="AJ39" s="235"/>
      <c r="AK39" s="235"/>
      <c r="AL39" s="235"/>
      <c r="AM39" s="235"/>
      <c r="AN39" s="235"/>
      <c r="AO39" s="235"/>
      <c r="AP39" s="235"/>
      <c r="AQ39" s="235"/>
      <c r="AR39" s="235"/>
      <c r="AS39" s="235"/>
      <c r="AT39" s="235"/>
      <c r="AU39" s="235"/>
      <c r="AV39" s="235"/>
      <c r="AW39" s="235"/>
      <c r="AX39" s="235"/>
      <c r="AY39" s="235"/>
      <c r="AZ39" s="235"/>
      <c r="BA39" s="235"/>
      <c r="BB39" s="235"/>
      <c r="BC39" s="235"/>
      <c r="BD39" s="235"/>
      <c r="BE39" s="235"/>
      <c r="BF39" s="235"/>
      <c r="BG39" s="235"/>
      <c r="BH39" s="235"/>
      <c r="BI39" s="235"/>
      <c r="BJ39" s="235"/>
      <c r="BK39" s="235"/>
      <c r="BL39" s="413"/>
    </row>
    <row r="40" spans="3:64" s="179" customFormat="1" ht="4.5" customHeight="1">
      <c r="C40" s="1374"/>
      <c r="D40" s="135"/>
      <c r="E40" s="135"/>
      <c r="F40" s="96"/>
      <c r="G40" s="135"/>
      <c r="H40" s="135"/>
      <c r="I40" s="135"/>
      <c r="J40" s="135"/>
      <c r="K40" s="135"/>
      <c r="L40" s="135"/>
      <c r="M40" s="135"/>
      <c r="N40" s="135"/>
      <c r="O40" s="135"/>
      <c r="P40" s="135"/>
      <c r="Q40" s="135"/>
      <c r="R40" s="135"/>
      <c r="S40" s="135"/>
      <c r="T40" s="135"/>
      <c r="U40" s="96"/>
      <c r="V40" s="135"/>
      <c r="W40" s="135"/>
      <c r="X40" s="135"/>
      <c r="Y40" s="135"/>
      <c r="Z40" s="135"/>
      <c r="AA40" s="135"/>
      <c r="AB40" s="135"/>
      <c r="AC40" s="135"/>
      <c r="AD40" s="135"/>
      <c r="AE40" s="135"/>
      <c r="AF40" s="135"/>
      <c r="AG40" s="135"/>
      <c r="AH40" s="135"/>
      <c r="AJ40" s="235"/>
      <c r="AK40" s="235"/>
      <c r="AL40" s="235"/>
      <c r="AM40" s="235"/>
      <c r="AN40" s="235"/>
      <c r="AO40" s="235"/>
      <c r="AP40" s="235"/>
      <c r="AQ40" s="235"/>
      <c r="AR40" s="235"/>
      <c r="AS40" s="235"/>
      <c r="AT40" s="235"/>
      <c r="AU40" s="235"/>
      <c r="AV40" s="235"/>
      <c r="AW40" s="235"/>
      <c r="AX40" s="235"/>
      <c r="AY40" s="235"/>
      <c r="AZ40" s="235"/>
      <c r="BA40" s="235"/>
      <c r="BB40" s="235"/>
      <c r="BC40" s="235"/>
      <c r="BD40" s="235"/>
      <c r="BE40" s="235"/>
      <c r="BF40" s="235"/>
      <c r="BG40" s="235"/>
      <c r="BH40" s="235"/>
      <c r="BI40" s="235"/>
      <c r="BJ40" s="235"/>
      <c r="BK40" s="235"/>
      <c r="BL40" s="413"/>
    </row>
    <row r="41" spans="3:64" s="318" customFormat="1" ht="15" customHeight="1">
      <c r="C41" s="1375" t="str">
        <f>IF(Indice_index!$Z$1=1,"Despesa efetiva","Effective Expenditure")</f>
        <v>Effective Expenditure</v>
      </c>
      <c r="D41" s="1376"/>
      <c r="E41" s="1377"/>
      <c r="F41" s="250"/>
      <c r="G41" s="1376">
        <f t="shared" ref="G41:T41" si="47">+G25+G34</f>
        <v>58.011006109999997</v>
      </c>
      <c r="H41" s="1377">
        <f t="shared" si="47"/>
        <v>14.138688</v>
      </c>
      <c r="I41" s="1377">
        <f t="shared" si="47"/>
        <v>101.22906699999999</v>
      </c>
      <c r="J41" s="1377">
        <f t="shared" si="47"/>
        <v>58.081165000000006</v>
      </c>
      <c r="K41" s="1377">
        <f t="shared" si="47"/>
        <v>15.331340999999995</v>
      </c>
      <c r="L41" s="1377">
        <f t="shared" si="47"/>
        <v>332.31218000000001</v>
      </c>
      <c r="M41" s="1377">
        <f t="shared" si="47"/>
        <v>-167.72864746000005</v>
      </c>
      <c r="N41" s="1377">
        <f t="shared" si="47"/>
        <v>349.97198581999999</v>
      </c>
      <c r="O41" s="1377">
        <f t="shared" si="47"/>
        <v>77.991138439999986</v>
      </c>
      <c r="P41" s="1377">
        <f t="shared" si="47"/>
        <v>21.288442590000045</v>
      </c>
      <c r="Q41" s="1377">
        <f t="shared" si="47"/>
        <v>37.183738090000006</v>
      </c>
      <c r="R41" s="1377">
        <f t="shared" si="47"/>
        <v>811.21063387999993</v>
      </c>
      <c r="S41" s="1377">
        <f t="shared" si="47"/>
        <v>897.81010459000004</v>
      </c>
      <c r="T41" s="1376">
        <f t="shared" si="47"/>
        <v>1709.02073847</v>
      </c>
      <c r="U41" s="250"/>
      <c r="V41" s="1376">
        <f t="shared" ref="V41:AH41" si="48">+V25+V34</f>
        <v>37.033985489999999</v>
      </c>
      <c r="W41" s="1377">
        <f t="shared" si="48"/>
        <v>19.998387999999998</v>
      </c>
      <c r="X41" s="1377">
        <f t="shared" si="48"/>
        <v>18.944890640000001</v>
      </c>
      <c r="Y41" s="1377">
        <f t="shared" si="48"/>
        <v>17.391639319999996</v>
      </c>
      <c r="Z41" s="1377">
        <f t="shared" si="48"/>
        <v>17.346639319999998</v>
      </c>
      <c r="AA41" s="1377">
        <f t="shared" si="48"/>
        <v>17.391639320000003</v>
      </c>
      <c r="AB41" s="1377">
        <f t="shared" ref="AB41" si="49">+AB25+AB34</f>
        <v>32.072128319999997</v>
      </c>
      <c r="AC41" s="1377">
        <f t="shared" si="48"/>
        <v>-3.920281680000004</v>
      </c>
      <c r="AD41" s="1377">
        <f t="shared" si="48"/>
        <v>42.928732820000008</v>
      </c>
      <c r="AE41" s="1377">
        <f t="shared" si="48"/>
        <v>17.944461320000002</v>
      </c>
      <c r="AF41" s="1377">
        <f t="shared" si="48"/>
        <v>-4.1478966799999988</v>
      </c>
      <c r="AG41" s="1377">
        <f t="shared" si="48"/>
        <v>0</v>
      </c>
      <c r="AH41" s="1376">
        <f t="shared" si="48"/>
        <v>212.98432618999999</v>
      </c>
      <c r="AJ41" s="319"/>
      <c r="AK41" s="319"/>
      <c r="AL41" s="319"/>
      <c r="AM41" s="319"/>
      <c r="AN41" s="319"/>
      <c r="AO41" s="319"/>
      <c r="AP41" s="319"/>
      <c r="AQ41" s="319"/>
      <c r="AR41" s="319"/>
      <c r="AS41" s="319"/>
      <c r="AT41" s="319"/>
      <c r="AU41" s="319"/>
      <c r="AV41" s="319"/>
      <c r="AW41" s="319"/>
      <c r="AX41" s="319"/>
      <c r="AY41" s="319"/>
      <c r="AZ41" s="319"/>
      <c r="BA41" s="319"/>
      <c r="BB41" s="319"/>
      <c r="BC41" s="319"/>
      <c r="BD41" s="319"/>
      <c r="BE41" s="319"/>
      <c r="BF41" s="319"/>
      <c r="BG41" s="319"/>
      <c r="BH41" s="319"/>
      <c r="BI41" s="319"/>
      <c r="BJ41" s="319"/>
      <c r="BK41" s="319"/>
      <c r="BL41" s="414"/>
    </row>
    <row r="42" spans="3:64" ht="5.5" customHeight="1">
      <c r="D42" s="62"/>
      <c r="E42" s="62"/>
      <c r="G42" s="62"/>
      <c r="H42" s="62"/>
      <c r="I42" s="62"/>
      <c r="J42" s="62"/>
      <c r="K42" s="62"/>
      <c r="L42" s="62"/>
      <c r="M42" s="62"/>
      <c r="N42" s="62"/>
      <c r="O42" s="62"/>
      <c r="P42" s="62"/>
      <c r="Q42" s="62"/>
      <c r="R42" s="62"/>
      <c r="S42" s="62"/>
      <c r="T42" s="62"/>
      <c r="V42" s="62"/>
      <c r="W42" s="62"/>
      <c r="X42" s="62"/>
      <c r="Y42" s="62"/>
      <c r="Z42" s="62"/>
      <c r="AA42" s="62"/>
      <c r="AB42" s="62"/>
      <c r="AC42" s="62"/>
      <c r="AD42" s="62"/>
      <c r="AE42" s="62"/>
      <c r="AF42" s="62"/>
      <c r="AG42" s="62"/>
      <c r="AH42" s="62"/>
      <c r="AJ42" s="235"/>
      <c r="AK42" s="235"/>
      <c r="AL42" s="235"/>
      <c r="AM42" s="235"/>
      <c r="AN42" s="235"/>
      <c r="AO42" s="235"/>
      <c r="AP42" s="235"/>
      <c r="AQ42" s="235"/>
      <c r="AR42" s="235"/>
      <c r="AS42" s="235"/>
      <c r="AT42" s="235"/>
      <c r="AU42" s="235"/>
      <c r="AV42" s="235"/>
      <c r="AW42" s="235"/>
      <c r="AX42" s="235"/>
      <c r="AY42" s="235"/>
      <c r="AZ42" s="235"/>
      <c r="BA42" s="235"/>
      <c r="BB42" s="235"/>
      <c r="BC42" s="235"/>
      <c r="BD42" s="235"/>
      <c r="BE42" s="235"/>
      <c r="BF42" s="235"/>
      <c r="BG42" s="235"/>
      <c r="BH42" s="235"/>
      <c r="BI42" s="235"/>
      <c r="BJ42" s="235"/>
      <c r="BK42" s="235"/>
    </row>
    <row r="43" spans="3:64" s="320" customFormat="1" ht="15" customHeight="1">
      <c r="C43" s="1375" t="str">
        <f>IF(Indice_index!$Z$1=1,"Impacto no Saldo global","Impact in Overall balance")</f>
        <v>Impact in Overall balance</v>
      </c>
      <c r="D43" s="1376"/>
      <c r="E43" s="1376"/>
      <c r="F43" s="250"/>
      <c r="G43" s="1376">
        <f t="shared" ref="G43:T43" si="50">+G23-G41</f>
        <v>0.71871592000000817</v>
      </c>
      <c r="H43" s="1376">
        <f t="shared" si="50"/>
        <v>62.01678896</v>
      </c>
      <c r="I43" s="1376">
        <f t="shared" si="50"/>
        <v>27.457273049999998</v>
      </c>
      <c r="J43" s="1376">
        <f t="shared" si="50"/>
        <v>11.700735579999979</v>
      </c>
      <c r="K43" s="1376">
        <f t="shared" si="50"/>
        <v>360.15229293000004</v>
      </c>
      <c r="L43" s="1376">
        <f t="shared" si="50"/>
        <v>-242.89344172</v>
      </c>
      <c r="M43" s="1376">
        <f t="shared" si="50"/>
        <v>190.05570347000005</v>
      </c>
      <c r="N43" s="1376">
        <f t="shared" si="50"/>
        <v>-333.81223711000001</v>
      </c>
      <c r="O43" s="1376">
        <f t="shared" si="50"/>
        <v>-55.55393137999998</v>
      </c>
      <c r="P43" s="1376">
        <f t="shared" si="50"/>
        <v>53.14314811999995</v>
      </c>
      <c r="Q43" s="1376">
        <f t="shared" si="50"/>
        <v>615.86513494000008</v>
      </c>
      <c r="R43" s="1376">
        <f t="shared" si="50"/>
        <v>-258.50619419999998</v>
      </c>
      <c r="S43" s="1376">
        <f t="shared" si="50"/>
        <v>688.85018275999983</v>
      </c>
      <c r="T43" s="1376">
        <f t="shared" si="50"/>
        <v>430.34398855999984</v>
      </c>
      <c r="U43" s="250"/>
      <c r="V43" s="1376">
        <f t="shared" ref="V43:AH43" si="51">+V23-V41</f>
        <v>44.321958979999998</v>
      </c>
      <c r="W43" s="1376">
        <f t="shared" si="51"/>
        <v>29.070925070000001</v>
      </c>
      <c r="X43" s="1376">
        <f t="shared" si="51"/>
        <v>63.206733099999994</v>
      </c>
      <c r="Y43" s="1376">
        <f t="shared" si="51"/>
        <v>35.02547508</v>
      </c>
      <c r="Z43" s="1376">
        <f t="shared" si="51"/>
        <v>309.10529980000001</v>
      </c>
      <c r="AA43" s="1376">
        <f t="shared" si="51"/>
        <v>298.00605199</v>
      </c>
      <c r="AB43" s="1376">
        <f t="shared" ref="AB43" si="52">+AB23-AB41</f>
        <v>1.2530921000000035</v>
      </c>
      <c r="AC43" s="1376">
        <f t="shared" si="51"/>
        <v>23.247379730000006</v>
      </c>
      <c r="AD43" s="1376">
        <f t="shared" si="51"/>
        <v>-25.456350110000006</v>
      </c>
      <c r="AE43" s="1376">
        <f t="shared" si="51"/>
        <v>116.85946118</v>
      </c>
      <c r="AF43" s="1376">
        <f t="shared" si="51"/>
        <v>421.53953482999992</v>
      </c>
      <c r="AG43" s="1376">
        <f t="shared" si="51"/>
        <v>0</v>
      </c>
      <c r="AH43" s="1376">
        <f t="shared" si="51"/>
        <v>1316.1795617500002</v>
      </c>
      <c r="AJ43" s="319"/>
      <c r="AK43" s="319"/>
      <c r="AL43" s="319"/>
      <c r="AM43" s="319"/>
      <c r="AN43" s="319"/>
      <c r="AO43" s="319"/>
      <c r="AP43" s="319"/>
      <c r="AQ43" s="319"/>
      <c r="AR43" s="319"/>
      <c r="AS43" s="319"/>
      <c r="AT43" s="319"/>
      <c r="AU43" s="319"/>
      <c r="AV43" s="319"/>
      <c r="AW43" s="319"/>
      <c r="AX43" s="319"/>
      <c r="AY43" s="319"/>
      <c r="AZ43" s="319"/>
      <c r="BA43" s="319"/>
      <c r="BB43" s="319"/>
      <c r="BC43" s="319"/>
      <c r="BD43" s="319"/>
      <c r="BE43" s="319"/>
      <c r="BF43" s="319"/>
      <c r="BG43" s="319"/>
      <c r="BH43" s="319"/>
      <c r="BI43" s="319"/>
      <c r="BJ43" s="319"/>
      <c r="BK43" s="319"/>
      <c r="BL43" s="414"/>
    </row>
    <row r="44" spans="3:64" ht="4.5" customHeight="1">
      <c r="C44" s="681"/>
      <c r="D44" s="1378"/>
      <c r="E44" s="1378"/>
      <c r="G44" s="1378"/>
      <c r="H44" s="1378"/>
      <c r="I44" s="1378"/>
      <c r="J44" s="1378"/>
      <c r="K44" s="1378"/>
      <c r="L44" s="1378"/>
      <c r="M44" s="1378"/>
      <c r="N44" s="1378"/>
      <c r="O44" s="1378"/>
      <c r="P44" s="1378"/>
      <c r="Q44" s="1378"/>
      <c r="R44" s="1378"/>
      <c r="S44" s="1378"/>
      <c r="T44" s="1378"/>
      <c r="V44" s="1378"/>
      <c r="W44" s="1378"/>
      <c r="X44" s="1378"/>
      <c r="Y44" s="1378"/>
      <c r="Z44" s="1378"/>
      <c r="AA44" s="1378"/>
      <c r="AB44" s="1378"/>
      <c r="AC44" s="1378"/>
      <c r="AD44" s="1378"/>
      <c r="AE44" s="1378"/>
      <c r="AF44" s="1378"/>
      <c r="AG44" s="1378"/>
      <c r="AH44" s="1378"/>
      <c r="AJ44" s="235"/>
      <c r="AK44" s="235"/>
      <c r="AL44" s="235"/>
      <c r="AM44" s="235"/>
      <c r="AN44" s="235"/>
      <c r="AO44" s="235"/>
      <c r="AP44" s="235"/>
      <c r="AQ44" s="235"/>
      <c r="AR44" s="235"/>
      <c r="AS44" s="235"/>
      <c r="AT44" s="235"/>
      <c r="AU44" s="235"/>
      <c r="AV44" s="235"/>
      <c r="AW44" s="235"/>
      <c r="AX44" s="235"/>
      <c r="AY44" s="235"/>
      <c r="AZ44" s="235"/>
      <c r="BA44" s="235"/>
      <c r="BB44" s="235"/>
      <c r="BC44" s="235"/>
      <c r="BD44" s="235"/>
      <c r="BE44" s="235"/>
      <c r="BF44" s="235"/>
      <c r="BG44" s="235"/>
      <c r="BH44" s="235"/>
      <c r="BI44" s="235"/>
      <c r="BJ44" s="235"/>
      <c r="BK44" s="235"/>
    </row>
    <row r="45" spans="3:64" ht="15" customHeight="1">
      <c r="C45" s="1379" t="str">
        <f>IF(Indice_index!$Z$1=1,"   Por memória:","   Memo item:")</f>
        <v xml:space="preserve">   Memo item:</v>
      </c>
      <c r="D45" s="62"/>
      <c r="E45" s="62"/>
      <c r="G45" s="62"/>
      <c r="H45" s="62"/>
      <c r="I45" s="62"/>
      <c r="J45" s="62"/>
      <c r="K45" s="62"/>
      <c r="L45" s="62"/>
      <c r="M45" s="62"/>
      <c r="N45" s="62"/>
      <c r="O45" s="62"/>
      <c r="P45" s="62"/>
      <c r="Q45" s="62"/>
      <c r="R45" s="62"/>
      <c r="S45" s="62"/>
      <c r="T45" s="62"/>
      <c r="V45" s="62"/>
      <c r="W45" s="62"/>
      <c r="X45" s="62"/>
      <c r="Y45" s="62"/>
      <c r="Z45" s="62"/>
      <c r="AA45" s="62"/>
      <c r="AB45" s="62"/>
      <c r="AC45" s="62"/>
      <c r="AD45" s="62"/>
      <c r="AE45" s="62"/>
      <c r="AF45" s="62"/>
      <c r="AG45" s="62"/>
      <c r="AH45" s="62"/>
      <c r="AJ45" s="235"/>
      <c r="AK45" s="235"/>
      <c r="AL45" s="235"/>
      <c r="AM45" s="235"/>
      <c r="AN45" s="235"/>
      <c r="AO45" s="235"/>
      <c r="AP45" s="235"/>
      <c r="AQ45" s="235"/>
      <c r="AR45" s="235"/>
      <c r="AS45" s="235"/>
      <c r="AT45" s="235"/>
      <c r="AU45" s="235"/>
      <c r="AV45" s="235"/>
      <c r="AW45" s="235"/>
      <c r="AX45" s="235"/>
      <c r="AY45" s="235"/>
      <c r="AZ45" s="235"/>
      <c r="BA45" s="235"/>
      <c r="BB45" s="235"/>
      <c r="BC45" s="235"/>
      <c r="BD45" s="235"/>
      <c r="BE45" s="235"/>
      <c r="BF45" s="235"/>
      <c r="BG45" s="235"/>
      <c r="BH45" s="235"/>
      <c r="BI45" s="235"/>
      <c r="BJ45" s="235"/>
      <c r="BK45" s="235"/>
    </row>
    <row r="46" spans="3:64" s="179" customFormat="1" ht="15" customHeight="1">
      <c r="C46" s="1373" t="str">
        <f>IF(Indice_index!$Z$1=1,"Saldo corrente","Current balance")</f>
        <v>Current balance</v>
      </c>
      <c r="D46" s="135"/>
      <c r="E46" s="135"/>
      <c r="F46" s="96"/>
      <c r="G46" s="135">
        <f t="shared" ref="G46:T46" si="53">+G8-G25</f>
        <v>14.599955920000006</v>
      </c>
      <c r="H46" s="135">
        <f t="shared" si="53"/>
        <v>49.319399959999998</v>
      </c>
      <c r="I46" s="135">
        <f t="shared" si="53"/>
        <v>41.386340049999987</v>
      </c>
      <c r="J46" s="135">
        <f t="shared" si="53"/>
        <v>63.906286579999986</v>
      </c>
      <c r="K46" s="135">
        <f t="shared" si="53"/>
        <v>375.48363393000005</v>
      </c>
      <c r="L46" s="135">
        <f t="shared" si="53"/>
        <v>89.418738279999999</v>
      </c>
      <c r="M46" s="135">
        <f t="shared" si="53"/>
        <v>292.76435255000001</v>
      </c>
      <c r="N46" s="135">
        <f t="shared" si="53"/>
        <v>-318.47668611</v>
      </c>
      <c r="O46" s="135">
        <f t="shared" si="53"/>
        <v>12.642397620000008</v>
      </c>
      <c r="P46" s="135">
        <f t="shared" si="53"/>
        <v>68.561699119999957</v>
      </c>
      <c r="Q46" s="135">
        <f t="shared" si="53"/>
        <v>653.06094694000012</v>
      </c>
      <c r="R46" s="135">
        <f t="shared" si="53"/>
        <v>-18.635497960000066</v>
      </c>
      <c r="S46" s="135">
        <f t="shared" si="53"/>
        <v>1342.66706484</v>
      </c>
      <c r="T46" s="135">
        <f t="shared" si="53"/>
        <v>1324.0315668799999</v>
      </c>
      <c r="U46" s="96"/>
      <c r="V46" s="135">
        <f t="shared" ref="V46:AH46" si="54">+V8-V25</f>
        <v>59.756450299999997</v>
      </c>
      <c r="W46" s="135">
        <f t="shared" si="54"/>
        <v>42.95216507</v>
      </c>
      <c r="X46" s="135">
        <f t="shared" si="54"/>
        <v>50.194475740000001</v>
      </c>
      <c r="Y46" s="135">
        <f t="shared" si="54"/>
        <v>50.459966399999999</v>
      </c>
      <c r="Z46" s="135">
        <f t="shared" si="54"/>
        <v>324.49479112</v>
      </c>
      <c r="AA46" s="135">
        <f t="shared" si="54"/>
        <v>313.44054331000001</v>
      </c>
      <c r="AB46" s="135">
        <f t="shared" si="54"/>
        <v>2.8063434200000046</v>
      </c>
      <c r="AC46" s="135">
        <f t="shared" si="54"/>
        <v>19.32709805</v>
      </c>
      <c r="AD46" s="135">
        <f t="shared" si="54"/>
        <v>17.472382710000002</v>
      </c>
      <c r="AE46" s="135">
        <f t="shared" si="54"/>
        <v>112.71156449999999</v>
      </c>
      <c r="AF46" s="135">
        <f t="shared" si="54"/>
        <v>417.39163814999995</v>
      </c>
      <c r="AG46" s="135">
        <f t="shared" si="54"/>
        <v>0</v>
      </c>
      <c r="AH46" s="135">
        <f t="shared" si="54"/>
        <v>1411.0074187700002</v>
      </c>
      <c r="AJ46" s="235"/>
      <c r="AK46" s="235"/>
      <c r="AL46" s="235"/>
      <c r="AM46" s="235"/>
      <c r="AN46" s="235"/>
      <c r="AO46" s="235"/>
      <c r="AP46" s="235"/>
      <c r="AQ46" s="235"/>
      <c r="AR46" s="235"/>
      <c r="AS46" s="235"/>
      <c r="AT46" s="235"/>
      <c r="AU46" s="235"/>
      <c r="AV46" s="235"/>
      <c r="AW46" s="235"/>
      <c r="AX46" s="235"/>
      <c r="AY46" s="235"/>
      <c r="AZ46" s="235"/>
      <c r="BA46" s="235"/>
      <c r="BB46" s="235"/>
      <c r="BC46" s="235"/>
      <c r="BD46" s="235"/>
      <c r="BE46" s="235"/>
      <c r="BF46" s="235"/>
      <c r="BG46" s="235"/>
      <c r="BH46" s="235"/>
      <c r="BI46" s="235"/>
      <c r="BJ46" s="235"/>
      <c r="BK46" s="235"/>
      <c r="BL46" s="413"/>
    </row>
    <row r="47" spans="3:64" s="179" customFormat="1" ht="15" customHeight="1">
      <c r="C47" s="1373" t="str">
        <f>IF(Indice_index!$Z$1=1,"Saldo de capital","Capital balance")</f>
        <v>Capital balance</v>
      </c>
      <c r="D47" s="135"/>
      <c r="E47" s="135"/>
      <c r="F47" s="96"/>
      <c r="G47" s="135">
        <f t="shared" ref="G47:T47" si="55">+G16-G34</f>
        <v>-13.88124</v>
      </c>
      <c r="H47" s="135">
        <f t="shared" si="55"/>
        <v>12.697388999999999</v>
      </c>
      <c r="I47" s="135">
        <f t="shared" si="55"/>
        <v>-13.929066999999996</v>
      </c>
      <c r="J47" s="135">
        <f t="shared" si="55"/>
        <v>-52.205551000000007</v>
      </c>
      <c r="K47" s="135">
        <f t="shared" si="55"/>
        <v>-15.331340999999995</v>
      </c>
      <c r="L47" s="135">
        <f t="shared" si="55"/>
        <v>-332.31218000000001</v>
      </c>
      <c r="M47" s="135">
        <f t="shared" si="55"/>
        <v>-102.70864908</v>
      </c>
      <c r="N47" s="135">
        <f t="shared" si="55"/>
        <v>-15.335550999999995</v>
      </c>
      <c r="O47" s="135">
        <f t="shared" si="55"/>
        <v>-68.196328999999992</v>
      </c>
      <c r="P47" s="135">
        <f t="shared" si="55"/>
        <v>-15.418551000000015</v>
      </c>
      <c r="Q47" s="135">
        <f t="shared" si="55"/>
        <v>-37.195811999999975</v>
      </c>
      <c r="R47" s="135">
        <f t="shared" si="55"/>
        <v>-239.87069623999997</v>
      </c>
      <c r="S47" s="135">
        <f t="shared" si="55"/>
        <v>-653.81688207999991</v>
      </c>
      <c r="T47" s="135">
        <f t="shared" si="55"/>
        <v>-893.68757831999994</v>
      </c>
      <c r="U47" s="96"/>
      <c r="V47" s="135">
        <f t="shared" ref="V47:AH47" si="56">+V16-V34</f>
        <v>-15.434491319999999</v>
      </c>
      <c r="W47" s="135">
        <f t="shared" si="56"/>
        <v>-13.88124</v>
      </c>
      <c r="X47" s="135">
        <f t="shared" si="56"/>
        <v>13.01225736</v>
      </c>
      <c r="Y47" s="135">
        <f t="shared" si="56"/>
        <v>-15.434491319999998</v>
      </c>
      <c r="Z47" s="135">
        <f t="shared" si="56"/>
        <v>-15.389491319999998</v>
      </c>
      <c r="AA47" s="135">
        <f t="shared" si="56"/>
        <v>-15.434491320000005</v>
      </c>
      <c r="AB47" s="135">
        <f t="shared" si="56"/>
        <v>-1.5532513200000011</v>
      </c>
      <c r="AC47" s="135">
        <f t="shared" si="56"/>
        <v>3.920281680000004</v>
      </c>
      <c r="AD47" s="135">
        <f t="shared" si="56"/>
        <v>-42.928732820000008</v>
      </c>
      <c r="AE47" s="135">
        <f t="shared" si="56"/>
        <v>4.1478966800000041</v>
      </c>
      <c r="AF47" s="135">
        <f t="shared" si="56"/>
        <v>4.1478966799999988</v>
      </c>
      <c r="AG47" s="135">
        <f t="shared" si="56"/>
        <v>0</v>
      </c>
      <c r="AH47" s="135">
        <f t="shared" si="56"/>
        <v>-94.82785702000001</v>
      </c>
      <c r="AJ47" s="235"/>
      <c r="AK47" s="235"/>
      <c r="AL47" s="235"/>
      <c r="AM47" s="235"/>
      <c r="AN47" s="235"/>
      <c r="AO47" s="235"/>
      <c r="AP47" s="235"/>
      <c r="AQ47" s="235"/>
      <c r="AR47" s="235"/>
      <c r="AS47" s="235"/>
      <c r="AT47" s="235"/>
      <c r="AU47" s="235"/>
      <c r="AV47" s="235"/>
      <c r="AW47" s="235"/>
      <c r="AX47" s="235"/>
      <c r="AY47" s="235"/>
      <c r="AZ47" s="235"/>
      <c r="BA47" s="235"/>
      <c r="BB47" s="235"/>
      <c r="BC47" s="235"/>
      <c r="BD47" s="235"/>
      <c r="BE47" s="235"/>
      <c r="BF47" s="235"/>
      <c r="BG47" s="235"/>
      <c r="BH47" s="235"/>
      <c r="BI47" s="235"/>
      <c r="BJ47" s="235"/>
      <c r="BK47" s="235"/>
      <c r="BL47" s="413"/>
    </row>
    <row r="48" spans="3:64" ht="15" customHeight="1">
      <c r="C48" s="1373" t="str">
        <f>IF(Indice_index!$Z$1=1,"Saldo primário","Primary balance")</f>
        <v>Primary balance</v>
      </c>
      <c r="D48" s="135"/>
      <c r="E48" s="135"/>
      <c r="G48" s="135">
        <f>+G43+G28</f>
        <v>0.71871592000000817</v>
      </c>
      <c r="H48" s="135">
        <f t="shared" ref="H48:T48" si="57">+H43+H28</f>
        <v>62.01678896</v>
      </c>
      <c r="I48" s="135">
        <f t="shared" si="57"/>
        <v>27.457273049999998</v>
      </c>
      <c r="J48" s="135">
        <f t="shared" si="57"/>
        <v>11.700735579999979</v>
      </c>
      <c r="K48" s="135">
        <f t="shared" si="57"/>
        <v>360.15229293000004</v>
      </c>
      <c r="L48" s="135">
        <f t="shared" si="57"/>
        <v>-242.89344172</v>
      </c>
      <c r="M48" s="135">
        <f t="shared" si="57"/>
        <v>-96.596931069999954</v>
      </c>
      <c r="N48" s="135">
        <f t="shared" si="57"/>
        <v>-333.81223711000001</v>
      </c>
      <c r="O48" s="135">
        <f t="shared" si="57"/>
        <v>-55.55393137999998</v>
      </c>
      <c r="P48" s="135">
        <f t="shared" si="57"/>
        <v>53.14314811999995</v>
      </c>
      <c r="Q48" s="135">
        <f t="shared" si="57"/>
        <v>615.86513494000008</v>
      </c>
      <c r="R48" s="135">
        <f t="shared" si="57"/>
        <v>-258.50619419999998</v>
      </c>
      <c r="S48" s="135">
        <f t="shared" si="57"/>
        <v>402.19754821999982</v>
      </c>
      <c r="T48" s="135">
        <f t="shared" si="57"/>
        <v>143.69135401999984</v>
      </c>
      <c r="V48" s="135">
        <f>+V43+V28</f>
        <v>44.321958979999998</v>
      </c>
      <c r="W48" s="135">
        <f t="shared" ref="W48:AH48" si="58">+W43+W28</f>
        <v>29.070925070000001</v>
      </c>
      <c r="X48" s="135">
        <f t="shared" si="58"/>
        <v>63.206733099999994</v>
      </c>
      <c r="Y48" s="135">
        <f t="shared" si="58"/>
        <v>35.02547508</v>
      </c>
      <c r="Z48" s="135">
        <f t="shared" si="58"/>
        <v>309.10529980000001</v>
      </c>
      <c r="AA48" s="135">
        <f t="shared" si="58"/>
        <v>298.00605199</v>
      </c>
      <c r="AB48" s="135">
        <f t="shared" si="58"/>
        <v>1.2530921000000035</v>
      </c>
      <c r="AC48" s="135">
        <f t="shared" si="58"/>
        <v>23.247379730000006</v>
      </c>
      <c r="AD48" s="135">
        <f t="shared" si="58"/>
        <v>-25.456350110000006</v>
      </c>
      <c r="AE48" s="135">
        <f t="shared" si="58"/>
        <v>116.85946118</v>
      </c>
      <c r="AF48" s="135">
        <f t="shared" si="58"/>
        <v>421.53953482999992</v>
      </c>
      <c r="AG48" s="135">
        <f t="shared" si="58"/>
        <v>0</v>
      </c>
      <c r="AH48" s="135">
        <f t="shared" si="58"/>
        <v>1316.1795617500002</v>
      </c>
      <c r="AJ48" s="235"/>
      <c r="AK48" s="235"/>
      <c r="AL48" s="235"/>
      <c r="AM48" s="235"/>
      <c r="AN48" s="235"/>
      <c r="AO48" s="235"/>
      <c r="AP48" s="235"/>
      <c r="AQ48" s="235"/>
      <c r="AR48" s="235"/>
      <c r="AS48" s="235"/>
      <c r="AT48" s="235"/>
      <c r="AU48" s="235"/>
      <c r="AV48" s="235"/>
      <c r="AW48" s="235"/>
      <c r="AX48" s="235"/>
      <c r="AY48" s="235"/>
      <c r="AZ48" s="235"/>
      <c r="BA48" s="235"/>
      <c r="BB48" s="235"/>
      <c r="BC48" s="235"/>
      <c r="BD48" s="235"/>
      <c r="BE48" s="235"/>
      <c r="BF48" s="235"/>
      <c r="BG48" s="235"/>
      <c r="BH48" s="235"/>
      <c r="BI48" s="235"/>
      <c r="BJ48" s="235"/>
      <c r="BK48" s="235"/>
    </row>
    <row r="49" spans="2:64" ht="15" customHeight="1">
      <c r="C49" s="1380" t="str">
        <f>IF(Indice_index!$Z$1=1,"Despesa  primária","Primary Expenditure")</f>
        <v>Primary Expenditure</v>
      </c>
      <c r="D49" s="1074"/>
      <c r="E49" s="1381"/>
      <c r="G49" s="1074">
        <f t="shared" ref="G49:T49" si="59">+G41-G28</f>
        <v>58.011006109999997</v>
      </c>
      <c r="H49" s="1381">
        <f t="shared" si="59"/>
        <v>14.138688</v>
      </c>
      <c r="I49" s="1381">
        <f t="shared" si="59"/>
        <v>101.22906699999999</v>
      </c>
      <c r="J49" s="1381">
        <f t="shared" si="59"/>
        <v>58.081165000000006</v>
      </c>
      <c r="K49" s="1381">
        <f t="shared" si="59"/>
        <v>15.331340999999995</v>
      </c>
      <c r="L49" s="1381">
        <f t="shared" si="59"/>
        <v>332.31218000000001</v>
      </c>
      <c r="M49" s="1381">
        <f t="shared" si="59"/>
        <v>118.92398707999996</v>
      </c>
      <c r="N49" s="1381">
        <f t="shared" si="59"/>
        <v>349.97198581999999</v>
      </c>
      <c r="O49" s="1381">
        <f t="shared" si="59"/>
        <v>77.991138439999986</v>
      </c>
      <c r="P49" s="1381">
        <f t="shared" si="59"/>
        <v>21.288442590000045</v>
      </c>
      <c r="Q49" s="1381">
        <f t="shared" si="59"/>
        <v>37.183738090000006</v>
      </c>
      <c r="R49" s="1381">
        <f t="shared" si="59"/>
        <v>811.21063387999993</v>
      </c>
      <c r="S49" s="1381">
        <f t="shared" si="59"/>
        <v>1184.46273913</v>
      </c>
      <c r="T49" s="1074">
        <f t="shared" si="59"/>
        <v>1995.67337301</v>
      </c>
      <c r="V49" s="1074">
        <f t="shared" ref="V49:AG49" si="60">+V41-V28</f>
        <v>37.033985489999999</v>
      </c>
      <c r="W49" s="1381">
        <f t="shared" si="60"/>
        <v>19.998387999999998</v>
      </c>
      <c r="X49" s="1381">
        <f t="shared" si="60"/>
        <v>18.944890640000001</v>
      </c>
      <c r="Y49" s="1381">
        <f t="shared" si="60"/>
        <v>17.391639319999996</v>
      </c>
      <c r="Z49" s="1381">
        <f t="shared" si="60"/>
        <v>17.346639319999998</v>
      </c>
      <c r="AA49" s="1381">
        <f t="shared" si="60"/>
        <v>17.391639320000003</v>
      </c>
      <c r="AB49" s="1381">
        <f t="shared" si="60"/>
        <v>32.072128319999997</v>
      </c>
      <c r="AC49" s="1381">
        <f t="shared" si="60"/>
        <v>-3.920281680000004</v>
      </c>
      <c r="AD49" s="1381">
        <f t="shared" si="60"/>
        <v>42.928732820000008</v>
      </c>
      <c r="AE49" s="1381">
        <f t="shared" si="60"/>
        <v>17.944461320000002</v>
      </c>
      <c r="AF49" s="1381">
        <f t="shared" si="60"/>
        <v>-4.1478966799999988</v>
      </c>
      <c r="AG49" s="1381">
        <f t="shared" si="60"/>
        <v>0</v>
      </c>
      <c r="AH49" s="1074">
        <f>+AH41-AH28</f>
        <v>212.98432618999999</v>
      </c>
      <c r="AJ49" s="235"/>
      <c r="AK49" s="235"/>
      <c r="AL49" s="235"/>
      <c r="AM49" s="235"/>
      <c r="AN49" s="235"/>
      <c r="AO49" s="235"/>
      <c r="AP49" s="235"/>
      <c r="AQ49" s="235"/>
      <c r="AR49" s="235"/>
      <c r="AS49" s="235"/>
      <c r="AT49" s="235"/>
      <c r="AU49" s="235"/>
      <c r="AV49" s="235"/>
      <c r="AW49" s="235"/>
      <c r="AX49" s="235"/>
      <c r="AY49" s="235"/>
      <c r="AZ49" s="235"/>
      <c r="BA49" s="235"/>
      <c r="BB49" s="235"/>
      <c r="BC49" s="235"/>
      <c r="BD49" s="235"/>
      <c r="BE49" s="235"/>
      <c r="BF49" s="235"/>
      <c r="BG49" s="235"/>
      <c r="BH49" s="235"/>
      <c r="BI49" s="235"/>
      <c r="BJ49" s="235"/>
      <c r="BK49" s="235"/>
    </row>
    <row r="50" spans="2:64" ht="15" customHeight="1">
      <c r="G50" s="96"/>
      <c r="H50" s="96"/>
      <c r="I50" s="96"/>
      <c r="J50" s="96"/>
      <c r="K50" s="96"/>
      <c r="L50" s="96"/>
      <c r="M50" s="96"/>
      <c r="N50" s="96"/>
      <c r="O50" s="96"/>
      <c r="P50" s="96"/>
      <c r="Q50" s="96"/>
      <c r="R50" s="96"/>
      <c r="S50" s="96"/>
      <c r="T50" s="96"/>
      <c r="V50" s="96"/>
      <c r="W50" s="96"/>
      <c r="X50" s="96"/>
      <c r="Y50" s="96"/>
      <c r="Z50" s="96"/>
      <c r="AA50" s="96"/>
      <c r="AB50" s="96"/>
      <c r="AC50" s="96"/>
      <c r="AD50" s="96"/>
      <c r="AE50" s="96"/>
      <c r="AF50" s="96"/>
      <c r="AG50" s="96"/>
      <c r="AH50" s="96"/>
      <c r="AK50" s="236"/>
      <c r="AL50" s="236"/>
      <c r="AM50" s="236"/>
      <c r="AN50" s="236"/>
      <c r="AO50" s="236"/>
      <c r="AP50" s="236"/>
      <c r="AQ50" s="236"/>
      <c r="AR50" s="236"/>
      <c r="AS50" s="236"/>
      <c r="AT50" s="236"/>
      <c r="AU50" s="236"/>
      <c r="AV50" s="236"/>
      <c r="AW50" s="236"/>
      <c r="AX50" s="236"/>
      <c r="AY50" s="236"/>
      <c r="AZ50" s="236"/>
      <c r="BA50" s="236"/>
      <c r="BB50" s="236"/>
      <c r="BC50" s="236"/>
      <c r="BD50" s="236"/>
      <c r="BE50" s="236"/>
      <c r="BF50" s="236"/>
      <c r="BG50" s="236"/>
      <c r="BH50" s="236"/>
      <c r="BI50" s="236"/>
    </row>
    <row r="51" spans="2:64" ht="6" customHeight="1">
      <c r="G51" s="96"/>
      <c r="H51" s="96"/>
      <c r="I51" s="96"/>
      <c r="J51" s="96"/>
      <c r="K51" s="96"/>
      <c r="L51" s="96"/>
      <c r="M51" s="96"/>
      <c r="N51" s="96"/>
      <c r="O51" s="96"/>
      <c r="P51" s="96"/>
      <c r="Q51" s="96"/>
      <c r="R51" s="96"/>
      <c r="S51" s="96"/>
      <c r="T51" s="96"/>
      <c r="V51" s="96"/>
      <c r="W51" s="96"/>
      <c r="X51" s="96"/>
      <c r="Y51" s="96"/>
      <c r="Z51" s="96"/>
      <c r="AA51" s="96"/>
      <c r="AB51" s="96"/>
      <c r="AC51" s="96"/>
      <c r="AD51" s="96"/>
      <c r="AE51" s="96"/>
      <c r="AF51" s="96"/>
      <c r="AG51" s="96"/>
      <c r="AH51" s="96"/>
      <c r="AK51" s="236"/>
      <c r="AL51" s="236"/>
      <c r="AM51" s="236"/>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row>
    <row r="52" spans="2:64" s="363" customFormat="1" ht="15.65" customHeight="1">
      <c r="B52" s="362"/>
      <c r="C52" s="1382" t="str">
        <f>IF(Indice_index!$Z$1=1,"Efeitos temporários/especiais na conta da Administração Central e Segurança Social","Temporary/special effects on the Central Government and Social Security Account")</f>
        <v>Temporary/special effects on the Central Government and Social Security Account</v>
      </c>
      <c r="D52" s="1383"/>
      <c r="E52" s="1384"/>
      <c r="F52" s="250"/>
      <c r="G52" s="250"/>
      <c r="H52" s="250"/>
      <c r="I52" s="250"/>
      <c r="J52" s="250"/>
      <c r="K52" s="250"/>
      <c r="L52" s="250"/>
      <c r="M52" s="250"/>
      <c r="N52" s="250"/>
      <c r="O52" s="250"/>
      <c r="P52" s="250"/>
      <c r="Q52" s="250"/>
      <c r="R52" s="250"/>
      <c r="S52" s="250"/>
      <c r="T52" s="250"/>
      <c r="U52" s="250"/>
      <c r="V52" s="250"/>
      <c r="W52" s="250"/>
      <c r="X52" s="250"/>
      <c r="Y52" s="250"/>
      <c r="Z52" s="250"/>
      <c r="AA52" s="250"/>
      <c r="AB52" s="250"/>
      <c r="AC52" s="250"/>
      <c r="AD52" s="250"/>
      <c r="AE52" s="250"/>
      <c r="AF52" s="250"/>
      <c r="AG52" s="250"/>
      <c r="AH52" s="250"/>
      <c r="AJ52" s="364"/>
      <c r="AK52" s="364"/>
      <c r="AL52" s="364"/>
      <c r="AM52" s="364"/>
      <c r="AN52" s="364"/>
      <c r="AO52" s="364"/>
      <c r="AP52" s="364"/>
      <c r="AQ52" s="364"/>
      <c r="AR52" s="364"/>
      <c r="AS52" s="364"/>
      <c r="AT52" s="364"/>
      <c r="AU52" s="364"/>
      <c r="AV52" s="364"/>
      <c r="AW52" s="364"/>
      <c r="AX52" s="364"/>
      <c r="AY52" s="364"/>
      <c r="AZ52" s="364"/>
      <c r="BA52" s="364"/>
      <c r="BB52" s="364"/>
      <c r="BC52" s="364"/>
      <c r="BD52" s="364"/>
      <c r="BE52" s="364"/>
      <c r="BF52" s="364"/>
      <c r="BG52" s="364"/>
      <c r="BH52" s="364"/>
      <c r="BI52" s="364"/>
      <c r="BJ52" s="364"/>
      <c r="BK52" s="364"/>
      <c r="BL52" s="414"/>
    </row>
    <row r="53" spans="2:64" s="180" customFormat="1" ht="22.5" customHeight="1">
      <c r="B53" s="177"/>
      <c r="C53" s="1368"/>
      <c r="D53" s="1369"/>
      <c r="E53" s="1385"/>
      <c r="F53" s="96"/>
      <c r="G53" s="1791" t="str">
        <f>IF(Indice_index!$Z$1=1,"2021 - mensal e acumulado","2021 - monthly and cumulative")</f>
        <v>2021 - monthly and cumulative</v>
      </c>
      <c r="H53" s="1791" t="s">
        <v>15</v>
      </c>
      <c r="I53" s="1791" t="s">
        <v>15</v>
      </c>
      <c r="J53" s="1791" t="s">
        <v>15</v>
      </c>
      <c r="K53" s="1791" t="s">
        <v>15</v>
      </c>
      <c r="L53" s="1791" t="s">
        <v>15</v>
      </c>
      <c r="M53" s="1791" t="s">
        <v>15</v>
      </c>
      <c r="N53" s="1791" t="s">
        <v>15</v>
      </c>
      <c r="O53" s="1791" t="s">
        <v>15</v>
      </c>
      <c r="P53" s="1791" t="s">
        <v>15</v>
      </c>
      <c r="Q53" s="1791" t="s">
        <v>15</v>
      </c>
      <c r="R53" s="1791" t="s">
        <v>15</v>
      </c>
      <c r="S53" s="1791"/>
      <c r="T53" s="1791" t="s">
        <v>15</v>
      </c>
      <c r="U53" s="96"/>
      <c r="V53" s="1791" t="str">
        <f>IF(Indice_index!$Z$1=1,"2022 - mensal e acumulado","2022 - monthly and cumulative")</f>
        <v>2022 - monthly and cumulative</v>
      </c>
      <c r="W53" s="1791" t="s">
        <v>15</v>
      </c>
      <c r="X53" s="1791" t="s">
        <v>15</v>
      </c>
      <c r="Y53" s="1791" t="s">
        <v>15</v>
      </c>
      <c r="Z53" s="1791" t="s">
        <v>15</v>
      </c>
      <c r="AA53" s="1791" t="s">
        <v>15</v>
      </c>
      <c r="AB53" s="1791" t="s">
        <v>15</v>
      </c>
      <c r="AC53" s="1791" t="s">
        <v>15</v>
      </c>
      <c r="AD53" s="1791" t="s">
        <v>15</v>
      </c>
      <c r="AE53" s="1791" t="s">
        <v>15</v>
      </c>
      <c r="AF53" s="1791" t="s">
        <v>15</v>
      </c>
      <c r="AG53" s="1791" t="s">
        <v>15</v>
      </c>
      <c r="AH53" s="1791" t="s">
        <v>15</v>
      </c>
      <c r="AJ53" s="237"/>
      <c r="AK53" s="237"/>
      <c r="AL53" s="237"/>
      <c r="AM53" s="236"/>
      <c r="AN53" s="236"/>
      <c r="AO53" s="236"/>
      <c r="AP53" s="236"/>
      <c r="AQ53" s="236"/>
      <c r="AR53" s="236"/>
      <c r="AS53" s="236"/>
      <c r="AT53" s="236"/>
      <c r="AU53" s="236"/>
      <c r="AV53" s="236"/>
      <c r="AW53" s="236"/>
      <c r="AX53" s="236"/>
      <c r="AY53" s="236"/>
      <c r="AZ53" s="236"/>
      <c r="BA53" s="236"/>
      <c r="BB53" s="236"/>
      <c r="BC53" s="236"/>
      <c r="BD53" s="236"/>
      <c r="BE53" s="236"/>
      <c r="BF53" s="236"/>
      <c r="BG53" s="236"/>
      <c r="BH53" s="236"/>
      <c r="BI53" s="236"/>
      <c r="BJ53" s="233"/>
      <c r="BK53" s="233"/>
      <c r="BL53" s="413"/>
    </row>
    <row r="54" spans="2:64" s="180" customFormat="1" ht="22.5" customHeight="1">
      <c r="B54" s="177"/>
      <c r="C54" s="1386"/>
      <c r="D54" s="1369"/>
      <c r="E54" s="1369"/>
      <c r="F54" s="96"/>
      <c r="G54" s="1369" t="str">
        <f>IF(Indice_index!$Z$1=1,"jan","Jan")</f>
        <v>Jan</v>
      </c>
      <c r="H54" s="1369" t="str">
        <f>IF(Indice_index!$Z$1=1,"fev","Feb")</f>
        <v>Feb</v>
      </c>
      <c r="I54" s="1369" t="str">
        <f>IF(Indice_index!$Z$1=1,"mar","Mar")</f>
        <v>Mar</v>
      </c>
      <c r="J54" s="1369" t="str">
        <f>IF(Indice_index!$Z$1=1,"abr","Apr")</f>
        <v>Apr</v>
      </c>
      <c r="K54" s="1369" t="str">
        <f>IF(Indice_index!$Z$1=1,"mai","May")</f>
        <v>May</v>
      </c>
      <c r="L54" s="1369" t="str">
        <f>IF(Indice_index!$Z$1=1,"jun","Jun")</f>
        <v>Jun</v>
      </c>
      <c r="M54" s="1369" t="str">
        <f>IF(Indice_index!$Z$1=1,"jul","Jul")</f>
        <v>Jul</v>
      </c>
      <c r="N54" s="1369" t="str">
        <f>IF(Indice_index!$Z$1=1,"ago","Aug")</f>
        <v>Aug</v>
      </c>
      <c r="O54" s="1369" t="str">
        <f>IF(Indice_index!$Z$1=1,"set","Sep")</f>
        <v>Sep</v>
      </c>
      <c r="P54" s="1369" t="str">
        <f>IF(Indice_index!$Z$1=1,"out","Oct")</f>
        <v>Oct</v>
      </c>
      <c r="Q54" s="1369" t="str">
        <f>IF(Indice_index!$Z$1=1,"nov","Nov")</f>
        <v>Nov</v>
      </c>
      <c r="R54" s="1369" t="str">
        <f>IF(Indice_index!$Z$1=1,"dez","Dec")</f>
        <v>Dec</v>
      </c>
      <c r="S54" s="1369" t="str">
        <f>IF(Indice_index!$Z$1=1,"Ano até à data","Year to date")</f>
        <v>Year to date</v>
      </c>
      <c r="T54" s="1369" t="str">
        <f>IF(Indice_index!$Z$1=1,"Acumulado","Cumulative")</f>
        <v>Cumulative</v>
      </c>
      <c r="U54" s="96"/>
      <c r="V54" s="1369" t="str">
        <f>IF(Indice_index!$Z$1=1,"jan","Jan")</f>
        <v>Jan</v>
      </c>
      <c r="W54" s="1369" t="str">
        <f>IF(Indice_index!$Z$1=1,"fev","Feb")</f>
        <v>Feb</v>
      </c>
      <c r="X54" s="1369" t="str">
        <f>IF(Indice_index!$Z$1=1,"mar","Mar")</f>
        <v>Mar</v>
      </c>
      <c r="Y54" s="1369" t="str">
        <f>IF(Indice_index!$Z$1=1,"abr","Apr")</f>
        <v>Apr</v>
      </c>
      <c r="Z54" s="1369" t="str">
        <f>IF(Indice_index!$Z$1=1,"mai","May")</f>
        <v>May</v>
      </c>
      <c r="AA54" s="1369" t="str">
        <f>IF(Indice_index!$Z$1=1,"jun","Jun")</f>
        <v>Jun</v>
      </c>
      <c r="AB54" s="1369" t="str">
        <f>IF(Indice_index!$Z$1=1,"jul","Jul")</f>
        <v>Jul</v>
      </c>
      <c r="AC54" s="1369" t="str">
        <f>IF(Indice_index!$Z$1=1,"ago","Aug")</f>
        <v>Aug</v>
      </c>
      <c r="AD54" s="1369" t="str">
        <f>IF(Indice_index!$Z$1=1,"set","Sep")</f>
        <v>Sep</v>
      </c>
      <c r="AE54" s="1369" t="str">
        <f>IF(Indice_index!$Z$1=1,"out","Oct")</f>
        <v>Oct</v>
      </c>
      <c r="AF54" s="1369" t="str">
        <f>IF(Indice_index!$Z$1=1,"nov","Nov")</f>
        <v>Nov</v>
      </c>
      <c r="AG54" s="1369" t="str">
        <f>IF(Indice_index!$Z$1=1,"dez","Dec")</f>
        <v>Dec</v>
      </c>
      <c r="AH54" s="1369" t="str">
        <f>IF(Indice_index!$Z$1=1,"Acumulado","Cumulative")</f>
        <v>Cumulative</v>
      </c>
      <c r="AI54" s="96"/>
      <c r="AJ54" s="237"/>
      <c r="AK54" s="237"/>
      <c r="AL54" s="237"/>
      <c r="AM54" s="236"/>
      <c r="AN54" s="236"/>
      <c r="AO54" s="236"/>
      <c r="AP54" s="236"/>
      <c r="AQ54" s="236"/>
      <c r="AR54" s="236"/>
      <c r="AS54" s="236"/>
      <c r="AT54" s="236"/>
      <c r="AU54" s="236"/>
      <c r="AV54" s="236"/>
      <c r="AW54" s="236"/>
      <c r="AX54" s="236"/>
      <c r="AY54" s="236"/>
      <c r="AZ54" s="236"/>
      <c r="BA54" s="236"/>
      <c r="BB54" s="236"/>
      <c r="BC54" s="236"/>
      <c r="BD54" s="236"/>
      <c r="BE54" s="236"/>
      <c r="BF54" s="236"/>
      <c r="BG54" s="236"/>
      <c r="BH54" s="236"/>
      <c r="BI54" s="236"/>
      <c r="BJ54" s="233"/>
      <c r="BK54" s="233"/>
      <c r="BL54" s="413"/>
    </row>
    <row r="55" spans="2:64" s="324" customFormat="1" ht="15" customHeight="1">
      <c r="B55" s="321"/>
      <c r="C55" s="1387" t="str">
        <f>IF(Indice_index!$Z$1=1,"Subtotal da Administração Central","Central Government subtotal")</f>
        <v>Central Government subtotal</v>
      </c>
      <c r="D55" s="1388"/>
      <c r="E55" s="1389"/>
      <c r="F55" s="250"/>
      <c r="G55" s="1389">
        <f t="shared" ref="G55:R55" si="61">SUMIF($D56:$D86,"Receita",G56:G86)-SUMIF($D56:$D86,"Despesa",G56:G86)+SUMIF($D56:$D86,"Revenue",G56:G86)-SUMIF($D56:$D86,"Expenditure",G56:G86)</f>
        <v>0.71871592000000817</v>
      </c>
      <c r="H55" s="1389">
        <f t="shared" si="61"/>
        <v>62.01678896</v>
      </c>
      <c r="I55" s="1389">
        <f t="shared" si="61"/>
        <v>27.457273049999998</v>
      </c>
      <c r="J55" s="1389">
        <f t="shared" si="61"/>
        <v>11.700735579999979</v>
      </c>
      <c r="K55" s="1389">
        <f t="shared" si="61"/>
        <v>360.15229292999999</v>
      </c>
      <c r="L55" s="1389">
        <f t="shared" si="61"/>
        <v>-242.89344172</v>
      </c>
      <c r="M55" s="1389">
        <f t="shared" si="61"/>
        <v>190.05570347000005</v>
      </c>
      <c r="N55" s="1389">
        <f t="shared" si="61"/>
        <v>-333.81223710999996</v>
      </c>
      <c r="O55" s="1389">
        <f t="shared" si="61"/>
        <v>-55.55393137999998</v>
      </c>
      <c r="P55" s="1389">
        <f t="shared" si="61"/>
        <v>53.14314811999995</v>
      </c>
      <c r="Q55" s="1389">
        <f t="shared" si="61"/>
        <v>615.86513494000008</v>
      </c>
      <c r="R55" s="1389">
        <f t="shared" si="61"/>
        <v>-258.50619419999998</v>
      </c>
      <c r="S55" s="1389">
        <f>SUMIF($D56:$D86,"Receita",S56:S86)-SUMIF($D56:$D86,"Despesa",S56:S86)+SUMIF($D56:$D86,"Revenue",S56:S86)-SUMIF($D56:$D86,"Expenditure",S56:S86)</f>
        <v>688.85018275999983</v>
      </c>
      <c r="T55" s="1389">
        <f>SUMIF($D56:$D86,"Receita",T56:T86)-SUMIF($D56:$D86,"Despesa",T56:T86)+SUMIF($D56:$D86,"Revenue",T56:T86)-SUMIF($D56:$D86,"Expenditure",T56:T86)</f>
        <v>430.3439885600003</v>
      </c>
      <c r="U55" s="250"/>
      <c r="V55" s="1389">
        <f t="shared" ref="V55:AG55" si="62">SUMIF($D56:$D86,"Receita",V56:V86)-SUMIF($D56:$D86,"Despesa",V56:V86)+SUMIF($D56:$D86,"Revenue",V56:V86)-SUMIF($D56:$D86,"Expenditure",V56:V86)</f>
        <v>44.321958979999998</v>
      </c>
      <c r="W55" s="1389">
        <f t="shared" si="62"/>
        <v>29.070925070000008</v>
      </c>
      <c r="X55" s="1389">
        <f t="shared" si="62"/>
        <v>63.206733099999987</v>
      </c>
      <c r="Y55" s="1389">
        <f t="shared" si="62"/>
        <v>35.025475080000007</v>
      </c>
      <c r="Z55" s="1389">
        <f>SUMIF($D56:$D86,"Receita",Z56:Z86)-SUMIF($D56:$D86,"Despesa",Z56:Z86)+SUMIF($D56:$D86,"Revenue",Z56:Z86)-SUMIF($D56:$D86,"Expenditure",Z56:Z86)</f>
        <v>309.10529980000001</v>
      </c>
      <c r="AA55" s="1389">
        <f>SUMIF($D56:$D86,"Receita",AA56:AA86)-SUMIF($D56:$D86,"Despesa",AA56:AA86)+SUMIF($D56:$D86,"Revenue",AA56:AA86)-SUMIF($D56:$D86,"Expenditure",AA56:AA86)</f>
        <v>298.00605199</v>
      </c>
      <c r="AB55" s="1389">
        <f t="shared" si="62"/>
        <v>1.2530921000000035</v>
      </c>
      <c r="AC55" s="1389">
        <f t="shared" si="62"/>
        <v>23.247379730000006</v>
      </c>
      <c r="AD55" s="1389">
        <f t="shared" si="62"/>
        <v>-25.45635011000001</v>
      </c>
      <c r="AE55" s="1389">
        <f t="shared" si="62"/>
        <v>116.85946118</v>
      </c>
      <c r="AF55" s="1389">
        <f t="shared" si="62"/>
        <v>421.53953482999992</v>
      </c>
      <c r="AG55" s="1389">
        <f t="shared" si="62"/>
        <v>0</v>
      </c>
      <c r="AH55" s="1389">
        <f>SUMIF($D56:$D86,"Receita",AH56:AH86)-SUMIF($D56:$D86,"Despesa",AH56:AH86)+SUMIF($D56:$D86,"Revenue",AH56:AH86)-SUMIF($D56:$D86,"Expenditure",AH56:AH86)</f>
        <v>1316.1795617500002</v>
      </c>
      <c r="AI55" s="250"/>
      <c r="AJ55" s="322"/>
      <c r="AK55" s="322"/>
      <c r="AL55" s="322"/>
      <c r="AM55" s="323"/>
      <c r="AN55" s="323"/>
      <c r="AO55" s="323"/>
      <c r="AP55" s="323"/>
      <c r="AQ55" s="323"/>
      <c r="AR55" s="323"/>
      <c r="AS55" s="323"/>
      <c r="AT55" s="323"/>
      <c r="AU55" s="323"/>
      <c r="AV55" s="323"/>
      <c r="AW55" s="323"/>
      <c r="AX55" s="323"/>
      <c r="AY55" s="323"/>
      <c r="AZ55" s="323"/>
      <c r="BA55" s="323"/>
      <c r="BB55" s="323"/>
      <c r="BC55" s="323"/>
      <c r="BD55" s="323"/>
      <c r="BE55" s="323"/>
      <c r="BF55" s="323"/>
      <c r="BG55" s="323"/>
      <c r="BH55" s="323"/>
      <c r="BI55" s="323"/>
      <c r="BJ55" s="323"/>
      <c r="BK55" s="323"/>
      <c r="BL55" s="414"/>
    </row>
    <row r="56" spans="2:64" s="180" customFormat="1" ht="18" customHeight="1">
      <c r="B56" s="177"/>
      <c r="C56" s="859" t="str">
        <f>IF(Indice_index!$Z$1=1,"Consignação do IRC ao Fundo de Estabilização Financeira da Segurança Social (FEFSS)","Tax revenue (Corporate Income Tax) assigned to the Fund for the Financial Stability of the Social Security System (FEFSS)")</f>
        <v>Tax revenue (Corporate Income Tax) assigned to the Fund for the Financial Stability of the Social Security System (FEFSS)</v>
      </c>
      <c r="D56" s="860" t="str">
        <f>IF(Indice_index!$Z$1=1,"Receita","Revenue")</f>
        <v>Revenue</v>
      </c>
      <c r="E56" s="179" t="s">
        <v>16</v>
      </c>
      <c r="F56" s="96"/>
      <c r="G56" s="135"/>
      <c r="H56" s="135"/>
      <c r="I56" s="179"/>
      <c r="J56" s="179"/>
      <c r="K56" s="179"/>
      <c r="L56" s="179"/>
      <c r="M56" s="179"/>
      <c r="N56" s="179"/>
      <c r="O56" s="179"/>
      <c r="P56" s="179"/>
      <c r="Q56" s="179"/>
      <c r="R56" s="179">
        <v>337.30786981</v>
      </c>
      <c r="S56" s="179">
        <f>SUM(G56:Q56)</f>
        <v>0</v>
      </c>
      <c r="T56" s="179">
        <f>SUM(G56:R56)</f>
        <v>337.30786981</v>
      </c>
      <c r="U56" s="96"/>
      <c r="V56" s="135"/>
      <c r="W56" s="135"/>
      <c r="X56" s="179"/>
      <c r="Y56" s="179"/>
      <c r="Z56" s="179"/>
      <c r="AA56" s="179"/>
      <c r="AB56" s="179"/>
      <c r="AC56" s="179"/>
      <c r="AD56" s="179"/>
      <c r="AE56" s="179"/>
      <c r="AF56" s="179">
        <v>393.99150488999999</v>
      </c>
      <c r="AG56" s="179"/>
      <c r="AH56" s="179">
        <f>SUM(V56:AG56)</f>
        <v>393.99150488999999</v>
      </c>
      <c r="AI56" s="96"/>
      <c r="AJ56" s="237"/>
      <c r="AK56" s="237"/>
      <c r="AL56" s="237"/>
      <c r="AM56" s="236"/>
      <c r="AN56" s="236"/>
      <c r="AO56" s="236"/>
      <c r="AP56" s="236"/>
      <c r="AQ56" s="236"/>
      <c r="AR56" s="236"/>
      <c r="AS56" s="236"/>
      <c r="AT56" s="236"/>
      <c r="AU56" s="236"/>
      <c r="AV56" s="236"/>
      <c r="AW56" s="236"/>
      <c r="AX56" s="236"/>
      <c r="AY56" s="236"/>
      <c r="AZ56" s="236"/>
      <c r="BA56" s="236"/>
      <c r="BB56" s="236"/>
      <c r="BC56" s="236"/>
      <c r="BD56" s="236"/>
      <c r="BE56" s="236"/>
      <c r="BF56" s="236"/>
      <c r="BG56" s="236"/>
      <c r="BH56" s="236"/>
      <c r="BI56" s="236"/>
      <c r="BJ56" s="233"/>
      <c r="BK56" s="233"/>
      <c r="BL56" s="413"/>
    </row>
    <row r="57" spans="2:64" s="182" customFormat="1" ht="22.5" customHeight="1">
      <c r="B57" s="181"/>
      <c r="C57" s="859" t="str">
        <f>IF(Indice_index!$Z$1=1,"Contribuição extraordinária sobre o setor energético - consignada ao Fundo Sustentabilidade Sistémica do Setor Energético","Extraordinary contribution over the energy sector - Assigned to the Fund for the Systemic Sustainability of the Energetic Sector")</f>
        <v>Extraordinary contribution over the energy sector - Assigned to the Fund for the Systemic Sustainability of the Energetic Sector</v>
      </c>
      <c r="D57" s="860" t="str">
        <f>IF(Indice_index!$Z$1=1,"Receita","Revenue")</f>
        <v>Revenue</v>
      </c>
      <c r="E57" s="179" t="s">
        <v>16</v>
      </c>
      <c r="F57" s="96"/>
      <c r="G57" s="135">
        <v>3.7343899899999999</v>
      </c>
      <c r="H57" s="135">
        <v>-0.11633714000000001</v>
      </c>
      <c r="I57" s="179">
        <v>-0.24181496999999999</v>
      </c>
      <c r="J57" s="179">
        <v>-6.5510680000000002E-2</v>
      </c>
      <c r="K57" s="179">
        <v>3.1850899999999998E-3</v>
      </c>
      <c r="L57" s="179">
        <v>-0.2503862</v>
      </c>
      <c r="M57" s="179">
        <v>0.28461910000000001</v>
      </c>
      <c r="N57" s="179">
        <v>5.8610000000000003E-5</v>
      </c>
      <c r="O57" s="179">
        <v>6.5700255299999997</v>
      </c>
      <c r="P57" s="179">
        <v>50.91310713</v>
      </c>
      <c r="Q57" s="179">
        <v>50.634189110000001</v>
      </c>
      <c r="R57" s="179">
        <v>19.03511207</v>
      </c>
      <c r="S57" s="179">
        <f t="shared" ref="S57:S86" si="63">SUM(G57:Q57)</f>
        <v>111.46552557000001</v>
      </c>
      <c r="T57" s="179">
        <f t="shared" ref="T57" si="64">SUM(G57:R57)</f>
        <v>130.50063764000001</v>
      </c>
      <c r="U57" s="96"/>
      <c r="V57" s="135">
        <v>1.60246394</v>
      </c>
      <c r="W57" s="135">
        <v>-3.21659746</v>
      </c>
      <c r="X57" s="179">
        <v>-0.23536579999999999</v>
      </c>
      <c r="Y57" s="179">
        <v>-3.9654219999999997E-2</v>
      </c>
      <c r="Z57" s="179">
        <v>1.1234E-4</v>
      </c>
      <c r="AA57" s="179">
        <v>3.1173220000000001E-2</v>
      </c>
      <c r="AB57" s="179">
        <v>-0.17013945</v>
      </c>
      <c r="AC57" s="179">
        <v>2.1176326900000002</v>
      </c>
      <c r="AD57" s="179">
        <v>5.8850000000000001E-5</v>
      </c>
      <c r="AE57" s="179">
        <v>100.16905783999999</v>
      </c>
      <c r="AF57" s="179">
        <v>1.7039551799999999</v>
      </c>
      <c r="AG57" s="179"/>
      <c r="AH57" s="179">
        <f>SUM(V57:AG57)</f>
        <v>101.96269712999998</v>
      </c>
      <c r="AI57" s="96"/>
      <c r="AJ57" s="237"/>
      <c r="AK57" s="237"/>
      <c r="AL57" s="237"/>
      <c r="AM57" s="238"/>
      <c r="AN57" s="238"/>
      <c r="AO57" s="238"/>
      <c r="AP57" s="238"/>
      <c r="AQ57" s="238"/>
      <c r="AR57" s="238"/>
      <c r="AS57" s="238"/>
      <c r="AT57" s="238"/>
      <c r="AU57" s="238"/>
      <c r="AV57" s="238"/>
      <c r="AW57" s="238"/>
      <c r="AX57" s="238"/>
      <c r="AY57" s="238"/>
      <c r="AZ57" s="238"/>
      <c r="BA57" s="238"/>
      <c r="BB57" s="238"/>
      <c r="BC57" s="238"/>
      <c r="BD57" s="238"/>
      <c r="BE57" s="238"/>
      <c r="BF57" s="238"/>
      <c r="BG57" s="238"/>
      <c r="BH57" s="238"/>
      <c r="BI57" s="238"/>
      <c r="BJ57" s="239"/>
      <c r="BK57" s="239"/>
      <c r="BL57" s="413"/>
    </row>
    <row r="58" spans="2:64" s="180" customFormat="1" ht="22.5" customHeight="1">
      <c r="B58" s="177"/>
      <c r="C58" s="859" t="str">
        <f>IF(Indice_index!$Z$1=1,"Consignação do ISP (Adicional sobre as emissões de CO2) ao Fundo Ambiental no âmbito do 'Programa de Apoio à Redução do Tarifário dos Transportes Públicos'","Tax revenue (Tax on oil and energy products (ISP) - Additional CO2 emissions) assigned to the Environmental Fund aimed at financing the ‘Public Transport Tariff Reduction Support Program’")</f>
        <v>Tax revenue (Tax on oil and energy products (ISP) - Additional CO2 emissions) assigned to the Environmental Fund aimed at financing the ‘Public Transport Tariff Reduction Support Program’</v>
      </c>
      <c r="D58" s="860" t="str">
        <f>IF(Indice_index!$Z$1=1,"Receita","Revenue")</f>
        <v>Revenue</v>
      </c>
      <c r="E58" s="179" t="s">
        <v>17</v>
      </c>
      <c r="F58" s="96"/>
      <c r="G58" s="135">
        <v>33.91973033</v>
      </c>
      <c r="H58" s="135">
        <v>32.477500560000003</v>
      </c>
      <c r="I58" s="179">
        <v>27.468880689999999</v>
      </c>
      <c r="J58" s="179">
        <v>35.460518749999999</v>
      </c>
      <c r="K58" s="179">
        <v>9.2733696699999992</v>
      </c>
      <c r="L58" s="179"/>
      <c r="M58" s="179"/>
      <c r="N58" s="179"/>
      <c r="O58" s="179"/>
      <c r="P58" s="179"/>
      <c r="Q58" s="179"/>
      <c r="R58" s="179"/>
      <c r="S58" s="179">
        <f t="shared" si="63"/>
        <v>138.6</v>
      </c>
      <c r="T58" s="179">
        <f t="shared" ref="T58" si="65">SUM(G58:R58)</f>
        <v>138.6</v>
      </c>
      <c r="U58" s="96"/>
      <c r="V58" s="135">
        <v>42.830693089999997</v>
      </c>
      <c r="W58" s="135">
        <v>34.864685250000001</v>
      </c>
      <c r="X58" s="179">
        <v>37.94755215</v>
      </c>
      <c r="Y58" s="179">
        <v>22.95706951</v>
      </c>
      <c r="Z58" s="179"/>
      <c r="AA58" s="179"/>
      <c r="AB58" s="179"/>
      <c r="AC58" s="179"/>
      <c r="AD58" s="179"/>
      <c r="AE58" s="179"/>
      <c r="AF58" s="179"/>
      <c r="AG58" s="179"/>
      <c r="AH58" s="179">
        <f>SUM(V58:AG58)</f>
        <v>138.6</v>
      </c>
      <c r="AI58" s="96"/>
      <c r="AJ58" s="237"/>
      <c r="AK58" s="237"/>
      <c r="AL58" s="237"/>
      <c r="AM58" s="236"/>
      <c r="AN58" s="236"/>
      <c r="AO58" s="236"/>
      <c r="AP58" s="236"/>
      <c r="AQ58" s="236"/>
      <c r="AR58" s="236"/>
      <c r="AS58" s="236"/>
      <c r="AT58" s="236"/>
      <c r="AU58" s="236"/>
      <c r="AV58" s="236"/>
      <c r="AW58" s="236"/>
      <c r="AX58" s="236"/>
      <c r="AY58" s="236"/>
      <c r="AZ58" s="236"/>
      <c r="BA58" s="236"/>
      <c r="BB58" s="236"/>
      <c r="BC58" s="236"/>
      <c r="BD58" s="236"/>
      <c r="BE58" s="236"/>
      <c r="BF58" s="236"/>
      <c r="BG58" s="236"/>
      <c r="BH58" s="236"/>
      <c r="BI58" s="236"/>
      <c r="BJ58" s="233"/>
      <c r="BK58" s="233"/>
      <c r="BL58" s="413"/>
    </row>
    <row r="59" spans="2:64" s="182" customFormat="1" ht="14.25" customHeight="1">
      <c r="B59" s="181"/>
      <c r="C59" s="859" t="str">
        <f>IF(Indice_index!$Z$1=1,"Contribuição extraordinária sobre a indústria farmacêutica - consignada ao Serviço Nacional de Saúde","Extraordinary contribution over the pharmaceutical industry - assigned to the National Health Service")</f>
        <v>Extraordinary contribution over the pharmaceutical industry - assigned to the National Health Service</v>
      </c>
      <c r="D59" s="860" t="str">
        <f>IF(Indice_index!$Z$1=1,"Receita","Revenue")</f>
        <v>Revenue</v>
      </c>
      <c r="E59" s="179" t="s">
        <v>17</v>
      </c>
      <c r="F59" s="96"/>
      <c r="G59" s="135">
        <v>4.1780021200000004</v>
      </c>
      <c r="H59" s="135">
        <v>3.36805E-3</v>
      </c>
      <c r="I59" s="179"/>
      <c r="J59" s="179">
        <v>3.6313644699999998</v>
      </c>
      <c r="K59" s="179">
        <v>0.28664426999999998</v>
      </c>
      <c r="L59" s="179"/>
      <c r="M59" s="179">
        <v>3.5552682</v>
      </c>
      <c r="N59" s="179">
        <v>9.2350890000000005E-2</v>
      </c>
      <c r="O59" s="179"/>
      <c r="P59" s="179">
        <v>3.7916012600000002</v>
      </c>
      <c r="Q59" s="179">
        <v>0.23739737</v>
      </c>
      <c r="R59" s="179">
        <v>0.91036715999999995</v>
      </c>
      <c r="S59" s="179">
        <f t="shared" si="63"/>
        <v>15.775996630000002</v>
      </c>
      <c r="T59" s="179">
        <f>SUM(G59:R59)</f>
        <v>16.686363790000001</v>
      </c>
      <c r="U59" s="96"/>
      <c r="V59" s="135">
        <v>4.37321442</v>
      </c>
      <c r="W59" s="135">
        <v>0.2212944</v>
      </c>
      <c r="X59" s="179">
        <v>-0.19143478</v>
      </c>
      <c r="Y59" s="179">
        <v>3.8198989999999999</v>
      </c>
      <c r="Z59" s="179">
        <v>0.14034541</v>
      </c>
      <c r="AA59" s="179"/>
      <c r="AB59" s="179">
        <v>3.8758010700000001</v>
      </c>
      <c r="AC59" s="179">
        <v>0.53784578000000005</v>
      </c>
      <c r="AD59" s="179">
        <v>-1.7916970000000001E-2</v>
      </c>
      <c r="AE59" s="179">
        <v>4.01514346</v>
      </c>
      <c r="AF59" s="179">
        <v>1.1347425900000001</v>
      </c>
      <c r="AG59" s="179"/>
      <c r="AH59" s="179">
        <f>SUM(V59:AG59)</f>
        <v>17.908934379999998</v>
      </c>
      <c r="AI59" s="96"/>
      <c r="AJ59" s="237"/>
      <c r="AK59" s="237"/>
      <c r="AL59" s="237"/>
      <c r="AM59" s="238"/>
      <c r="AN59" s="238"/>
      <c r="AO59" s="238"/>
      <c r="AP59" s="238"/>
      <c r="AQ59" s="238"/>
      <c r="AR59" s="238"/>
      <c r="AS59" s="238"/>
      <c r="AT59" s="238"/>
      <c r="AU59" s="238"/>
      <c r="AV59" s="238"/>
      <c r="AW59" s="238"/>
      <c r="AX59" s="238"/>
      <c r="AY59" s="238"/>
      <c r="AZ59" s="238"/>
      <c r="BA59" s="238"/>
      <c r="BB59" s="238"/>
      <c r="BC59" s="238"/>
      <c r="BD59" s="238"/>
      <c r="BE59" s="238"/>
      <c r="BF59" s="238"/>
      <c r="BG59" s="238"/>
      <c r="BH59" s="238"/>
      <c r="BI59" s="238"/>
      <c r="BJ59" s="239"/>
      <c r="BK59" s="239"/>
      <c r="BL59" s="413"/>
    </row>
    <row r="60" spans="2:64" s="182" customFormat="1" ht="14.25" customHeight="1">
      <c r="B60" s="181"/>
      <c r="C60" s="859" t="str">
        <f>IF(Indice_index!$Z$1=1,"Contribuição extraordinária sobre os fornecedores da indústria de dispositivos médicos do SNS","Extraordinary contribution over the on suppliers of the industry - assigned to the National Health Service")</f>
        <v>Extraordinary contribution over the on suppliers of the industry - assigned to the National Health Service</v>
      </c>
      <c r="D60" s="860" t="str">
        <f>IF(Indice_index!$Z$1=1,"Receita","Revenue")</f>
        <v>Revenue</v>
      </c>
      <c r="E60" s="179" t="s">
        <v>17</v>
      </c>
      <c r="F60" s="96"/>
      <c r="G60" s="135"/>
      <c r="H60" s="135"/>
      <c r="I60" s="179"/>
      <c r="J60" s="179">
        <v>13.063439109999999</v>
      </c>
      <c r="K60" s="179">
        <v>5.617283E-2</v>
      </c>
      <c r="L60" s="179"/>
      <c r="M60" s="179">
        <v>3.3818280600000001</v>
      </c>
      <c r="N60" s="179">
        <v>1.6816729999999998E-2</v>
      </c>
      <c r="O60" s="179"/>
      <c r="P60" s="179">
        <v>3.4518416799999998</v>
      </c>
      <c r="Q60" s="179">
        <v>8.4389339999999993E-2</v>
      </c>
      <c r="R60" s="179">
        <v>0.16572945</v>
      </c>
      <c r="S60" s="179">
        <f t="shared" si="63"/>
        <v>20.05448775</v>
      </c>
      <c r="T60" s="179">
        <f>SUM(G60:R60)</f>
        <v>20.2202172</v>
      </c>
      <c r="U60" s="96"/>
      <c r="V60" s="135">
        <v>3.9671968299999998</v>
      </c>
      <c r="W60" s="135">
        <v>0.1443555</v>
      </c>
      <c r="X60" s="179">
        <v>8.7141670000000004E-2</v>
      </c>
      <c r="Y60" s="179">
        <v>5.3334514999999998</v>
      </c>
      <c r="Z60" s="179">
        <v>0.65120067000000004</v>
      </c>
      <c r="AA60" s="179"/>
      <c r="AB60" s="179">
        <v>3.96817514</v>
      </c>
      <c r="AC60" s="179">
        <v>0.17600689999999999</v>
      </c>
      <c r="AD60" s="179">
        <v>0.10721593</v>
      </c>
      <c r="AE60" s="179">
        <v>3.6216013399999998</v>
      </c>
      <c r="AF60" s="179">
        <v>0.49414454000000002</v>
      </c>
      <c r="AG60" s="179"/>
      <c r="AH60" s="179">
        <f>SUM(V60:AG60)</f>
        <v>18.550490019999998</v>
      </c>
      <c r="AI60" s="96"/>
      <c r="AJ60" s="237"/>
      <c r="AK60" s="237"/>
      <c r="AL60" s="237"/>
      <c r="AM60" s="238"/>
      <c r="AN60" s="238"/>
      <c r="AO60" s="238"/>
      <c r="AP60" s="238"/>
      <c r="AQ60" s="238"/>
      <c r="AR60" s="238"/>
      <c r="AS60" s="238"/>
      <c r="AT60" s="238"/>
      <c r="AU60" s="238"/>
      <c r="AV60" s="238"/>
      <c r="AW60" s="238"/>
      <c r="AX60" s="238"/>
      <c r="AY60" s="238"/>
      <c r="AZ60" s="238"/>
      <c r="BA60" s="238"/>
      <c r="BB60" s="238"/>
      <c r="BC60" s="238"/>
      <c r="BD60" s="238"/>
      <c r="BE60" s="238"/>
      <c r="BF60" s="238"/>
      <c r="BG60" s="238"/>
      <c r="BH60" s="238"/>
      <c r="BI60" s="238"/>
      <c r="BJ60" s="239"/>
      <c r="BK60" s="239"/>
      <c r="BL60" s="413"/>
    </row>
    <row r="61" spans="2:64" s="182" customFormat="1" ht="14.25" customHeight="1">
      <c r="B61" s="181"/>
      <c r="C61" s="859" t="str">
        <f>IF(Indice_index!$Z$1=1,"Contribuição sobre o audiovisual - consignada à RTP - Radio e Televisão Portuguesa, SGPS - Impostos indiretos","Contribution over the audiovisual industry - assigned to the RTP - Indirect taxes")</f>
        <v>Contribution over the audiovisual industry - assigned to the RTP - Indirect taxes</v>
      </c>
      <c r="D61" s="860" t="str">
        <f>IF(Indice_index!$Z$1=1,"Receita","Revenue")</f>
        <v>Revenue</v>
      </c>
      <c r="E61" s="179" t="s">
        <v>17</v>
      </c>
      <c r="F61" s="96"/>
      <c r="G61" s="135">
        <v>16.185025110000002</v>
      </c>
      <c r="H61" s="135">
        <v>16.094952129999999</v>
      </c>
      <c r="I61" s="179">
        <v>13.59889164</v>
      </c>
      <c r="J61" s="179">
        <v>16.94125653</v>
      </c>
      <c r="K61" s="179">
        <v>14.557428420000001</v>
      </c>
      <c r="L61" s="179">
        <v>14.987979920000001</v>
      </c>
      <c r="M61" s="179">
        <v>14.484511729999999</v>
      </c>
      <c r="N61" s="179">
        <v>15.38632119</v>
      </c>
      <c r="O61" s="179">
        <v>15.215828910000001</v>
      </c>
      <c r="P61" s="179">
        <v>15.593252680000001</v>
      </c>
      <c r="Q61" s="179">
        <v>15.05298294</v>
      </c>
      <c r="R61" s="179">
        <v>15.56838991</v>
      </c>
      <c r="S61" s="179">
        <f t="shared" si="63"/>
        <v>168.09843120000002</v>
      </c>
      <c r="T61" s="179">
        <f t="shared" ref="T61:T65" si="66">SUM(G61:R61)</f>
        <v>183.66682111000003</v>
      </c>
      <c r="U61" s="96"/>
      <c r="V61" s="135">
        <v>16.58040991</v>
      </c>
      <c r="W61" s="135">
        <v>16.345015750000002</v>
      </c>
      <c r="X61" s="179">
        <v>13.93733387</v>
      </c>
      <c r="Y61" s="179">
        <v>16.577265199999999</v>
      </c>
      <c r="Z61" s="179">
        <v>13.92331182</v>
      </c>
      <c r="AA61" s="179">
        <v>15.90066094</v>
      </c>
      <c r="AB61" s="179">
        <v>14.591941800000001</v>
      </c>
      <c r="AC61" s="179">
        <v>15.826447330000001</v>
      </c>
      <c r="AD61" s="179">
        <v>15.847411060000001</v>
      </c>
      <c r="AE61" s="179">
        <v>15.809810150000001</v>
      </c>
      <c r="AF61" s="179">
        <v>12.079063509999999</v>
      </c>
      <c r="AG61" s="179"/>
      <c r="AH61" s="179">
        <f t="shared" ref="AH61" si="67">SUM(V61:AG61)</f>
        <v>167.41867134</v>
      </c>
      <c r="AI61" s="96"/>
      <c r="AJ61" s="237"/>
      <c r="AK61" s="237"/>
      <c r="AL61" s="237"/>
      <c r="AM61" s="238"/>
      <c r="AN61" s="238"/>
      <c r="AO61" s="238"/>
      <c r="AP61" s="238"/>
      <c r="AQ61" s="238"/>
      <c r="AR61" s="238"/>
      <c r="AS61" s="238"/>
      <c r="AT61" s="238"/>
      <c r="AU61" s="238"/>
      <c r="AV61" s="238"/>
      <c r="AW61" s="238"/>
      <c r="AX61" s="238"/>
      <c r="AY61" s="238"/>
      <c r="AZ61" s="238"/>
      <c r="BA61" s="238"/>
      <c r="BB61" s="238"/>
      <c r="BC61" s="238"/>
      <c r="BD61" s="238"/>
      <c r="BE61" s="238"/>
      <c r="BF61" s="238"/>
      <c r="BG61" s="238"/>
      <c r="BH61" s="238"/>
      <c r="BI61" s="238"/>
      <c r="BJ61" s="239"/>
      <c r="BK61" s="239"/>
      <c r="BL61" s="413"/>
    </row>
    <row r="62" spans="2:64" s="182" customFormat="1" ht="14.25" customHeight="1">
      <c r="B62" s="181"/>
      <c r="C62" s="859" t="str">
        <f>IF(Indice_index!$Z$1=1,"Contribuição sobre o audiovisual - consignada à RTP - Radio e Televisão Portuguesa, SGPS - Taxas","Contribution over the audiovisual industry - assigned to the RTP - Fines and fees")</f>
        <v>Contribution over the audiovisual industry - assigned to the RTP - Fines and fees</v>
      </c>
      <c r="D62" s="860" t="str">
        <f>IF(Indice_index!$Z$1=1,"Receita","Revenue")</f>
        <v>Revenue</v>
      </c>
      <c r="E62" s="179" t="s">
        <v>58</v>
      </c>
      <c r="F62" s="96"/>
      <c r="G62" s="135">
        <v>0.71257448000000001</v>
      </c>
      <c r="H62" s="135">
        <v>0.85991636000000005</v>
      </c>
      <c r="I62" s="179">
        <v>0.56038268999999996</v>
      </c>
      <c r="J62" s="179">
        <v>0.75083239999999973</v>
      </c>
      <c r="K62" s="179">
        <v>0.63383599000000002</v>
      </c>
      <c r="L62" s="179">
        <v>0.63143024000000003</v>
      </c>
      <c r="M62" s="179">
        <v>0.62082892000000001</v>
      </c>
      <c r="N62" s="179">
        <v>0.66420129000000006</v>
      </c>
      <c r="O62" s="179">
        <v>0.65135262000000005</v>
      </c>
      <c r="P62" s="179">
        <v>0.68178795999999997</v>
      </c>
      <c r="Q62" s="179">
        <v>0.63626181999999998</v>
      </c>
      <c r="R62" s="179">
        <v>0.68206528</v>
      </c>
      <c r="S62" s="179">
        <f t="shared" si="63"/>
        <v>7.4034047699999999</v>
      </c>
      <c r="T62" s="179">
        <f>SUM(G62:R62)</f>
        <v>8.0854700499999996</v>
      </c>
      <c r="U62" s="96"/>
      <c r="V62" s="135">
        <v>0.72445177000000005</v>
      </c>
      <c r="W62" s="135">
        <v>0.71055963</v>
      </c>
      <c r="X62" s="179">
        <v>0.60639662999999999</v>
      </c>
      <c r="Y62" s="179">
        <v>0.7233584099999999</v>
      </c>
      <c r="Z62" s="179">
        <v>0.58491316000000004</v>
      </c>
      <c r="AA62" s="179">
        <v>0.66309459999999998</v>
      </c>
      <c r="AB62" s="179">
        <v>0.61860462000000005</v>
      </c>
      <c r="AC62" s="179">
        <v>0.66916534999999999</v>
      </c>
      <c r="AD62" s="179">
        <v>0.66024453999999999</v>
      </c>
      <c r="AE62" s="179">
        <v>0.68830970999999996</v>
      </c>
      <c r="AF62" s="179">
        <v>0.48822744000000001</v>
      </c>
      <c r="AG62" s="179"/>
      <c r="AH62" s="179">
        <f>SUM(V62:AG62)</f>
        <v>7.1373258599999998</v>
      </c>
      <c r="AI62" s="96"/>
      <c r="AJ62" s="237"/>
      <c r="AK62" s="237"/>
      <c r="AL62" s="237"/>
      <c r="AM62" s="238"/>
      <c r="AN62" s="238"/>
      <c r="AO62" s="238"/>
      <c r="AP62" s="238"/>
      <c r="AQ62" s="238"/>
      <c r="AR62" s="238"/>
      <c r="AS62" s="238"/>
      <c r="AT62" s="238"/>
      <c r="AU62" s="238"/>
      <c r="AV62" s="238"/>
      <c r="AW62" s="238"/>
      <c r="AX62" s="238"/>
      <c r="AY62" s="238"/>
      <c r="AZ62" s="238"/>
      <c r="BA62" s="238"/>
      <c r="BB62" s="238"/>
      <c r="BC62" s="238"/>
      <c r="BD62" s="238"/>
      <c r="BE62" s="238"/>
      <c r="BF62" s="238"/>
      <c r="BG62" s="238"/>
      <c r="BH62" s="238"/>
      <c r="BI62" s="238"/>
      <c r="BJ62" s="239"/>
      <c r="BK62" s="239"/>
      <c r="BL62" s="413"/>
    </row>
    <row r="63" spans="2:64" s="182" customFormat="1" ht="14.25" customHeight="1">
      <c r="B63" s="181"/>
      <c r="C63" s="859" t="str">
        <f>IF(Indice_index!$Z$1=1,"Leilão no âmbito da 5.ª Geração de comunicações móveis (5G)"," Sale of the 5th generation mobile frequency use rights (5G)")</f>
        <v xml:space="preserve"> Sale of the 5th generation mobile frequency use rights (5G)</v>
      </c>
      <c r="D63" s="860" t="str">
        <f>IF(Indice_index!$Z$1=1,"Receita","Revenue")</f>
        <v>Revenue</v>
      </c>
      <c r="E63" s="179" t="s">
        <v>58</v>
      </c>
      <c r="F63" s="96"/>
      <c r="G63" s="135"/>
      <c r="H63" s="135"/>
      <c r="I63" s="179"/>
      <c r="J63" s="179"/>
      <c r="K63" s="179"/>
      <c r="L63" s="179"/>
      <c r="M63" s="179"/>
      <c r="N63" s="179"/>
      <c r="O63" s="179"/>
      <c r="P63" s="179"/>
      <c r="Q63" s="179">
        <v>347.43915644999998</v>
      </c>
      <c r="R63" s="179">
        <v>62.6145</v>
      </c>
      <c r="S63" s="179">
        <f t="shared" si="63"/>
        <v>347.43915644999998</v>
      </c>
      <c r="T63" s="179">
        <f>SUM(G63:R63)</f>
        <v>410.05365645000001</v>
      </c>
      <c r="U63" s="96"/>
      <c r="V63" s="135"/>
      <c r="W63" s="135"/>
      <c r="X63" s="179"/>
      <c r="Y63" s="179"/>
      <c r="Z63" s="179"/>
      <c r="AA63" s="179"/>
      <c r="AB63" s="179"/>
      <c r="AC63" s="179"/>
      <c r="AD63" s="179"/>
      <c r="AE63" s="179">
        <v>10.5</v>
      </c>
      <c r="AF63" s="179">
        <v>7.5</v>
      </c>
      <c r="AG63" s="179"/>
      <c r="AH63" s="179">
        <f>SUM(V63:AG63)</f>
        <v>18</v>
      </c>
      <c r="AI63" s="96"/>
      <c r="AJ63" s="237"/>
      <c r="AK63" s="237"/>
      <c r="AL63" s="237"/>
      <c r="AM63" s="238"/>
      <c r="AN63" s="238"/>
      <c r="AO63" s="238"/>
      <c r="AP63" s="238"/>
      <c r="AQ63" s="238"/>
      <c r="AR63" s="238"/>
      <c r="AS63" s="238"/>
      <c r="AT63" s="238"/>
      <c r="AU63" s="238"/>
      <c r="AV63" s="238"/>
      <c r="AW63" s="238"/>
      <c r="AX63" s="238"/>
      <c r="AY63" s="238"/>
      <c r="AZ63" s="238"/>
      <c r="BA63" s="238"/>
      <c r="BB63" s="238"/>
      <c r="BC63" s="238"/>
      <c r="BD63" s="238"/>
      <c r="BE63" s="238"/>
      <c r="BF63" s="238"/>
      <c r="BG63" s="238"/>
      <c r="BH63" s="238"/>
      <c r="BI63" s="238"/>
      <c r="BJ63" s="239"/>
      <c r="BK63" s="239"/>
      <c r="BL63" s="413"/>
    </row>
    <row r="64" spans="2:64" s="180" customFormat="1" ht="14.25" customHeight="1">
      <c r="B64" s="177"/>
      <c r="C64" s="703" t="str">
        <f>IF(Indice_index!$Z$1=1,"Dividendos do Banco de Portugal","Dividends from the Bank of Portugal")</f>
        <v>Dividends from the Bank of Portugal</v>
      </c>
      <c r="D64" s="860" t="str">
        <f>IF(Indice_index!$Z$1=1,"Receita","Revenue")</f>
        <v>Revenue</v>
      </c>
      <c r="E64" s="179" t="s">
        <v>58</v>
      </c>
      <c r="F64" s="96"/>
      <c r="G64" s="135"/>
      <c r="H64" s="135"/>
      <c r="I64" s="179"/>
      <c r="J64" s="179"/>
      <c r="K64" s="179">
        <v>336.39773766000002</v>
      </c>
      <c r="L64" s="179"/>
      <c r="M64" s="179"/>
      <c r="N64" s="179"/>
      <c r="O64" s="179"/>
      <c r="P64" s="179"/>
      <c r="Q64" s="179"/>
      <c r="R64" s="179"/>
      <c r="S64" s="179">
        <f t="shared" si="63"/>
        <v>336.39773766000002</v>
      </c>
      <c r="T64" s="179">
        <f t="shared" si="66"/>
        <v>336.39773766000002</v>
      </c>
      <c r="U64" s="96"/>
      <c r="V64" s="135"/>
      <c r="W64" s="135"/>
      <c r="X64" s="179"/>
      <c r="Y64" s="179"/>
      <c r="Z64" s="179">
        <v>311.15205572000002</v>
      </c>
      <c r="AA64" s="179"/>
      <c r="AB64" s="179"/>
      <c r="AC64" s="179"/>
      <c r="AD64" s="179"/>
      <c r="AE64" s="179"/>
      <c r="AF64" s="179"/>
      <c r="AG64" s="179"/>
      <c r="AH64" s="179">
        <f t="shared" ref="AH64:AH86" si="68">SUM(V64:AG64)</f>
        <v>311.15205572000002</v>
      </c>
      <c r="AI64" s="96"/>
      <c r="AJ64" s="237"/>
      <c r="AK64" s="237"/>
      <c r="AL64" s="237"/>
      <c r="AM64" s="236"/>
      <c r="AN64" s="236"/>
      <c r="AO64" s="236"/>
      <c r="AP64" s="236"/>
      <c r="AQ64" s="236"/>
      <c r="AR64" s="236"/>
      <c r="AS64" s="236"/>
      <c r="AT64" s="236"/>
      <c r="AU64" s="236"/>
      <c r="AV64" s="236"/>
      <c r="AW64" s="236"/>
      <c r="AX64" s="236"/>
      <c r="AY64" s="236"/>
      <c r="AZ64" s="236"/>
      <c r="BA64" s="236"/>
      <c r="BB64" s="236"/>
      <c r="BC64" s="236"/>
      <c r="BD64" s="236"/>
      <c r="BE64" s="236"/>
      <c r="BF64" s="236"/>
      <c r="BG64" s="236"/>
      <c r="BH64" s="236"/>
      <c r="BI64" s="236"/>
      <c r="BJ64" s="233"/>
      <c r="BK64" s="233"/>
      <c r="BL64" s="413"/>
    </row>
    <row r="65" spans="2:64" s="180" customFormat="1" ht="14.25" customHeight="1">
      <c r="B65" s="177"/>
      <c r="C65" s="703" t="str">
        <f>IF(Indice_index!$Z$1=1,"Dividendos da Caixa Geral de Depósitos","Dividends from the public bank Caixa Geral de Depósitos")</f>
        <v>Dividends from the public bank Caixa Geral de Depósitos</v>
      </c>
      <c r="D65" s="860" t="str">
        <f>IF(Indice_index!$Z$1=1,"Receita","Revenue")</f>
        <v>Revenue</v>
      </c>
      <c r="E65" s="179" t="s">
        <v>58</v>
      </c>
      <c r="F65" s="96"/>
      <c r="G65" s="135"/>
      <c r="H65" s="135"/>
      <c r="I65" s="179"/>
      <c r="J65" s="179"/>
      <c r="K65" s="179"/>
      <c r="L65" s="179">
        <v>66.074657529999996</v>
      </c>
      <c r="M65" s="179"/>
      <c r="N65" s="179"/>
      <c r="O65" s="179"/>
      <c r="P65" s="179"/>
      <c r="Q65" s="179">
        <v>237</v>
      </c>
      <c r="R65" s="179"/>
      <c r="S65" s="179">
        <f t="shared" si="63"/>
        <v>303.07465752999997</v>
      </c>
      <c r="T65" s="179">
        <f t="shared" si="66"/>
        <v>303.07465752999997</v>
      </c>
      <c r="U65" s="96"/>
      <c r="V65" s="135"/>
      <c r="W65" s="135"/>
      <c r="X65" s="179"/>
      <c r="Y65" s="179"/>
      <c r="Z65" s="179"/>
      <c r="AA65" s="179">
        <v>298.80276255000001</v>
      </c>
      <c r="AB65" s="179"/>
      <c r="AC65" s="179"/>
      <c r="AD65" s="179"/>
      <c r="AE65" s="179"/>
      <c r="AF65" s="179"/>
      <c r="AG65" s="179"/>
      <c r="AH65" s="179">
        <f t="shared" si="68"/>
        <v>298.80276255000001</v>
      </c>
      <c r="AI65" s="96"/>
      <c r="AJ65" s="237"/>
      <c r="AK65" s="237"/>
      <c r="AL65" s="237"/>
      <c r="AM65" s="236"/>
      <c r="AN65" s="236"/>
      <c r="AO65" s="236"/>
      <c r="AP65" s="236"/>
      <c r="AQ65" s="236"/>
      <c r="AR65" s="236"/>
      <c r="AS65" s="236"/>
      <c r="AT65" s="236"/>
      <c r="AU65" s="236"/>
      <c r="AV65" s="236"/>
      <c r="AW65" s="236"/>
      <c r="AX65" s="236"/>
      <c r="AY65" s="236"/>
      <c r="AZ65" s="236"/>
      <c r="BA65" s="236"/>
      <c r="BB65" s="236"/>
      <c r="BC65" s="236"/>
      <c r="BD65" s="236"/>
      <c r="BE65" s="236"/>
      <c r="BF65" s="236"/>
      <c r="BG65" s="236"/>
      <c r="BH65" s="236"/>
      <c r="BI65" s="236"/>
      <c r="BJ65" s="233"/>
      <c r="BK65" s="233"/>
      <c r="BL65" s="413"/>
    </row>
    <row r="66" spans="2:64" s="180" customFormat="1" ht="21">
      <c r="B66" s="177"/>
      <c r="C66" s="859" t="str">
        <f>IF(Indice_index!$Z$1=1,"Restituições da contribuição financeira da União Europeia (ano anterior) - consignadas ao pagamento da contribuição financeira (do ano)","Refund payments on European Union own resources")</f>
        <v>Refund payments on European Union own resources</v>
      </c>
      <c r="D66" s="860" t="str">
        <f>IF(Indice_index!$Z$1=1,"Receita","Revenue")</f>
        <v>Revenue</v>
      </c>
      <c r="E66" s="179" t="s">
        <v>58</v>
      </c>
      <c r="F66" s="96"/>
      <c r="G66" s="135"/>
      <c r="H66" s="135"/>
      <c r="I66" s="179"/>
      <c r="J66" s="179"/>
      <c r="K66" s="179"/>
      <c r="L66" s="179">
        <v>7.97505679</v>
      </c>
      <c r="M66" s="179"/>
      <c r="N66" s="179"/>
      <c r="O66" s="179"/>
      <c r="P66" s="179"/>
      <c r="Q66" s="179"/>
      <c r="R66" s="179"/>
      <c r="S66" s="179">
        <f t="shared" si="63"/>
        <v>7.97505679</v>
      </c>
      <c r="T66" s="179">
        <f t="shared" ref="T66" si="69">SUM(G66:R66)</f>
        <v>7.97505679</v>
      </c>
      <c r="U66" s="96"/>
      <c r="V66" s="135">
        <v>0.29384104</v>
      </c>
      <c r="W66" s="135"/>
      <c r="X66" s="179"/>
      <c r="Y66" s="179"/>
      <c r="Z66" s="179"/>
      <c r="AA66" s="179"/>
      <c r="AB66" s="179"/>
      <c r="AC66" s="179"/>
      <c r="AD66" s="179"/>
      <c r="AE66" s="179"/>
      <c r="AF66" s="179"/>
      <c r="AG66" s="179"/>
      <c r="AH66" s="179">
        <f t="shared" si="68"/>
        <v>0.29384104</v>
      </c>
      <c r="AI66" s="96"/>
      <c r="AJ66" s="237"/>
      <c r="AK66" s="237"/>
      <c r="AL66" s="237"/>
      <c r="AM66" s="236"/>
      <c r="AN66" s="236"/>
      <c r="AO66" s="236"/>
      <c r="AP66" s="236"/>
      <c r="AQ66" s="236"/>
      <c r="AR66" s="236"/>
      <c r="AS66" s="236"/>
      <c r="AT66" s="236"/>
      <c r="AU66" s="236"/>
      <c r="AV66" s="236"/>
      <c r="AW66" s="236"/>
      <c r="AX66" s="236"/>
      <c r="AY66" s="236"/>
      <c r="AZ66" s="236"/>
      <c r="BA66" s="236"/>
      <c r="BB66" s="236"/>
      <c r="BC66" s="236"/>
      <c r="BD66" s="236"/>
      <c r="BE66" s="236"/>
      <c r="BF66" s="236"/>
      <c r="BG66" s="236"/>
      <c r="BH66" s="236"/>
      <c r="BI66" s="236"/>
      <c r="BJ66" s="233"/>
      <c r="BK66" s="233"/>
      <c r="BL66" s="413"/>
    </row>
    <row r="67" spans="2:64" s="182" customFormat="1" ht="24" customHeight="1">
      <c r="B67" s="181"/>
      <c r="C67" s="859" t="str">
        <f>IF(Indice_index!$Z$1=1,"Princípio da onerosidade (receita registada pela Direção-Geral do Tesouro e Finanças (DGTF), relativa a rendas de anos anteriores)","Principle of onerosity (revenue recorded by the Directorate-General for Treasury and Finance (DGTF), relating to rents from previous years)")</f>
        <v>Principle of onerosity (revenue recorded by the Directorate-General for Treasury and Finance (DGTF), relating to rents from previous years)</v>
      </c>
      <c r="D67" s="860" t="str">
        <f>IF(Indice_index!$Z$1=1,"Receita","Revenue")</f>
        <v>Revenue</v>
      </c>
      <c r="E67" s="179" t="s">
        <v>58</v>
      </c>
      <c r="F67" s="96"/>
      <c r="G67" s="135"/>
      <c r="H67" s="135"/>
      <c r="I67" s="179"/>
      <c r="J67" s="179"/>
      <c r="K67" s="179">
        <v>14.275259999999999</v>
      </c>
      <c r="L67" s="179"/>
      <c r="M67" s="179"/>
      <c r="N67" s="179"/>
      <c r="O67" s="179"/>
      <c r="P67" s="179"/>
      <c r="Q67" s="179">
        <v>1.964496</v>
      </c>
      <c r="R67" s="179">
        <v>116.420406</v>
      </c>
      <c r="S67" s="179">
        <f t="shared" si="63"/>
        <v>16.239756</v>
      </c>
      <c r="T67" s="179">
        <f t="shared" ref="T67:T68" si="70">SUM(G67:R67)</f>
        <v>132.66016200000001</v>
      </c>
      <c r="U67" s="96"/>
      <c r="V67" s="135"/>
      <c r="W67" s="135"/>
      <c r="X67" s="179"/>
      <c r="Y67" s="179">
        <v>3.045725</v>
      </c>
      <c r="Z67" s="179"/>
      <c r="AA67" s="179"/>
      <c r="AB67" s="179"/>
      <c r="AC67" s="179"/>
      <c r="AD67" s="179">
        <v>0.87536930000000002</v>
      </c>
      <c r="AE67" s="179"/>
      <c r="AF67" s="179"/>
      <c r="AG67" s="179"/>
      <c r="AH67" s="179">
        <f t="shared" ref="AH67:AH68" si="71">SUM(V67:AG67)</f>
        <v>3.9210943</v>
      </c>
      <c r="AI67" s="96"/>
      <c r="AJ67" s="237"/>
      <c r="AK67" s="237"/>
      <c r="AL67" s="237"/>
      <c r="AM67" s="238"/>
      <c r="AN67" s="238"/>
      <c r="AO67" s="238"/>
      <c r="AP67" s="238"/>
      <c r="AQ67" s="238"/>
      <c r="AR67" s="238"/>
      <c r="AS67" s="238"/>
      <c r="AT67" s="238"/>
      <c r="AU67" s="238"/>
      <c r="AV67" s="238"/>
      <c r="AW67" s="238"/>
      <c r="AX67" s="238"/>
      <c r="AY67" s="238"/>
      <c r="AZ67" s="238"/>
      <c r="BA67" s="238"/>
      <c r="BB67" s="238"/>
      <c r="BC67" s="238"/>
      <c r="BD67" s="238"/>
      <c r="BE67" s="238"/>
      <c r="BF67" s="238"/>
      <c r="BG67" s="238"/>
      <c r="BH67" s="238"/>
      <c r="BI67" s="238"/>
      <c r="BJ67" s="239"/>
      <c r="BK67" s="239"/>
      <c r="BL67" s="413"/>
    </row>
    <row r="68" spans="2:64" s="182" customFormat="1" ht="14.25" customHeight="1">
      <c r="B68" s="181"/>
      <c r="C68" s="859" t="str">
        <f>IF(Indice_index!$Z$1=1,"Juros remuneratórios do Programa de Ajustamento Económico e Financeiro da Região Autónoma da Madeira","Remunerative interest of the Economic and Financial Adjustment Program of the Autonomous Region of Madeira")</f>
        <v>Remunerative interest of the Economic and Financial Adjustment Program of the Autonomous Region of Madeira</v>
      </c>
      <c r="D68" s="860" t="str">
        <f>IF(Indice_index!$Z$1=1,"Receita","Revenue")</f>
        <v>Revenue</v>
      </c>
      <c r="E68" s="179" t="s">
        <v>58</v>
      </c>
      <c r="F68" s="96"/>
      <c r="G68" s="135"/>
      <c r="H68" s="135"/>
      <c r="I68" s="179"/>
      <c r="J68" s="179"/>
      <c r="K68" s="179"/>
      <c r="L68" s="179"/>
      <c r="M68" s="179"/>
      <c r="N68" s="179"/>
      <c r="O68" s="179"/>
      <c r="P68" s="179"/>
      <c r="Q68" s="179"/>
      <c r="R68" s="179"/>
      <c r="S68" s="179">
        <f t="shared" si="63"/>
        <v>0</v>
      </c>
      <c r="T68" s="179">
        <f t="shared" si="70"/>
        <v>0</v>
      </c>
      <c r="U68" s="96"/>
      <c r="V68" s="135">
        <v>10.983673469999999</v>
      </c>
      <c r="W68" s="135"/>
      <c r="X68" s="179"/>
      <c r="Y68" s="179"/>
      <c r="Z68" s="179"/>
      <c r="AA68" s="179"/>
      <c r="AB68" s="179">
        <v>10.44083724</v>
      </c>
      <c r="AC68" s="179"/>
      <c r="AD68" s="179"/>
      <c r="AE68" s="179"/>
      <c r="AF68" s="179"/>
      <c r="AG68" s="179"/>
      <c r="AH68" s="179">
        <f t="shared" si="71"/>
        <v>21.42451071</v>
      </c>
      <c r="AI68" s="96"/>
      <c r="AJ68" s="237"/>
      <c r="AK68" s="237"/>
      <c r="AL68" s="237"/>
      <c r="AM68" s="238"/>
      <c r="AN68" s="238"/>
      <c r="AO68" s="238"/>
      <c r="AP68" s="238"/>
      <c r="AQ68" s="238"/>
      <c r="AR68" s="238"/>
      <c r="AS68" s="238"/>
      <c r="AT68" s="238"/>
      <c r="AU68" s="238"/>
      <c r="AV68" s="238"/>
      <c r="AW68" s="238"/>
      <c r="AX68" s="238"/>
      <c r="AY68" s="238"/>
      <c r="AZ68" s="238"/>
      <c r="BA68" s="238"/>
      <c r="BB68" s="238"/>
      <c r="BC68" s="238"/>
      <c r="BD68" s="238"/>
      <c r="BE68" s="238"/>
      <c r="BF68" s="238"/>
      <c r="BG68" s="238"/>
      <c r="BH68" s="238"/>
      <c r="BI68" s="238"/>
      <c r="BJ68" s="239"/>
      <c r="BK68" s="239"/>
      <c r="BL68" s="413"/>
    </row>
    <row r="69" spans="2:64" s="182" customFormat="1" ht="21">
      <c r="B69" s="181"/>
      <c r="C69" s="859" t="str">
        <f>IF(Indice_index!$Z$1=1,"Atualização do valor de referência anual da prestação social de inclusão pela Portaria n.º 5/2021, de 6 de janeiro, com efeitos retroativos a partir de 1 de outubro de 2020.","Update of the annual reference value of the social inclusion benefit by Portaria No. 5/2021, of January 6, with retroactive effect from October 1, 2020.")</f>
        <v>Update of the annual reference value of the social inclusion benefit by Portaria No. 5/2021, of January 6, with retroactive effect from October 1, 2020.</v>
      </c>
      <c r="D69" s="860" t="str">
        <f>IF(Indice_index!$Z$1=1,"Receita","Revenue")</f>
        <v>Revenue</v>
      </c>
      <c r="E69" s="179" t="s">
        <v>58</v>
      </c>
      <c r="F69" s="96"/>
      <c r="G69" s="135"/>
      <c r="H69" s="135"/>
      <c r="I69" s="179">
        <v>87.3</v>
      </c>
      <c r="J69" s="179"/>
      <c r="K69" s="179"/>
      <c r="L69" s="179"/>
      <c r="M69" s="179"/>
      <c r="N69" s="179"/>
      <c r="O69" s="179"/>
      <c r="P69" s="179"/>
      <c r="Q69" s="179"/>
      <c r="R69" s="179"/>
      <c r="S69" s="179">
        <f t="shared" si="63"/>
        <v>87.3</v>
      </c>
      <c r="T69" s="179">
        <f t="shared" ref="T69" si="72">SUM(G69:R69)</f>
        <v>87.3</v>
      </c>
      <c r="U69" s="96"/>
      <c r="V69" s="135"/>
      <c r="W69" s="135"/>
      <c r="X69" s="179"/>
      <c r="Y69" s="179"/>
      <c r="Z69" s="179"/>
      <c r="AA69" s="179"/>
      <c r="AB69" s="179"/>
      <c r="AC69" s="179"/>
      <c r="AD69" s="179"/>
      <c r="AE69" s="179"/>
      <c r="AF69" s="179"/>
      <c r="AG69" s="179"/>
      <c r="AH69" s="179">
        <f t="shared" ref="AH69" si="73">SUM(V69:AG69)</f>
        <v>0</v>
      </c>
      <c r="AI69" s="96"/>
      <c r="AJ69" s="237"/>
      <c r="AK69" s="237"/>
      <c r="AL69" s="237"/>
      <c r="AM69" s="238"/>
      <c r="AN69" s="238"/>
      <c r="AO69" s="238"/>
      <c r="AP69" s="238"/>
      <c r="AQ69" s="238"/>
      <c r="AR69" s="238"/>
      <c r="AS69" s="238"/>
      <c r="AT69" s="238"/>
      <c r="AU69" s="238"/>
      <c r="AV69" s="238"/>
      <c r="AW69" s="238"/>
      <c r="AX69" s="238"/>
      <c r="AY69" s="238"/>
      <c r="AZ69" s="238"/>
      <c r="BA69" s="238"/>
      <c r="BB69" s="238"/>
      <c r="BC69" s="238"/>
      <c r="BD69" s="238"/>
      <c r="BE69" s="238"/>
      <c r="BF69" s="238"/>
      <c r="BG69" s="238"/>
      <c r="BH69" s="238"/>
      <c r="BI69" s="238"/>
      <c r="BJ69" s="239"/>
      <c r="BK69" s="239"/>
      <c r="BL69" s="413"/>
    </row>
    <row r="70" spans="2:64" s="182" customFormat="1" ht="15.5">
      <c r="B70" s="181"/>
      <c r="C70" s="861" t="str">
        <f>IF(Indice_index!$Z$1=1,"Alienação de aeronaves à República da Roménia","Aircraft sales to the Republic of Romenia")</f>
        <v>Aircraft sales to the Republic of Romenia</v>
      </c>
      <c r="D70" s="862" t="str">
        <f>IF(Indice_index!$Z$1=1,"Receita","Revenue")</f>
        <v>Revenue</v>
      </c>
      <c r="E70" s="863" t="s">
        <v>22</v>
      </c>
      <c r="F70" s="864"/>
      <c r="G70" s="865"/>
      <c r="H70" s="865">
        <v>26.836077</v>
      </c>
      <c r="I70" s="863"/>
      <c r="J70" s="863"/>
      <c r="K70" s="863"/>
      <c r="L70" s="863"/>
      <c r="M70" s="863"/>
      <c r="N70" s="863"/>
      <c r="O70" s="863"/>
      <c r="P70" s="863"/>
      <c r="Q70" s="863"/>
      <c r="R70" s="863"/>
      <c r="S70" s="863">
        <f t="shared" si="63"/>
        <v>26.836077</v>
      </c>
      <c r="T70" s="863">
        <f>SUM(G70:R70)</f>
        <v>26.836077</v>
      </c>
      <c r="U70" s="864"/>
      <c r="V70" s="865"/>
      <c r="W70" s="865"/>
      <c r="X70" s="863">
        <v>30</v>
      </c>
      <c r="Y70" s="863"/>
      <c r="Z70" s="863"/>
      <c r="AA70" s="863"/>
      <c r="AB70" s="863"/>
      <c r="AC70" s="863"/>
      <c r="AD70" s="863"/>
      <c r="AE70" s="863"/>
      <c r="AF70" s="863"/>
      <c r="AG70" s="863"/>
      <c r="AH70" s="863">
        <f>SUM(V70:AG70)</f>
        <v>30</v>
      </c>
      <c r="AI70" s="96"/>
      <c r="AJ70" s="237"/>
      <c r="AK70" s="237"/>
      <c r="AL70" s="237"/>
      <c r="AM70" s="238"/>
      <c r="AN70" s="238"/>
      <c r="AO70" s="238"/>
      <c r="AP70" s="238"/>
      <c r="AQ70" s="238"/>
      <c r="AR70" s="238"/>
      <c r="AS70" s="238"/>
      <c r="AT70" s="238"/>
      <c r="AU70" s="238"/>
      <c r="AV70" s="238"/>
      <c r="AW70" s="238"/>
      <c r="AX70" s="238"/>
      <c r="AY70" s="238"/>
      <c r="AZ70" s="238"/>
      <c r="BA70" s="238"/>
      <c r="BB70" s="238"/>
      <c r="BC70" s="238"/>
      <c r="BD70" s="238"/>
      <c r="BE70" s="238"/>
      <c r="BF70" s="238"/>
      <c r="BG70" s="238"/>
      <c r="BH70" s="238"/>
      <c r="BI70" s="238"/>
      <c r="BJ70" s="239"/>
      <c r="BK70" s="239"/>
      <c r="BL70" s="413"/>
    </row>
    <row r="71" spans="2:64" s="182" customFormat="1" ht="21">
      <c r="B71" s="181"/>
      <c r="C71" s="859" t="str">
        <f>IF(Indice_index!$Z$1=1,C130,C131)</f>
        <v>December’s employer social security contributions payed in january by the Basic and Secondary Education Establishments.</v>
      </c>
      <c r="D71" s="644" t="str">
        <f>IF(Indice_index!$Z$1=1,"Despesa","Expenditure")</f>
        <v>Expenditure</v>
      </c>
      <c r="E71" s="179" t="s">
        <v>27</v>
      </c>
      <c r="F71" s="111"/>
      <c r="G71" s="135">
        <v>38.25415211</v>
      </c>
      <c r="H71" s="135"/>
      <c r="I71" s="179"/>
      <c r="J71" s="179"/>
      <c r="K71" s="179"/>
      <c r="L71" s="179"/>
      <c r="M71" s="179"/>
      <c r="N71" s="179"/>
      <c r="O71" s="179"/>
      <c r="P71" s="179"/>
      <c r="Q71" s="179"/>
      <c r="R71" s="179"/>
      <c r="S71" s="179">
        <f t="shared" si="63"/>
        <v>38.25415211</v>
      </c>
      <c r="T71" s="179">
        <f>SUM(G71:R71)</f>
        <v>38.25415211</v>
      </c>
      <c r="U71" s="111"/>
      <c r="V71" s="135">
        <v>1.3520901699999999</v>
      </c>
      <c r="W71" s="135"/>
      <c r="X71" s="179"/>
      <c r="Y71" s="179"/>
      <c r="Z71" s="179"/>
      <c r="AA71" s="179"/>
      <c r="AB71" s="179"/>
      <c r="AC71" s="179"/>
      <c r="AD71" s="179"/>
      <c r="AE71" s="179"/>
      <c r="AF71" s="179"/>
      <c r="AG71" s="179"/>
      <c r="AH71" s="179">
        <f>SUM(V71:AG71)</f>
        <v>1.3520901699999999</v>
      </c>
      <c r="AI71" s="96"/>
      <c r="AJ71" s="237"/>
      <c r="AK71" s="237"/>
      <c r="AL71" s="237"/>
      <c r="AM71" s="238"/>
      <c r="AN71" s="238"/>
      <c r="AO71" s="238"/>
      <c r="AP71" s="238"/>
      <c r="AQ71" s="238"/>
      <c r="AR71" s="238"/>
      <c r="AS71" s="238"/>
      <c r="AT71" s="238"/>
      <c r="AU71" s="238"/>
      <c r="AV71" s="238"/>
      <c r="AW71" s="238"/>
      <c r="AX71" s="238"/>
      <c r="AY71" s="238"/>
      <c r="AZ71" s="238"/>
      <c r="BA71" s="238"/>
      <c r="BB71" s="238"/>
      <c r="BC71" s="238"/>
      <c r="BD71" s="238"/>
      <c r="BE71" s="238"/>
      <c r="BF71" s="238"/>
      <c r="BG71" s="238"/>
      <c r="BH71" s="238"/>
      <c r="BI71" s="238"/>
      <c r="BJ71" s="239"/>
      <c r="BK71" s="239"/>
      <c r="BL71" s="413"/>
    </row>
    <row r="72" spans="2:64" s="182" customFormat="1" ht="25.5" customHeight="1">
      <c r="B72" s="181"/>
      <c r="C72" s="859" t="str">
        <f>IF(Indice_index!$Z$1=1,"Regularização de dívidas vencidas a fornecedores por parte de entidades do Serviço Nacional de Saúde, com contrapartida em reforços dos respetivos capitais pelo Estado (a)","Settlement of overdue debt to suppliers by National Health Service’s entities, with counterpart in increases in the respective capital by the State (a)")</f>
        <v>Settlement of overdue debt to suppliers by National Health Service’s entities, with counterpart in increases in the respective capital by the State (a)</v>
      </c>
      <c r="D72" s="644" t="str">
        <f>IF(Indice_index!$Z$1=1,"Despesa","Expenditure")</f>
        <v>Expenditure</v>
      </c>
      <c r="E72" s="179" t="s">
        <v>85</v>
      </c>
      <c r="F72" s="111"/>
      <c r="G72" s="135"/>
      <c r="H72" s="135"/>
      <c r="I72" s="179"/>
      <c r="J72" s="179"/>
      <c r="K72" s="179"/>
      <c r="L72" s="179"/>
      <c r="M72" s="179"/>
      <c r="N72" s="179">
        <v>334.63643481999998</v>
      </c>
      <c r="O72" s="179">
        <v>9.7948094399999981</v>
      </c>
      <c r="P72" s="179">
        <v>-8.3664099999666217E-3</v>
      </c>
      <c r="Q72" s="179">
        <v>-1.2073909999966621E-2</v>
      </c>
      <c r="R72" s="179">
        <v>686.92602964000002</v>
      </c>
      <c r="S72" s="179">
        <f t="shared" si="63"/>
        <v>344.41080394000005</v>
      </c>
      <c r="T72" s="179">
        <f t="shared" ref="T72:T85" si="74">SUM(G72:R72)</f>
        <v>1031.3368335800001</v>
      </c>
      <c r="U72" s="111"/>
      <c r="V72" s="135"/>
      <c r="W72" s="135"/>
      <c r="X72" s="179"/>
      <c r="Y72" s="179"/>
      <c r="Z72" s="179"/>
      <c r="AA72" s="179"/>
      <c r="AB72" s="179"/>
      <c r="AC72" s="179"/>
      <c r="AD72" s="179"/>
      <c r="AE72" s="179"/>
      <c r="AF72" s="179"/>
      <c r="AG72" s="179"/>
      <c r="AH72" s="179">
        <f>SUM(V72:AG72)</f>
        <v>0</v>
      </c>
      <c r="AI72" s="96"/>
      <c r="AJ72" s="237"/>
      <c r="AK72" s="237"/>
      <c r="AL72" s="237"/>
      <c r="AM72" s="238"/>
      <c r="AN72" s="238"/>
      <c r="AO72" s="238"/>
      <c r="AP72" s="238"/>
      <c r="AQ72" s="238"/>
      <c r="AR72" s="238"/>
      <c r="AS72" s="238"/>
      <c r="AT72" s="238"/>
      <c r="AU72" s="238"/>
      <c r="AV72" s="238"/>
      <c r="AW72" s="238"/>
      <c r="AX72" s="238"/>
      <c r="AY72" s="238"/>
      <c r="AZ72" s="238"/>
      <c r="BA72" s="238"/>
      <c r="BB72" s="238"/>
      <c r="BC72" s="238"/>
      <c r="BD72" s="238"/>
      <c r="BE72" s="238"/>
      <c r="BF72" s="238"/>
      <c r="BG72" s="238"/>
      <c r="BH72" s="238"/>
      <c r="BI72" s="238"/>
      <c r="BJ72" s="239"/>
      <c r="BK72" s="239"/>
      <c r="BL72" s="413"/>
    </row>
    <row r="73" spans="2:64" s="182" customFormat="1" ht="31.5">
      <c r="B73" s="181"/>
      <c r="C73" s="859" t="str">
        <f>IF(Indice_index!$Z$1=1,C133,C134)</f>
        <v>Directorate General for National Defence Resources - Payment made in December 2021, as a financial compensation for the use of public buildings, but which refers to the year 2020.</v>
      </c>
      <c r="D73" s="644" t="str">
        <f>IF(Indice_index!$Z$1=1,"Despesa","Expenditure")</f>
        <v>Expenditure</v>
      </c>
      <c r="E73" s="179" t="s">
        <v>28</v>
      </c>
      <c r="F73" s="111"/>
      <c r="G73" s="135"/>
      <c r="H73" s="135"/>
      <c r="I73" s="179"/>
      <c r="J73" s="179"/>
      <c r="K73" s="179"/>
      <c r="L73" s="179"/>
      <c r="M73" s="179"/>
      <c r="N73" s="179"/>
      <c r="O73" s="179"/>
      <c r="P73" s="179"/>
      <c r="Q73" s="179"/>
      <c r="R73" s="179">
        <v>-115.58609199999999</v>
      </c>
      <c r="S73" s="179">
        <f t="shared" si="63"/>
        <v>0</v>
      </c>
      <c r="T73" s="179">
        <f t="shared" si="74"/>
        <v>-115.58609199999999</v>
      </c>
      <c r="U73" s="111"/>
      <c r="V73" s="135"/>
      <c r="W73" s="135"/>
      <c r="X73" s="179"/>
      <c r="Y73" s="179"/>
      <c r="Z73" s="179"/>
      <c r="AA73" s="179"/>
      <c r="AB73" s="179"/>
      <c r="AC73" s="179"/>
      <c r="AD73" s="179"/>
      <c r="AE73" s="179"/>
      <c r="AF73" s="179"/>
      <c r="AG73" s="179"/>
      <c r="AH73" s="179">
        <f t="shared" ref="AH73" si="75">SUM(V73:AG73)</f>
        <v>0</v>
      </c>
      <c r="AI73" s="96"/>
      <c r="AJ73" s="237"/>
      <c r="AK73" s="237"/>
      <c r="AL73" s="237"/>
      <c r="AM73" s="238"/>
      <c r="AN73" s="238"/>
      <c r="AO73" s="238"/>
      <c r="AP73" s="238"/>
      <c r="AQ73" s="238"/>
      <c r="AR73" s="238"/>
      <c r="AS73" s="238"/>
      <c r="AT73" s="238"/>
      <c r="AU73" s="238"/>
      <c r="AV73" s="238"/>
      <c r="AW73" s="238"/>
      <c r="AX73" s="238"/>
      <c r="AY73" s="238"/>
      <c r="AZ73" s="238"/>
      <c r="BA73" s="238"/>
      <c r="BB73" s="238"/>
      <c r="BC73" s="238"/>
      <c r="BD73" s="238"/>
      <c r="BE73" s="238"/>
      <c r="BF73" s="238"/>
      <c r="BG73" s="238"/>
      <c r="BH73" s="238"/>
      <c r="BI73" s="238"/>
      <c r="BJ73" s="239"/>
      <c r="BK73" s="239"/>
      <c r="BL73" s="413"/>
    </row>
    <row r="74" spans="2:64" s="182" customFormat="1" ht="21">
      <c r="B74" s="181"/>
      <c r="C74" s="859" t="str">
        <f>IF(Indice_index!$Z$1=1,C158,C159)</f>
        <v>Payment to the Hospital Beatriz Ângelo's public-private partnership, made in January 2022, following arbitral tribunal decision.</v>
      </c>
      <c r="D74" s="644" t="str">
        <f>IF(Indice_index!$Z$1=1,"Despesa","Expenditure")</f>
        <v>Expenditure</v>
      </c>
      <c r="E74" s="179" t="s">
        <v>28</v>
      </c>
      <c r="F74" s="111"/>
      <c r="G74" s="135"/>
      <c r="H74" s="135"/>
      <c r="I74" s="179"/>
      <c r="J74" s="179"/>
      <c r="K74" s="179"/>
      <c r="L74" s="179"/>
      <c r="M74" s="179"/>
      <c r="N74" s="179"/>
      <c r="O74" s="179"/>
      <c r="P74" s="179"/>
      <c r="Q74" s="179"/>
      <c r="R74" s="179"/>
      <c r="S74" s="179">
        <f t="shared" si="63"/>
        <v>0</v>
      </c>
      <c r="T74" s="179">
        <f t="shared" si="74"/>
        <v>0</v>
      </c>
      <c r="U74" s="111"/>
      <c r="V74" s="135">
        <f>18290256/10^6</f>
        <v>18.290255999999999</v>
      </c>
      <c r="W74" s="135"/>
      <c r="X74" s="179"/>
      <c r="Y74" s="179"/>
      <c r="Z74" s="179"/>
      <c r="AA74" s="179"/>
      <c r="AB74" s="179"/>
      <c r="AC74" s="179"/>
      <c r="AD74" s="179"/>
      <c r="AE74" s="179"/>
      <c r="AF74" s="179"/>
      <c r="AG74" s="179"/>
      <c r="AH74" s="179">
        <f t="shared" ref="AH74" si="76">SUM(V74:AG74)</f>
        <v>18.290255999999999</v>
      </c>
      <c r="AI74" s="96"/>
      <c r="AJ74" s="237"/>
      <c r="AK74" s="237"/>
      <c r="AL74" s="237"/>
      <c r="AM74" s="238"/>
      <c r="AN74" s="238"/>
      <c r="AO74" s="238"/>
      <c r="AP74" s="238"/>
      <c r="AQ74" s="238"/>
      <c r="AR74" s="238"/>
      <c r="AS74" s="238"/>
      <c r="AT74" s="238"/>
      <c r="AU74" s="238"/>
      <c r="AV74" s="238"/>
      <c r="AW74" s="238"/>
      <c r="AX74" s="238"/>
      <c r="AY74" s="238"/>
      <c r="AZ74" s="238"/>
      <c r="BA74" s="238"/>
      <c r="BB74" s="238"/>
      <c r="BC74" s="238"/>
      <c r="BD74" s="238"/>
      <c r="BE74" s="238"/>
      <c r="BF74" s="238"/>
      <c r="BG74" s="238"/>
      <c r="BH74" s="238"/>
      <c r="BI74" s="238"/>
      <c r="BJ74" s="239"/>
      <c r="BK74" s="239"/>
      <c r="BL74" s="413"/>
    </row>
    <row r="75" spans="2:64" s="182" customFormat="1" ht="26.25" customHeight="1">
      <c r="B75" s="181"/>
      <c r="C75" s="859" t="str">
        <f>IF(Indice_index!$Z$1=1,C136,C137)</f>
        <v>Return from the European Financial Stabilization Fund to the Portuguese State of the profitability of the prepaid margins retained when the loan was initially disbursed.</v>
      </c>
      <c r="D75" s="644" t="str">
        <f>IF(Indice_index!$Z$1=1,"Despesa","Expenditure")</f>
        <v>Expenditure</v>
      </c>
      <c r="E75" s="179" t="s">
        <v>29</v>
      </c>
      <c r="F75" s="111"/>
      <c r="G75" s="135"/>
      <c r="H75" s="135"/>
      <c r="I75" s="179"/>
      <c r="J75" s="179"/>
      <c r="K75" s="179"/>
      <c r="L75" s="179"/>
      <c r="M75" s="179">
        <v>-286.65263454000001</v>
      </c>
      <c r="N75" s="179"/>
      <c r="O75" s="179"/>
      <c r="P75" s="179"/>
      <c r="Q75" s="179"/>
      <c r="R75" s="179"/>
      <c r="S75" s="179">
        <f t="shared" si="63"/>
        <v>-286.65263454000001</v>
      </c>
      <c r="T75" s="179">
        <f t="shared" si="74"/>
        <v>-286.65263454000001</v>
      </c>
      <c r="U75" s="111"/>
      <c r="V75" s="135"/>
      <c r="W75" s="135"/>
      <c r="X75" s="179"/>
      <c r="Y75" s="179"/>
      <c r="Z75" s="179"/>
      <c r="AA75" s="179"/>
      <c r="AB75" s="179"/>
      <c r="AC75" s="179"/>
      <c r="AD75" s="179"/>
      <c r="AE75" s="179"/>
      <c r="AF75" s="179"/>
      <c r="AG75" s="179"/>
      <c r="AH75" s="179">
        <f t="shared" si="68"/>
        <v>0</v>
      </c>
      <c r="AI75" s="96"/>
      <c r="AJ75" s="237"/>
      <c r="AK75" s="237"/>
      <c r="AL75" s="237"/>
      <c r="AM75" s="238"/>
      <c r="AN75" s="238"/>
      <c r="AO75" s="238"/>
      <c r="AP75" s="238"/>
      <c r="AQ75" s="238"/>
      <c r="AR75" s="238"/>
      <c r="AS75" s="238"/>
      <c r="AT75" s="238"/>
      <c r="AU75" s="238"/>
      <c r="AV75" s="238"/>
      <c r="AW75" s="238"/>
      <c r="AX75" s="238"/>
      <c r="AY75" s="238"/>
      <c r="AZ75" s="238"/>
      <c r="BA75" s="238"/>
      <c r="BB75" s="238"/>
      <c r="BC75" s="238"/>
      <c r="BD75" s="238"/>
      <c r="BE75" s="238"/>
      <c r="BF75" s="238"/>
      <c r="BG75" s="238"/>
      <c r="BH75" s="238"/>
      <c r="BI75" s="238"/>
      <c r="BJ75" s="239"/>
      <c r="BK75" s="239"/>
      <c r="BL75" s="413"/>
    </row>
    <row r="76" spans="2:64" s="182" customFormat="1" ht="34.5" customHeight="1">
      <c r="B76" s="181"/>
      <c r="C76" s="859" t="str">
        <f>IF(Indice_index!$Z$1=1,C139,C140)</f>
        <v>Compensation mechanism between 2019 and 2021 for the part of the transfers not delivered in 2018, due to the maximum growth limitation mechanism for each municipality and parish in the previous version of the Local Finances Law (current transfers).</v>
      </c>
      <c r="D76" s="644" t="str">
        <f>IF(Indice_index!$Z$1=1,"Despesa","Expenditure")</f>
        <v>Expenditure</v>
      </c>
      <c r="E76" s="135" t="s">
        <v>85</v>
      </c>
      <c r="F76" s="96"/>
      <c r="G76" s="135">
        <v>5.8756139999999997</v>
      </c>
      <c r="H76" s="135"/>
      <c r="I76" s="135"/>
      <c r="J76" s="135">
        <v>5.8756139999999988</v>
      </c>
      <c r="K76" s="135"/>
      <c r="L76" s="135"/>
      <c r="M76" s="135">
        <v>5.8753380000000011</v>
      </c>
      <c r="N76" s="135">
        <v>0</v>
      </c>
      <c r="O76" s="135">
        <v>0</v>
      </c>
      <c r="P76" s="135">
        <v>5.8782579999999989</v>
      </c>
      <c r="Q76" s="135"/>
      <c r="R76" s="135"/>
      <c r="S76" s="179">
        <f t="shared" si="63"/>
        <v>23.504823999999996</v>
      </c>
      <c r="T76" s="179">
        <f t="shared" si="74"/>
        <v>23.504823999999996</v>
      </c>
      <c r="U76" s="96"/>
      <c r="V76" s="135">
        <v>1.9571480000000001</v>
      </c>
      <c r="W76" s="135">
        <v>1.9571480000000001</v>
      </c>
      <c r="X76" s="179">
        <v>1.9571480000000001</v>
      </c>
      <c r="Y76" s="179">
        <v>1.9571480000000001</v>
      </c>
      <c r="Z76" s="179">
        <v>1.9571480000000001</v>
      </c>
      <c r="AA76" s="179">
        <v>1.9571480000000001</v>
      </c>
      <c r="AB76" s="179">
        <v>30.518876999999996</v>
      </c>
      <c r="AC76" s="179"/>
      <c r="AD76" s="179"/>
      <c r="AE76" s="179">
        <v>14.092358000000004</v>
      </c>
      <c r="AF76" s="1390"/>
      <c r="AG76" s="1390"/>
      <c r="AH76" s="179">
        <f t="shared" si="68"/>
        <v>56.354123000000001</v>
      </c>
      <c r="AI76" s="96"/>
      <c r="AJ76" s="237"/>
      <c r="AK76" s="237"/>
      <c r="AL76" s="237"/>
      <c r="AM76" s="238"/>
      <c r="AN76" s="238"/>
      <c r="AO76" s="238"/>
      <c r="AP76" s="238"/>
      <c r="AQ76" s="238"/>
      <c r="AR76" s="238"/>
      <c r="AS76" s="238"/>
      <c r="AT76" s="238"/>
      <c r="AU76" s="238"/>
      <c r="AV76" s="238"/>
      <c r="AW76" s="238"/>
      <c r="AX76" s="238"/>
      <c r="AY76" s="238"/>
      <c r="AZ76" s="238"/>
      <c r="BA76" s="238"/>
      <c r="BB76" s="238"/>
      <c r="BC76" s="238"/>
      <c r="BD76" s="238"/>
      <c r="BE76" s="238"/>
      <c r="BF76" s="238"/>
      <c r="BG76" s="238"/>
      <c r="BH76" s="238"/>
      <c r="BI76" s="238"/>
      <c r="BJ76" s="239"/>
      <c r="BK76" s="239"/>
      <c r="BL76" s="413"/>
    </row>
    <row r="77" spans="2:64" s="182" customFormat="1" ht="31.5">
      <c r="B77" s="181"/>
      <c r="C77" s="859" t="str">
        <f>IF(Indice_index!$Z$1=1,"Transferência para a Grécia, através do Mecanismo Europeu de Estabilidade (MEE), dos montantes equivalentes aos rendimentos obtidos no Programa para os Mercados de Valores Mobiliários (SMP) / Acordo sobre Ativos Financeiros Líquidos (ANFA).","Transfer to Greece, through the European Stability Mechanism (ESM), regarding the amounts equivalent to the income earned on Securities Market Program (SMP)/ Agreement on Net Financial Assets (ANFA) holdings.")</f>
        <v>Transfer to Greece, through the European Stability Mechanism (ESM), regarding the amounts equivalent to the income earned on Securities Market Program (SMP)/ Agreement on Net Financial Assets (ANFA) holdings.</v>
      </c>
      <c r="D77" s="644" t="str">
        <f>IF(Indice_index!$Z$1=1,"Despesa","Expenditure")</f>
        <v>Expenditure</v>
      </c>
      <c r="E77" s="135" t="s">
        <v>31</v>
      </c>
      <c r="F77" s="96"/>
      <c r="G77" s="135"/>
      <c r="H77" s="135"/>
      <c r="I77" s="135"/>
      <c r="J77" s="135"/>
      <c r="K77" s="135"/>
      <c r="L77" s="135"/>
      <c r="M77" s="135">
        <v>10.34</v>
      </c>
      <c r="N77" s="135"/>
      <c r="O77" s="135"/>
      <c r="P77" s="135"/>
      <c r="Q77" s="135"/>
      <c r="R77" s="135"/>
      <c r="S77" s="179">
        <f t="shared" si="63"/>
        <v>10.34</v>
      </c>
      <c r="T77" s="179">
        <f t="shared" si="74"/>
        <v>10.34</v>
      </c>
      <c r="U77" s="96"/>
      <c r="V77" s="135"/>
      <c r="W77" s="135">
        <v>4.16</v>
      </c>
      <c r="X77" s="179"/>
      <c r="Y77" s="179"/>
      <c r="Z77" s="179"/>
      <c r="AA77" s="179"/>
      <c r="AB77" s="179"/>
      <c r="AC77" s="179"/>
      <c r="AD77" s="179"/>
      <c r="AE77" s="179">
        <v>8</v>
      </c>
      <c r="AF77" s="179"/>
      <c r="AG77" s="1391"/>
      <c r="AH77" s="179">
        <f t="shared" ref="AH77:AH81" si="77">SUM(V77:AG77)</f>
        <v>12.16</v>
      </c>
      <c r="AI77" s="96"/>
      <c r="AJ77" s="237"/>
      <c r="AK77" s="237"/>
      <c r="AL77" s="237"/>
      <c r="AM77" s="238"/>
      <c r="AN77" s="238"/>
      <c r="AO77" s="238"/>
      <c r="AP77" s="238"/>
      <c r="AQ77" s="238"/>
      <c r="AR77" s="238"/>
      <c r="AS77" s="238"/>
      <c r="AT77" s="238"/>
      <c r="AU77" s="238"/>
      <c r="AV77" s="238"/>
      <c r="AW77" s="238"/>
      <c r="AX77" s="238"/>
      <c r="AY77" s="238"/>
      <c r="AZ77" s="238"/>
      <c r="BA77" s="238"/>
      <c r="BB77" s="238"/>
      <c r="BC77" s="238"/>
      <c r="BD77" s="238"/>
      <c r="BE77" s="238"/>
      <c r="BF77" s="238"/>
      <c r="BG77" s="238"/>
      <c r="BH77" s="238"/>
      <c r="BI77" s="238"/>
      <c r="BJ77" s="239"/>
      <c r="BK77" s="239"/>
      <c r="BL77" s="413"/>
    </row>
    <row r="78" spans="2:64" s="182" customFormat="1" ht="31.5">
      <c r="B78" s="181"/>
      <c r="C78" s="859" t="str">
        <f>IF(Indice_index!$Z$1=1,C142,C143)</f>
        <v>Update of the annual reference value of the social inclusion benefit by Portaria No. 5/2021, of January 6, with retroactive effect from October 1, 2020. This accounting operation was compensated by an opposite efect on the revenue side.</v>
      </c>
      <c r="D78" s="644" t="str">
        <f>IF(Indice_index!$Z$1=1,"Despesa","Expenditure")</f>
        <v>Expenditure</v>
      </c>
      <c r="E78" s="135" t="s">
        <v>31</v>
      </c>
      <c r="F78" s="96"/>
      <c r="G78" s="135"/>
      <c r="H78" s="135"/>
      <c r="I78" s="135">
        <v>87.3</v>
      </c>
      <c r="J78" s="135"/>
      <c r="K78" s="135"/>
      <c r="L78" s="135"/>
      <c r="M78" s="135"/>
      <c r="N78" s="135"/>
      <c r="O78" s="135"/>
      <c r="P78" s="135"/>
      <c r="Q78" s="135"/>
      <c r="R78" s="135"/>
      <c r="S78" s="179">
        <f t="shared" si="63"/>
        <v>87.3</v>
      </c>
      <c r="T78" s="179">
        <f t="shared" si="74"/>
        <v>87.3</v>
      </c>
      <c r="U78" s="96"/>
      <c r="V78" s="135"/>
      <c r="W78" s="135"/>
      <c r="X78" s="179"/>
      <c r="Y78" s="179"/>
      <c r="Z78" s="179"/>
      <c r="AA78" s="179"/>
      <c r="AB78" s="179"/>
      <c r="AC78" s="179"/>
      <c r="AD78" s="179"/>
      <c r="AE78" s="179"/>
      <c r="AF78" s="179"/>
      <c r="AG78" s="1391"/>
      <c r="AH78" s="179">
        <f t="shared" ref="AH78" si="78">SUM(V78:AG78)</f>
        <v>0</v>
      </c>
      <c r="AI78" s="96"/>
      <c r="AJ78" s="237"/>
      <c r="AK78" s="237"/>
      <c r="AL78" s="237"/>
      <c r="AM78" s="238"/>
      <c r="AN78" s="238"/>
      <c r="AO78" s="238"/>
      <c r="AP78" s="238"/>
      <c r="AQ78" s="238"/>
      <c r="AR78" s="238"/>
      <c r="AS78" s="238"/>
      <c r="AT78" s="238"/>
      <c r="AU78" s="238"/>
      <c r="AV78" s="238"/>
      <c r="AW78" s="238"/>
      <c r="AX78" s="238"/>
      <c r="AY78" s="238"/>
      <c r="AZ78" s="238"/>
      <c r="BA78" s="238"/>
      <c r="BB78" s="238"/>
      <c r="BC78" s="238"/>
      <c r="BD78" s="238"/>
      <c r="BE78" s="238"/>
      <c r="BF78" s="238"/>
      <c r="BG78" s="238"/>
      <c r="BH78" s="238"/>
      <c r="BI78" s="238"/>
      <c r="BJ78" s="239"/>
      <c r="BK78" s="239"/>
      <c r="BL78" s="413"/>
    </row>
    <row r="79" spans="2:64" s="182" customFormat="1" ht="25.5" customHeight="1">
      <c r="B79" s="181"/>
      <c r="C79" s="859" t="str">
        <f>IF(Indice_index!$Z$1=1,C146,C147)</f>
        <v>Reclassification, in 2021, of spending related to “IVAucher”, a COVID-19 crisis response program, by the Directorate General of Treasury and Finance, from ‘other current expenditure’ to ‘subsidies’.</v>
      </c>
      <c r="D79" s="644" t="str">
        <f>IF(Indice_index!$Z$1=1,"Despesa","Expenditure")</f>
        <v>Expenditure</v>
      </c>
      <c r="E79" s="135" t="s">
        <v>32</v>
      </c>
      <c r="F79" s="96"/>
      <c r="G79" s="135"/>
      <c r="H79" s="135"/>
      <c r="I79" s="135"/>
      <c r="J79" s="135"/>
      <c r="K79" s="135"/>
      <c r="L79" s="135"/>
      <c r="M79" s="135"/>
      <c r="N79" s="135"/>
      <c r="O79" s="135">
        <v>47.518923000000001</v>
      </c>
      <c r="P79" s="135"/>
      <c r="Q79" s="135">
        <v>-47.518923000000001</v>
      </c>
      <c r="R79" s="135"/>
      <c r="S79" s="179">
        <f t="shared" si="63"/>
        <v>0</v>
      </c>
      <c r="T79" s="179">
        <f t="shared" si="74"/>
        <v>0</v>
      </c>
      <c r="U79" s="96"/>
      <c r="V79" s="135"/>
      <c r="W79" s="135"/>
      <c r="X79" s="179"/>
      <c r="Y79" s="179"/>
      <c r="Z79" s="179"/>
      <c r="AA79" s="179"/>
      <c r="AB79" s="179"/>
      <c r="AC79" s="179"/>
      <c r="AD79" s="179"/>
      <c r="AE79" s="179"/>
      <c r="AF79" s="179"/>
      <c r="AG79" s="179"/>
      <c r="AH79" s="179">
        <f t="shared" si="77"/>
        <v>0</v>
      </c>
      <c r="AI79" s="96"/>
      <c r="AJ79" s="237"/>
      <c r="AK79" s="237"/>
      <c r="AL79" s="237"/>
      <c r="AM79" s="238"/>
      <c r="AN79" s="238"/>
      <c r="AO79" s="238"/>
      <c r="AP79" s="238"/>
      <c r="AQ79" s="238"/>
      <c r="AR79" s="238"/>
      <c r="AS79" s="238"/>
      <c r="AT79" s="238"/>
      <c r="AU79" s="238"/>
      <c r="AV79" s="238"/>
      <c r="AW79" s="238"/>
      <c r="AX79" s="238"/>
      <c r="AY79" s="238"/>
      <c r="AZ79" s="238"/>
      <c r="BA79" s="238"/>
      <c r="BB79" s="238"/>
      <c r="BC79" s="238"/>
      <c r="BD79" s="238"/>
      <c r="BE79" s="238"/>
      <c r="BF79" s="238"/>
      <c r="BG79" s="238"/>
      <c r="BH79" s="238"/>
      <c r="BI79" s="238"/>
      <c r="BJ79" s="239"/>
      <c r="BK79" s="239"/>
      <c r="BL79" s="413"/>
    </row>
    <row r="80" spans="2:64" s="182" customFormat="1" ht="21">
      <c r="B80" s="181"/>
      <c r="C80" s="859" t="str">
        <f>IF(Indice_index!$Z$1=1,C146,C147)</f>
        <v>Reclassification, in 2021, of spending related to “IVAucher”, a COVID-19 crisis response program, by the Directorate General of Treasury and Finance, from ‘other current expenditure’ to ‘subsidies’.</v>
      </c>
      <c r="D80" s="644" t="str">
        <f>IF(Indice_index!$Z$1=1,"Despesa","Expenditure")</f>
        <v>Expenditure</v>
      </c>
      <c r="E80" s="135" t="s">
        <v>33</v>
      </c>
      <c r="F80" s="96"/>
      <c r="G80" s="135"/>
      <c r="H80" s="135"/>
      <c r="I80" s="135"/>
      <c r="J80" s="135"/>
      <c r="K80" s="135"/>
      <c r="L80" s="135"/>
      <c r="M80" s="135"/>
      <c r="N80" s="135"/>
      <c r="O80" s="135">
        <v>-47.518923000000001</v>
      </c>
      <c r="P80" s="135"/>
      <c r="Q80" s="135">
        <v>47.518923000000001</v>
      </c>
      <c r="R80" s="135"/>
      <c r="S80" s="179">
        <f t="shared" si="63"/>
        <v>0</v>
      </c>
      <c r="T80" s="179">
        <f t="shared" si="74"/>
        <v>0</v>
      </c>
      <c r="U80" s="96"/>
      <c r="V80" s="135"/>
      <c r="W80" s="135"/>
      <c r="X80" s="179"/>
      <c r="Y80" s="179"/>
      <c r="Z80" s="179"/>
      <c r="AA80" s="179"/>
      <c r="AB80" s="179"/>
      <c r="AC80" s="179"/>
      <c r="AD80" s="179"/>
      <c r="AE80" s="179"/>
      <c r="AF80" s="179"/>
      <c r="AG80" s="179"/>
      <c r="AH80" s="179">
        <f t="shared" ref="AH80" si="79">SUM(V80:AG80)</f>
        <v>0</v>
      </c>
      <c r="AI80" s="96"/>
      <c r="AJ80" s="237"/>
      <c r="AK80" s="237"/>
      <c r="AL80" s="237"/>
      <c r="AM80" s="238"/>
      <c r="AN80" s="238"/>
      <c r="AO80" s="238"/>
      <c r="AP80" s="238"/>
      <c r="AQ80" s="238"/>
      <c r="AR80" s="238"/>
      <c r="AS80" s="238"/>
      <c r="AT80" s="238"/>
      <c r="AU80" s="238"/>
      <c r="AV80" s="238"/>
      <c r="AW80" s="238"/>
      <c r="AX80" s="238"/>
      <c r="AY80" s="238"/>
      <c r="AZ80" s="238"/>
      <c r="BA80" s="238"/>
      <c r="BB80" s="238"/>
      <c r="BC80" s="238"/>
      <c r="BD80" s="238"/>
      <c r="BE80" s="238"/>
      <c r="BF80" s="238"/>
      <c r="BG80" s="238"/>
      <c r="BH80" s="238"/>
      <c r="BI80" s="238"/>
      <c r="BJ80" s="239"/>
      <c r="BK80" s="239"/>
      <c r="BL80" s="413"/>
    </row>
    <row r="81" spans="2:64" s="182" customFormat="1" ht="15.5">
      <c r="B81" s="181"/>
      <c r="C81" s="859" t="str">
        <f>IF(Indice_index!$Z$1=1,"Metropolitano de Lisboa, E.P.E. – pagamento final respeitante à aquisição de material circulante.","Metropolitano de Lisboa, E.P.E. - final payment related to the acquisition of a rolling stock.")</f>
        <v>Metropolitano de Lisboa, E.P.E. - final payment related to the acquisition of a rolling stock.</v>
      </c>
      <c r="D81" s="644" t="str">
        <f>IF(Indice_index!$Z$1=1,"Despesa","Expenditure")</f>
        <v>Expenditure</v>
      </c>
      <c r="E81" s="135" t="s">
        <v>34</v>
      </c>
      <c r="F81" s="96"/>
      <c r="G81" s="135"/>
      <c r="H81" s="135"/>
      <c r="I81" s="135"/>
      <c r="J81" s="135"/>
      <c r="K81" s="135"/>
      <c r="L81" s="135"/>
      <c r="M81" s="135"/>
      <c r="N81" s="135"/>
      <c r="O81" s="135">
        <v>52.777777999999998</v>
      </c>
      <c r="P81" s="135"/>
      <c r="Q81" s="135"/>
      <c r="R81" s="135"/>
      <c r="S81" s="179">
        <f t="shared" si="63"/>
        <v>52.777777999999998</v>
      </c>
      <c r="T81" s="179">
        <f t="shared" si="74"/>
        <v>52.777777999999998</v>
      </c>
      <c r="U81" s="96"/>
      <c r="V81" s="135"/>
      <c r="W81" s="135"/>
      <c r="X81" s="179"/>
      <c r="Y81" s="179"/>
      <c r="Z81" s="179"/>
      <c r="AA81" s="179"/>
      <c r="AB81" s="179"/>
      <c r="AC81" s="179"/>
      <c r="AD81" s="179">
        <v>52.777777499999999</v>
      </c>
      <c r="AE81" s="179"/>
      <c r="AF81" s="179"/>
      <c r="AG81" s="179"/>
      <c r="AH81" s="179">
        <f t="shared" si="77"/>
        <v>52.777777499999999</v>
      </c>
      <c r="AI81" s="96"/>
      <c r="AJ81" s="237"/>
      <c r="AK81" s="237"/>
      <c r="AL81" s="237"/>
      <c r="AM81" s="238"/>
      <c r="AN81" s="238"/>
      <c r="AO81" s="238"/>
      <c r="AP81" s="238"/>
      <c r="AQ81" s="238"/>
      <c r="AR81" s="238"/>
      <c r="AS81" s="238"/>
      <c r="AT81" s="238"/>
      <c r="AU81" s="238"/>
      <c r="AV81" s="238"/>
      <c r="AW81" s="238"/>
      <c r="AX81" s="238"/>
      <c r="AY81" s="238"/>
      <c r="AZ81" s="238"/>
      <c r="BA81" s="238"/>
      <c r="BB81" s="238"/>
      <c r="BC81" s="238"/>
      <c r="BD81" s="238"/>
      <c r="BE81" s="238"/>
      <c r="BF81" s="238"/>
      <c r="BG81" s="238"/>
      <c r="BH81" s="238"/>
      <c r="BI81" s="238"/>
      <c r="BJ81" s="239"/>
      <c r="BK81" s="239"/>
      <c r="BL81" s="413"/>
    </row>
    <row r="82" spans="2:64" s="182" customFormat="1" ht="15.5">
      <c r="B82" s="181"/>
      <c r="C82" s="859" t="str">
        <f>IF(Indice_index!$Z$1=1,"Pagamento de decisão judicial à concessionária RAL.","Payment of court decision to the RAL concessionaire.")</f>
        <v>Payment of court decision to the RAL concessionaire.</v>
      </c>
      <c r="D82" s="644" t="str">
        <f>IF(Indice_index!$Z$1=1,"Despesa","Expenditure")</f>
        <v>Expenditure</v>
      </c>
      <c r="E82" s="135" t="s">
        <v>34</v>
      </c>
      <c r="F82" s="96"/>
      <c r="G82" s="135"/>
      <c r="H82" s="135"/>
      <c r="I82" s="135"/>
      <c r="J82" s="135">
        <v>38.340000000000003</v>
      </c>
      <c r="K82" s="135">
        <v>1.4299999999999997</v>
      </c>
      <c r="L82" s="135">
        <v>1.4339999999999975</v>
      </c>
      <c r="M82" s="135"/>
      <c r="N82" s="135">
        <v>1.4699999999999989</v>
      </c>
      <c r="O82" s="135">
        <v>1.5529999999999973</v>
      </c>
      <c r="P82" s="135">
        <v>1.5530000000000044</v>
      </c>
      <c r="Q82" s="135">
        <v>1.5529999999999973</v>
      </c>
      <c r="R82" s="135">
        <v>1.5530000000000044</v>
      </c>
      <c r="S82" s="179">
        <f t="shared" si="63"/>
        <v>47.332999999999998</v>
      </c>
      <c r="T82" s="179">
        <f>SUM(G82:R82)</f>
        <v>48.886000000000003</v>
      </c>
      <c r="U82" s="96"/>
      <c r="V82" s="135">
        <v>1.55325132</v>
      </c>
      <c r="W82" s="135"/>
      <c r="X82" s="179">
        <v>3.1065026400000004</v>
      </c>
      <c r="Y82" s="179">
        <v>1.5532513199999993</v>
      </c>
      <c r="Z82" s="179">
        <v>1.5532513200000002</v>
      </c>
      <c r="AA82" s="179">
        <v>1.5532513199999993</v>
      </c>
      <c r="AB82" s="179">
        <v>1.5532513200000011</v>
      </c>
      <c r="AC82" s="179">
        <v>1.5532513199999993</v>
      </c>
      <c r="AD82" s="179">
        <v>1.5532513200000011</v>
      </c>
      <c r="AE82" s="179">
        <v>1.5532513199999993</v>
      </c>
      <c r="AF82" s="179">
        <v>1.5532513200000047</v>
      </c>
      <c r="AG82" s="179"/>
      <c r="AH82" s="179">
        <f>SUM(V82:AG82)</f>
        <v>17.085764520000005</v>
      </c>
      <c r="AI82" s="96"/>
      <c r="AJ82" s="237"/>
      <c r="AK82" s="237"/>
      <c r="AL82" s="237"/>
      <c r="AM82" s="238"/>
      <c r="AN82" s="238"/>
      <c r="AO82" s="238"/>
      <c r="AP82" s="238"/>
      <c r="AQ82" s="238"/>
      <c r="AR82" s="238"/>
      <c r="AS82" s="238"/>
      <c r="AT82" s="238"/>
      <c r="AU82" s="238"/>
      <c r="AV82" s="238"/>
      <c r="AW82" s="238"/>
      <c r="AX82" s="238"/>
      <c r="AY82" s="238"/>
      <c r="AZ82" s="238"/>
      <c r="BA82" s="238"/>
      <c r="BB82" s="238"/>
      <c r="BC82" s="238"/>
      <c r="BD82" s="238"/>
      <c r="BE82" s="238"/>
      <c r="BF82" s="238"/>
      <c r="BG82" s="238"/>
      <c r="BH82" s="238"/>
      <c r="BI82" s="238"/>
      <c r="BJ82" s="239"/>
      <c r="BK82" s="239"/>
      <c r="BL82" s="413"/>
    </row>
    <row r="83" spans="2:64" s="182" customFormat="1" ht="15.5">
      <c r="B83" s="181"/>
      <c r="C83" s="859" t="str">
        <f>IF(Indice_index!$Z$1=1,"Acertos de disponibilidade relativos a anos anteriores à concessionária do Baixo Tejo.","Availability adjustments relating to prior years of the Baixo Tejo concessionaire.")</f>
        <v>Availability adjustments relating to prior years of the Baixo Tejo concessionaire.</v>
      </c>
      <c r="D83" s="644" t="str">
        <f>IF(Indice_index!$Z$1=1,"Despesa","Expenditure")</f>
        <v>Expenditure</v>
      </c>
      <c r="E83" s="135" t="s">
        <v>34</v>
      </c>
      <c r="F83" s="96"/>
      <c r="G83" s="135"/>
      <c r="H83" s="135"/>
      <c r="I83" s="135"/>
      <c r="J83" s="135"/>
      <c r="K83" s="135"/>
      <c r="L83" s="135"/>
      <c r="M83" s="135">
        <v>88.843098080000004</v>
      </c>
      <c r="N83" s="135"/>
      <c r="O83" s="135"/>
      <c r="P83" s="135"/>
      <c r="Q83" s="135"/>
      <c r="R83" s="135"/>
      <c r="S83" s="179">
        <f t="shared" si="63"/>
        <v>88.843098080000004</v>
      </c>
      <c r="T83" s="179">
        <f>SUM(G83:R83)</f>
        <v>88.843098080000004</v>
      </c>
      <c r="U83" s="96"/>
      <c r="V83" s="135"/>
      <c r="W83" s="135"/>
      <c r="X83" s="179"/>
      <c r="Y83" s="179"/>
      <c r="Z83" s="179"/>
      <c r="AA83" s="179"/>
      <c r="AB83" s="179"/>
      <c r="AC83" s="179"/>
      <c r="AD83" s="179"/>
      <c r="AE83" s="179"/>
      <c r="AF83" s="179"/>
      <c r="AG83" s="179"/>
      <c r="AH83" s="179">
        <f>SUM(V83:AG83)</f>
        <v>0</v>
      </c>
      <c r="AI83" s="96"/>
      <c r="AJ83" s="237"/>
      <c r="AK83" s="237"/>
      <c r="AL83" s="237"/>
      <c r="AM83" s="238"/>
      <c r="AN83" s="238"/>
      <c r="AO83" s="238"/>
      <c r="AP83" s="238"/>
      <c r="AQ83" s="238"/>
      <c r="AR83" s="238"/>
      <c r="AS83" s="238"/>
      <c r="AT83" s="238"/>
      <c r="AU83" s="238"/>
      <c r="AV83" s="238"/>
      <c r="AW83" s="238"/>
      <c r="AX83" s="238"/>
      <c r="AY83" s="238"/>
      <c r="AZ83" s="238"/>
      <c r="BA83" s="238"/>
      <c r="BB83" s="238"/>
      <c r="BC83" s="238"/>
      <c r="BD83" s="238"/>
      <c r="BE83" s="238"/>
      <c r="BF83" s="238"/>
      <c r="BG83" s="238"/>
      <c r="BH83" s="238"/>
      <c r="BI83" s="238"/>
      <c r="BJ83" s="239"/>
      <c r="BK83" s="239"/>
      <c r="BL83" s="413"/>
    </row>
    <row r="84" spans="2:64" s="182" customFormat="1" ht="34.5" customHeight="1">
      <c r="B84" s="181"/>
      <c r="C84" s="859" t="str">
        <f>IF(Indice_index!$Z$1=1,C149,C150)</f>
        <v>Compensation mechanism between 2019 and 2021 for the part of the transfers not delivered in 2018, due to the maximum growth limitation mechanism for each municipality and parish in the previous version of the Local Finances Law (capital transfers).</v>
      </c>
      <c r="D84" s="644" t="str">
        <f>IF(Indice_index!$Z$1=1,"Despesa","Expenditure")</f>
        <v>Expenditure</v>
      </c>
      <c r="E84" s="135" t="s">
        <v>36</v>
      </c>
      <c r="F84" s="96"/>
      <c r="G84" s="135">
        <v>13.88124</v>
      </c>
      <c r="H84" s="135">
        <v>14.138688</v>
      </c>
      <c r="I84" s="135">
        <v>13.929066999999996</v>
      </c>
      <c r="J84" s="135">
        <v>13.865551000000004</v>
      </c>
      <c r="K84" s="135">
        <v>13.901340999999995</v>
      </c>
      <c r="L84" s="135">
        <v>13.865551000000011</v>
      </c>
      <c r="M84" s="135">
        <v>13.865550999999996</v>
      </c>
      <c r="N84" s="135">
        <v>13.865550999999996</v>
      </c>
      <c r="O84" s="135">
        <v>13.865550999999996</v>
      </c>
      <c r="P84" s="135">
        <v>13.865551000000011</v>
      </c>
      <c r="Q84" s="135">
        <v>13.865550999999982</v>
      </c>
      <c r="R84" s="135">
        <v>13.667325999999974</v>
      </c>
      <c r="S84" s="179">
        <f t="shared" si="63"/>
        <v>152.90919299999999</v>
      </c>
      <c r="T84" s="179">
        <f t="shared" si="74"/>
        <v>166.57651899999996</v>
      </c>
      <c r="U84" s="96"/>
      <c r="V84" s="135">
        <v>13.88124</v>
      </c>
      <c r="W84" s="135">
        <v>13.88124</v>
      </c>
      <c r="X84" s="179">
        <v>13.881240000000002</v>
      </c>
      <c r="Y84" s="179">
        <v>13.881239999999998</v>
      </c>
      <c r="Z84" s="179">
        <v>13.836239999999997</v>
      </c>
      <c r="AA84" s="179">
        <v>13.881240000000005</v>
      </c>
      <c r="AB84" s="179"/>
      <c r="AC84" s="179">
        <v>-5.4735330000000033</v>
      </c>
      <c r="AD84" s="179">
        <v>-11.402295999999993</v>
      </c>
      <c r="AE84" s="179">
        <v>-5.7011480000000034</v>
      </c>
      <c r="AF84" s="179">
        <v>-5.7011480000000034</v>
      </c>
      <c r="AG84" s="179"/>
      <c r="AH84" s="179">
        <f t="shared" ref="AH84:AH85" si="80">SUM(V84:AG84)</f>
        <v>54.964314999999999</v>
      </c>
      <c r="AI84" s="96"/>
      <c r="AJ84" s="237"/>
      <c r="AK84" s="237"/>
      <c r="AL84" s="237"/>
      <c r="AM84" s="238"/>
      <c r="AN84" s="238"/>
      <c r="AO84" s="238"/>
      <c r="AP84" s="238"/>
      <c r="AQ84" s="238"/>
      <c r="AR84" s="238"/>
      <c r="AS84" s="238"/>
      <c r="AT84" s="238"/>
      <c r="AU84" s="238"/>
      <c r="AV84" s="238"/>
      <c r="AW84" s="238"/>
      <c r="AX84" s="238"/>
      <c r="AY84" s="238"/>
      <c r="AZ84" s="238"/>
      <c r="BA84" s="238"/>
      <c r="BB84" s="238"/>
      <c r="BC84" s="238"/>
      <c r="BD84" s="238"/>
      <c r="BE84" s="238"/>
      <c r="BF84" s="238"/>
      <c r="BG84" s="238"/>
      <c r="BH84" s="238"/>
      <c r="BI84" s="238"/>
      <c r="BJ84" s="239"/>
      <c r="BK84" s="239"/>
      <c r="BL84" s="413"/>
    </row>
    <row r="85" spans="2:64" s="182" customFormat="1" ht="25.5" customHeight="1">
      <c r="B85" s="181"/>
      <c r="C85" s="859" t="str">
        <f>IF(Indice_index!$Z$1=1,C152,C153)</f>
        <v>Payments made by the Resolution Fund to Novo Banco under the contingent capitalization agreement signed in october 2017 by the two parties.</v>
      </c>
      <c r="D85" s="644" t="str">
        <f>IF(Indice_index!$Z$1=1,"Despesa","Expenditure")</f>
        <v>Expenditure</v>
      </c>
      <c r="E85" s="135" t="s">
        <v>37</v>
      </c>
      <c r="F85" s="96"/>
      <c r="G85" s="135"/>
      <c r="H85" s="135"/>
      <c r="I85" s="135"/>
      <c r="J85" s="135"/>
      <c r="K85" s="135"/>
      <c r="L85" s="135">
        <v>317.012629</v>
      </c>
      <c r="M85" s="135"/>
      <c r="N85" s="135"/>
      <c r="O85" s="135"/>
      <c r="P85" s="135"/>
      <c r="Q85" s="135"/>
      <c r="R85" s="135">
        <v>112</v>
      </c>
      <c r="S85" s="179">
        <f t="shared" si="63"/>
        <v>317.012629</v>
      </c>
      <c r="T85" s="179">
        <f t="shared" si="74"/>
        <v>429.012629</v>
      </c>
      <c r="U85" s="96"/>
      <c r="V85" s="135"/>
      <c r="W85" s="135"/>
      <c r="X85" s="179"/>
      <c r="Y85" s="179"/>
      <c r="Z85" s="179"/>
      <c r="AA85" s="179"/>
      <c r="AB85" s="179"/>
      <c r="AC85" s="179"/>
      <c r="AD85" s="179"/>
      <c r="AE85" s="179"/>
      <c r="AF85" s="179"/>
      <c r="AG85" s="179"/>
      <c r="AH85" s="179">
        <f t="shared" si="80"/>
        <v>0</v>
      </c>
      <c r="AI85" s="96"/>
      <c r="AJ85" s="237"/>
      <c r="AK85" s="237"/>
      <c r="AL85" s="237"/>
      <c r="AM85" s="238"/>
      <c r="AN85" s="238"/>
      <c r="AO85" s="238"/>
      <c r="AP85" s="238"/>
      <c r="AQ85" s="238"/>
      <c r="AR85" s="238"/>
      <c r="AS85" s="238"/>
      <c r="AT85" s="238"/>
      <c r="AU85" s="238"/>
      <c r="AV85" s="238"/>
      <c r="AW85" s="238"/>
      <c r="AX85" s="238"/>
      <c r="AY85" s="238"/>
      <c r="AZ85" s="238"/>
      <c r="BA85" s="238"/>
      <c r="BB85" s="238"/>
      <c r="BC85" s="238"/>
      <c r="BD85" s="238"/>
      <c r="BE85" s="238"/>
      <c r="BF85" s="238"/>
      <c r="BG85" s="238"/>
      <c r="BH85" s="238"/>
      <c r="BI85" s="238"/>
      <c r="BJ85" s="239"/>
      <c r="BK85" s="239"/>
      <c r="BL85" s="413"/>
    </row>
    <row r="86" spans="2:64" s="182" customFormat="1" ht="21.75" customHeight="1">
      <c r="B86" s="181"/>
      <c r="C86" s="1392" t="str">
        <f>IF(Indice_index!$Z$1=1,"Fundo Sustentabilidade Sistémica do Setor Energético - Redução dívida tarifária do Sistema Elétrico Nacional","Fund for the Systemic Sustainability of the Energetic Sector - Reduction in the National Electricity System’s tariffs debt")</f>
        <v>Fund for the Systemic Sustainability of the Energetic Sector - Reduction in the National Electricity System’s tariffs debt</v>
      </c>
      <c r="D86" s="1393" t="str">
        <f>IF(Indice_index!$Z$1=1,"Despesa","Expenditure")</f>
        <v>Expenditure</v>
      </c>
      <c r="E86" s="1074" t="s">
        <v>37</v>
      </c>
      <c r="F86" s="1394"/>
      <c r="G86" s="1074"/>
      <c r="H86" s="1074"/>
      <c r="I86" s="1074"/>
      <c r="J86" s="1074"/>
      <c r="K86" s="1074"/>
      <c r="L86" s="1074"/>
      <c r="M86" s="1074"/>
      <c r="N86" s="1074"/>
      <c r="O86" s="1074"/>
      <c r="P86" s="1074"/>
      <c r="Q86" s="1074">
        <v>21.777260999999999</v>
      </c>
      <c r="R86" s="1074">
        <v>112.65037024</v>
      </c>
      <c r="S86" s="1395">
        <f t="shared" si="63"/>
        <v>21.777260999999999</v>
      </c>
      <c r="T86" s="1395">
        <f>SUM(G86:R86)</f>
        <v>134.42763124000001</v>
      </c>
      <c r="U86" s="1394"/>
      <c r="V86" s="1074"/>
      <c r="W86" s="1074"/>
      <c r="X86" s="1395"/>
      <c r="Y86" s="1395"/>
      <c r="Z86" s="1395"/>
      <c r="AA86" s="1395"/>
      <c r="AB86" s="1395"/>
      <c r="AC86" s="1395"/>
      <c r="AD86" s="1395"/>
      <c r="AE86" s="1395"/>
      <c r="AF86" s="1395"/>
      <c r="AG86" s="1395"/>
      <c r="AH86" s="1395">
        <f t="shared" si="68"/>
        <v>0</v>
      </c>
      <c r="AI86" s="96"/>
      <c r="AJ86" s="237"/>
      <c r="AK86" s="237"/>
      <c r="AL86" s="237"/>
      <c r="AM86" s="238"/>
      <c r="AN86" s="238"/>
      <c r="AO86" s="238"/>
      <c r="AP86" s="238"/>
      <c r="AQ86" s="238"/>
      <c r="AR86" s="238"/>
      <c r="AS86" s="238"/>
      <c r="AT86" s="238"/>
      <c r="AU86" s="238"/>
      <c r="AV86" s="238"/>
      <c r="AW86" s="238"/>
      <c r="AX86" s="238"/>
      <c r="AY86" s="238"/>
      <c r="AZ86" s="238"/>
      <c r="BA86" s="238"/>
      <c r="BB86" s="238"/>
      <c r="BC86" s="238"/>
      <c r="BD86" s="238"/>
      <c r="BE86" s="238"/>
      <c r="BF86" s="238"/>
      <c r="BG86" s="238"/>
      <c r="BH86" s="238"/>
      <c r="BI86" s="238"/>
      <c r="BJ86" s="239"/>
      <c r="BK86" s="239"/>
      <c r="BL86" s="413"/>
    </row>
    <row r="87" spans="2:64" s="182" customFormat="1" ht="4.5" customHeight="1">
      <c r="B87" s="181"/>
      <c r="C87" s="859"/>
      <c r="D87" s="644"/>
      <c r="E87" s="135"/>
      <c r="F87" s="111"/>
      <c r="G87" s="135"/>
      <c r="H87" s="135"/>
      <c r="I87" s="135"/>
      <c r="J87" s="135"/>
      <c r="K87" s="135"/>
      <c r="L87" s="135"/>
      <c r="M87" s="135"/>
      <c r="N87" s="135"/>
      <c r="O87" s="135"/>
      <c r="P87" s="135"/>
      <c r="Q87" s="135"/>
      <c r="R87" s="135"/>
      <c r="S87" s="179"/>
      <c r="T87" s="179"/>
      <c r="U87" s="111"/>
      <c r="V87" s="135"/>
      <c r="W87" s="135"/>
      <c r="X87" s="179"/>
      <c r="Y87" s="179"/>
      <c r="Z87" s="179"/>
      <c r="AA87" s="179"/>
      <c r="AB87" s="179"/>
      <c r="AC87" s="179"/>
      <c r="AD87" s="179"/>
      <c r="AE87" s="179"/>
      <c r="AF87" s="179"/>
      <c r="AG87" s="179"/>
      <c r="AH87" s="179"/>
      <c r="AI87" s="96"/>
      <c r="AJ87" s="237"/>
      <c r="AK87" s="237"/>
      <c r="AL87" s="237"/>
      <c r="AM87" s="238"/>
      <c r="AN87" s="238"/>
      <c r="AO87" s="238"/>
      <c r="AP87" s="238"/>
      <c r="AQ87" s="238"/>
      <c r="AR87" s="238"/>
      <c r="AS87" s="238"/>
      <c r="AT87" s="238"/>
      <c r="AU87" s="238"/>
      <c r="AV87" s="238"/>
      <c r="AW87" s="238"/>
      <c r="AX87" s="238"/>
      <c r="AY87" s="238"/>
      <c r="AZ87" s="238"/>
      <c r="BA87" s="238"/>
      <c r="BB87" s="238"/>
      <c r="BC87" s="238"/>
      <c r="BD87" s="238"/>
      <c r="BE87" s="238"/>
      <c r="BF87" s="238"/>
      <c r="BG87" s="238"/>
      <c r="BH87" s="238"/>
      <c r="BI87" s="238"/>
      <c r="BJ87" s="239"/>
      <c r="BK87" s="239"/>
      <c r="BL87" s="413"/>
    </row>
    <row r="88" spans="2:64" s="180" customFormat="1" ht="22.5" customHeight="1">
      <c r="B88" s="177"/>
      <c r="C88" s="1792" t="str">
        <f>IF(Indice_index!$Z$1=1,C155,C156)</f>
        <v>(a) The values identified in this item correspond to those recorded by the NHS' entities in the information systems that support the budget execution monitoring. Negative monthly values derive from accumulated amounts lower than those of the previous month recorded by the entities.</v>
      </c>
      <c r="D88" s="1792"/>
      <c r="E88" s="1792"/>
      <c r="F88" s="1792"/>
      <c r="G88" s="1792"/>
      <c r="H88" s="1792"/>
      <c r="I88" s="1792"/>
      <c r="J88" s="1792"/>
      <c r="K88" s="1792"/>
      <c r="L88" s="1792"/>
      <c r="M88" s="1792"/>
      <c r="N88" s="1792"/>
      <c r="O88" s="1792"/>
      <c r="P88" s="1792"/>
      <c r="Q88" s="1792"/>
      <c r="R88" s="1792"/>
      <c r="S88" s="1792"/>
      <c r="T88" s="1792"/>
      <c r="U88" s="1792"/>
      <c r="V88" s="1792"/>
      <c r="W88" s="1792"/>
      <c r="X88" s="1792"/>
      <c r="Y88" s="1792"/>
      <c r="Z88" s="1792"/>
      <c r="AA88" s="1792"/>
      <c r="AB88" s="1792"/>
      <c r="AC88" s="1792"/>
      <c r="AD88" s="1792"/>
      <c r="AE88" s="1792"/>
      <c r="AF88" s="1792"/>
      <c r="AG88" s="1792"/>
      <c r="AH88" s="1792"/>
      <c r="AI88" s="96"/>
      <c r="AJ88" s="237"/>
      <c r="AK88" s="237"/>
      <c r="AL88" s="237"/>
      <c r="AM88" s="236"/>
      <c r="AN88" s="236"/>
      <c r="AO88" s="236"/>
      <c r="AP88" s="236"/>
      <c r="AQ88" s="236"/>
      <c r="AR88" s="236"/>
      <c r="AS88" s="236"/>
      <c r="AT88" s="236"/>
      <c r="AU88" s="236"/>
      <c r="AV88" s="236"/>
      <c r="AW88" s="236"/>
      <c r="AX88" s="236"/>
      <c r="AY88" s="236"/>
      <c r="AZ88" s="236"/>
      <c r="BA88" s="236"/>
      <c r="BB88" s="236"/>
      <c r="BC88" s="236"/>
      <c r="BD88" s="236"/>
      <c r="BE88" s="236"/>
      <c r="BF88" s="236"/>
      <c r="BG88" s="236"/>
      <c r="BH88" s="236"/>
      <c r="BI88" s="236"/>
      <c r="BJ88" s="233"/>
      <c r="BK88" s="233"/>
      <c r="BL88" s="413"/>
    </row>
    <row r="89" spans="2:64" s="180" customFormat="1" ht="4.5" customHeight="1">
      <c r="B89" s="177"/>
      <c r="C89" s="1396"/>
      <c r="D89" s="1396"/>
      <c r="E89" s="1396"/>
      <c r="F89" s="1396"/>
      <c r="G89" s="1396"/>
      <c r="H89" s="1396"/>
      <c r="I89" s="1396"/>
      <c r="J89" s="1396"/>
      <c r="K89" s="1396"/>
      <c r="L89" s="1396"/>
      <c r="M89" s="1396"/>
      <c r="N89" s="1396"/>
      <c r="O89" s="1396"/>
      <c r="P89" s="1396"/>
      <c r="Q89" s="1396"/>
      <c r="R89" s="1396"/>
      <c r="S89" s="1396"/>
      <c r="T89" s="1396"/>
      <c r="U89" s="1396"/>
      <c r="V89" s="1396"/>
      <c r="W89" s="1396"/>
      <c r="X89" s="1396"/>
      <c r="Y89" s="1396"/>
      <c r="Z89" s="1396"/>
      <c r="AA89" s="1396"/>
      <c r="AB89" s="1396"/>
      <c r="AC89" s="1396"/>
      <c r="AD89" s="1396"/>
      <c r="AE89" s="1396"/>
      <c r="AF89" s="1396"/>
      <c r="AG89" s="1396"/>
      <c r="AH89" s="1396"/>
      <c r="AI89" s="96"/>
      <c r="AJ89" s="237"/>
      <c r="AK89" s="237"/>
      <c r="AL89" s="237"/>
      <c r="AM89" s="236"/>
      <c r="AN89" s="236"/>
      <c r="AO89" s="236"/>
      <c r="AP89" s="236"/>
      <c r="AQ89" s="236"/>
      <c r="AR89" s="236"/>
      <c r="AS89" s="236"/>
      <c r="AT89" s="236"/>
      <c r="AU89" s="236"/>
      <c r="AV89" s="236"/>
      <c r="AW89" s="236"/>
      <c r="AX89" s="236"/>
      <c r="AY89" s="236"/>
      <c r="AZ89" s="236"/>
      <c r="BA89" s="236"/>
      <c r="BB89" s="236"/>
      <c r="BC89" s="236"/>
      <c r="BD89" s="236"/>
      <c r="BE89" s="236"/>
      <c r="BF89" s="236"/>
      <c r="BG89" s="236"/>
      <c r="BH89" s="236"/>
      <c r="BI89" s="236"/>
      <c r="BJ89" s="233"/>
      <c r="BK89" s="233"/>
      <c r="BL89" s="413"/>
    </row>
    <row r="90" spans="2:64" s="180" customFormat="1" ht="15" customHeight="1">
      <c r="C90" s="1397" t="str">
        <f>IF(Indice_index!$Z$1=1,"Notas:","Notes:")</f>
        <v>Notes:</v>
      </c>
      <c r="D90" s="1398"/>
      <c r="E90" s="1399"/>
      <c r="F90" s="96"/>
      <c r="G90" s="1398"/>
      <c r="H90" s="1398"/>
      <c r="U90" s="96"/>
      <c r="V90" s="1398"/>
      <c r="W90" s="1398"/>
      <c r="AI90" s="96"/>
      <c r="AJ90" s="237"/>
      <c r="AK90" s="237"/>
      <c r="AL90" s="237"/>
      <c r="AM90" s="236"/>
      <c r="AN90" s="236"/>
      <c r="AO90" s="236"/>
      <c r="AP90" s="236"/>
      <c r="AQ90" s="236"/>
      <c r="AR90" s="236"/>
      <c r="AS90" s="236"/>
      <c r="AT90" s="236"/>
      <c r="AU90" s="236"/>
      <c r="AV90" s="236"/>
      <c r="AW90" s="236"/>
      <c r="AX90" s="236"/>
      <c r="AY90" s="236"/>
      <c r="AZ90" s="236"/>
      <c r="BA90" s="236"/>
      <c r="BB90" s="236"/>
      <c r="BC90" s="236"/>
      <c r="BD90" s="236"/>
      <c r="BE90" s="236"/>
      <c r="BF90" s="236"/>
      <c r="BG90" s="236"/>
      <c r="BH90" s="236"/>
      <c r="BI90" s="236"/>
      <c r="BJ90" s="233"/>
      <c r="BK90" s="233"/>
      <c r="BL90" s="413"/>
    </row>
    <row r="91" spans="2:64" s="180" customFormat="1" ht="15" customHeight="1">
      <c r="C91" s="1398" t="str">
        <f>IF(Indice_index!$Z$1=1,"O sinal evidencia o efeito que cada facto teve na receita ou na despesa, no âmbito da Conta da Administração Central e Segurança Social. Assim:","The signal shows the effect that each fact had in revenue or in expenditure, within the Central Government and Social Security Account. Therefore:")</f>
        <v>The signal shows the effect that each fact had in revenue or in expenditure, within the Central Government and Social Security Account. Therefore:</v>
      </c>
      <c r="E91" s="1400"/>
      <c r="F91" s="96"/>
      <c r="J91" s="175"/>
      <c r="S91" s="175"/>
      <c r="U91" s="96"/>
      <c r="Y91" s="175"/>
      <c r="AI91" s="96"/>
      <c r="AJ91" s="237"/>
      <c r="AK91" s="237"/>
      <c r="AL91" s="237"/>
      <c r="AM91" s="236"/>
      <c r="AN91" s="236"/>
      <c r="AO91" s="236"/>
      <c r="AP91" s="236"/>
      <c r="AQ91" s="236"/>
      <c r="AR91" s="236"/>
      <c r="AS91" s="236"/>
      <c r="AT91" s="236"/>
      <c r="AU91" s="236"/>
      <c r="AV91" s="236"/>
      <c r="AW91" s="236"/>
      <c r="AX91" s="236"/>
      <c r="AY91" s="236"/>
      <c r="AZ91" s="236"/>
      <c r="BA91" s="236"/>
      <c r="BB91" s="236"/>
      <c r="BC91" s="236"/>
      <c r="BD91" s="236"/>
      <c r="BE91" s="236"/>
      <c r="BF91" s="236"/>
      <c r="BG91" s="236"/>
      <c r="BH91" s="236"/>
      <c r="BI91" s="236"/>
      <c r="BJ91" s="233"/>
      <c r="BK91" s="233"/>
      <c r="BL91" s="413"/>
    </row>
    <row r="92" spans="2:64" s="180" customFormat="1" ht="15" customHeight="1">
      <c r="C92" s="1401" t="str">
        <f>IF(Indice_index!$Z$1=1,"- Aumentos excecionais de receita são evidenciados com sinal positivo (+) -  têm efeito positivo no saldo;","- Exceptional revenue increases are shown with a positive signal (+) -  they have a positive effect in balance;")</f>
        <v>- Exceptional revenue increases are shown with a positive signal (+) -  they have a positive effect in balance;</v>
      </c>
      <c r="E92" s="1400"/>
      <c r="F92" s="96"/>
      <c r="P92" s="175"/>
      <c r="S92" s="175"/>
      <c r="T92" s="1402"/>
      <c r="U92" s="96"/>
      <c r="AH92" s="1402"/>
      <c r="AI92" s="96"/>
      <c r="AJ92" s="237"/>
      <c r="AK92" s="237"/>
      <c r="AL92" s="237"/>
      <c r="AM92" s="236"/>
      <c r="AN92" s="236"/>
      <c r="AO92" s="236"/>
      <c r="AP92" s="236"/>
      <c r="AQ92" s="236"/>
      <c r="AR92" s="236"/>
      <c r="AS92" s="236"/>
      <c r="AT92" s="236"/>
      <c r="AU92" s="236"/>
      <c r="AV92" s="236"/>
      <c r="AW92" s="236"/>
      <c r="AX92" s="236"/>
      <c r="AY92" s="236"/>
      <c r="AZ92" s="236"/>
      <c r="BA92" s="236"/>
      <c r="BB92" s="236"/>
      <c r="BC92" s="236"/>
      <c r="BD92" s="236"/>
      <c r="BE92" s="236"/>
      <c r="BF92" s="236"/>
      <c r="BG92" s="236"/>
      <c r="BH92" s="236"/>
      <c r="BI92" s="236"/>
      <c r="BJ92" s="233"/>
      <c r="BK92" s="233"/>
      <c r="BL92" s="413"/>
    </row>
    <row r="93" spans="2:64" s="180" customFormat="1" ht="15" customHeight="1">
      <c r="C93" s="1401" t="str">
        <f>IF(Indice_index!$Z$1=1,"- Aumentos excecionais de despesa, são evidenciados com sinal positivo (+) - têm efeito negativo no saldo pela fórmula de apuramento do saldo.","- Exceptional expenditure increases are shown with a positive signal (+) -  they have a negative effect in balance due to the calculation of balance itself.")</f>
        <v>- Exceptional expenditure increases are shown with a positive signal (+) -  they have a negative effect in balance due to the calculation of balance itself.</v>
      </c>
      <c r="E93" s="1400"/>
      <c r="F93" s="96"/>
      <c r="U93" s="96"/>
      <c r="AI93" s="96"/>
      <c r="AJ93" s="237"/>
      <c r="AK93" s="237"/>
      <c r="AL93" s="237"/>
      <c r="AM93" s="236"/>
      <c r="AN93" s="236"/>
      <c r="AO93" s="236"/>
      <c r="AP93" s="236"/>
      <c r="AQ93" s="236"/>
      <c r="AR93" s="236"/>
      <c r="AS93" s="236"/>
      <c r="AT93" s="236"/>
      <c r="AU93" s="236"/>
      <c r="AV93" s="236"/>
      <c r="AW93" s="236"/>
      <c r="AX93" s="236"/>
      <c r="AY93" s="236"/>
      <c r="AZ93" s="236"/>
      <c r="BA93" s="236"/>
      <c r="BB93" s="236"/>
      <c r="BC93" s="236"/>
      <c r="BD93" s="236"/>
      <c r="BE93" s="236"/>
      <c r="BF93" s="236"/>
      <c r="BG93" s="236"/>
      <c r="BH93" s="236"/>
      <c r="BI93" s="236"/>
      <c r="BJ93" s="233"/>
      <c r="BK93" s="233"/>
      <c r="BL93" s="413"/>
    </row>
    <row r="94" spans="2:64" s="180" customFormat="1" ht="4.5" customHeight="1">
      <c r="C94" s="1401"/>
      <c r="E94" s="1400"/>
      <c r="F94" s="96"/>
      <c r="U94" s="96"/>
      <c r="AI94" s="96"/>
      <c r="AJ94" s="237"/>
      <c r="AK94" s="237"/>
      <c r="AL94" s="237"/>
      <c r="AM94" s="236"/>
      <c r="AN94" s="236"/>
      <c r="AO94" s="236"/>
      <c r="AP94" s="236"/>
      <c r="AQ94" s="236"/>
      <c r="AR94" s="236"/>
      <c r="AS94" s="236"/>
      <c r="AT94" s="236"/>
      <c r="AU94" s="236"/>
      <c r="AV94" s="236"/>
      <c r="AW94" s="236"/>
      <c r="AX94" s="236"/>
      <c r="AY94" s="236"/>
      <c r="AZ94" s="236"/>
      <c r="BA94" s="236"/>
      <c r="BB94" s="236"/>
      <c r="BC94" s="236"/>
      <c r="BD94" s="236"/>
      <c r="BE94" s="236"/>
      <c r="BF94" s="236"/>
      <c r="BG94" s="236"/>
      <c r="BH94" s="236"/>
      <c r="BI94" s="236"/>
      <c r="BJ94" s="233"/>
      <c r="BK94" s="233"/>
      <c r="BL94" s="413"/>
    </row>
    <row r="95" spans="2:64" s="180" customFormat="1" ht="15" customHeight="1">
      <c r="C95" s="682" t="str">
        <f>IF(Indice_index!$Z$1=1,"Fonte: Direção-Geral do Orçamento","Source: Budget General Directorate")</f>
        <v>Source: Budget General Directorate</v>
      </c>
      <c r="E95" s="1400"/>
      <c r="F95" s="96"/>
      <c r="J95" s="175"/>
      <c r="U95" s="96"/>
      <c r="AI95" s="96"/>
      <c r="AJ95" s="237"/>
      <c r="AK95" s="237"/>
      <c r="AL95" s="237"/>
      <c r="AM95" s="236"/>
      <c r="AN95" s="236"/>
      <c r="AO95" s="236"/>
      <c r="AP95" s="236"/>
      <c r="AQ95" s="236"/>
      <c r="AR95" s="236"/>
      <c r="AS95" s="236"/>
      <c r="AT95" s="236"/>
      <c r="AU95" s="236"/>
      <c r="AV95" s="236"/>
      <c r="AW95" s="236"/>
      <c r="AX95" s="236"/>
      <c r="AY95" s="236"/>
      <c r="AZ95" s="236"/>
      <c r="BA95" s="236"/>
      <c r="BB95" s="236"/>
      <c r="BC95" s="236"/>
      <c r="BD95" s="236"/>
      <c r="BE95" s="236"/>
      <c r="BF95" s="236"/>
      <c r="BG95" s="236"/>
      <c r="BH95" s="236"/>
      <c r="BI95" s="236"/>
      <c r="BJ95" s="233"/>
      <c r="BK95" s="233"/>
      <c r="BL95" s="413"/>
    </row>
    <row r="96" spans="2:64" s="180" customFormat="1">
      <c r="C96" s="682"/>
      <c r="D96" s="683"/>
      <c r="E96" s="684"/>
      <c r="F96" s="96"/>
      <c r="G96" s="135"/>
      <c r="H96" s="135"/>
      <c r="I96" s="135"/>
      <c r="J96" s="135"/>
      <c r="K96" s="135"/>
      <c r="L96" s="135"/>
      <c r="M96" s="135"/>
      <c r="N96" s="135"/>
      <c r="O96" s="135"/>
      <c r="P96" s="135"/>
      <c r="Q96" s="135"/>
      <c r="R96" s="135"/>
      <c r="S96" s="135"/>
      <c r="T96" s="135"/>
      <c r="U96" s="96"/>
      <c r="V96" s="135"/>
      <c r="W96" s="135"/>
      <c r="X96" s="135"/>
      <c r="Y96" s="135"/>
      <c r="Z96" s="135"/>
      <c r="AA96" s="135"/>
      <c r="AB96" s="135"/>
      <c r="AC96" s="135"/>
      <c r="AD96" s="135"/>
      <c r="AE96" s="135"/>
      <c r="AF96" s="135"/>
      <c r="AG96" s="135"/>
      <c r="AH96" s="135"/>
      <c r="AI96" s="96"/>
      <c r="AJ96" s="237"/>
      <c r="AK96" s="237"/>
      <c r="AL96" s="237"/>
      <c r="AM96" s="236"/>
      <c r="AN96" s="236"/>
      <c r="AO96" s="236"/>
      <c r="AP96" s="236"/>
      <c r="AQ96" s="236"/>
      <c r="AR96" s="236"/>
      <c r="AS96" s="236"/>
      <c r="AT96" s="236"/>
      <c r="AU96" s="236"/>
      <c r="AV96" s="236"/>
      <c r="AW96" s="236"/>
      <c r="AX96" s="236"/>
      <c r="AY96" s="236"/>
      <c r="AZ96" s="236"/>
      <c r="BA96" s="236"/>
      <c r="BB96" s="236"/>
      <c r="BC96" s="236"/>
      <c r="BD96" s="236"/>
      <c r="BE96" s="236"/>
      <c r="BF96" s="236"/>
      <c r="BG96" s="236"/>
      <c r="BH96" s="236"/>
      <c r="BI96" s="236"/>
      <c r="BJ96" s="233"/>
      <c r="BK96" s="233"/>
      <c r="BL96" s="413"/>
    </row>
    <row r="97" spans="3:64" s="582" customFormat="1">
      <c r="D97" s="685"/>
      <c r="E97" s="686"/>
      <c r="F97" s="583"/>
      <c r="G97" s="687">
        <f t="shared" ref="G97:T97" si="81">+G43-G55</f>
        <v>0</v>
      </c>
      <c r="H97" s="687">
        <f t="shared" si="81"/>
        <v>0</v>
      </c>
      <c r="I97" s="687">
        <f t="shared" si="81"/>
        <v>0</v>
      </c>
      <c r="J97" s="687">
        <f t="shared" si="81"/>
        <v>0</v>
      </c>
      <c r="K97" s="687">
        <f t="shared" si="81"/>
        <v>0</v>
      </c>
      <c r="L97" s="687">
        <f t="shared" si="81"/>
        <v>0</v>
      </c>
      <c r="M97" s="687">
        <f t="shared" si="81"/>
        <v>0</v>
      </c>
      <c r="N97" s="687">
        <f t="shared" si="81"/>
        <v>0</v>
      </c>
      <c r="O97" s="687">
        <f t="shared" si="81"/>
        <v>0</v>
      </c>
      <c r="P97" s="687">
        <f t="shared" si="81"/>
        <v>0</v>
      </c>
      <c r="Q97" s="687">
        <f t="shared" si="81"/>
        <v>0</v>
      </c>
      <c r="R97" s="687">
        <f t="shared" si="81"/>
        <v>0</v>
      </c>
      <c r="S97" s="687">
        <f t="shared" si="81"/>
        <v>0</v>
      </c>
      <c r="T97" s="687">
        <f t="shared" si="81"/>
        <v>-4.5474735088646412E-13</v>
      </c>
      <c r="U97" s="687"/>
      <c r="V97" s="687">
        <f t="shared" ref="V97:AH97" si="82">+V43-V55</f>
        <v>0</v>
      </c>
      <c r="W97" s="687">
        <f t="shared" si="82"/>
        <v>0</v>
      </c>
      <c r="X97" s="687">
        <f t="shared" si="82"/>
        <v>0</v>
      </c>
      <c r="Y97" s="687">
        <f t="shared" si="82"/>
        <v>0</v>
      </c>
      <c r="Z97" s="687">
        <f t="shared" si="82"/>
        <v>0</v>
      </c>
      <c r="AA97" s="687">
        <f t="shared" si="82"/>
        <v>0</v>
      </c>
      <c r="AB97" s="687">
        <f t="shared" si="82"/>
        <v>0</v>
      </c>
      <c r="AC97" s="687">
        <f t="shared" si="82"/>
        <v>0</v>
      </c>
      <c r="AD97" s="687">
        <f t="shared" si="82"/>
        <v>0</v>
      </c>
      <c r="AE97" s="687">
        <f t="shared" si="82"/>
        <v>0</v>
      </c>
      <c r="AF97" s="687">
        <f t="shared" si="82"/>
        <v>0</v>
      </c>
      <c r="AG97" s="687">
        <f t="shared" si="82"/>
        <v>0</v>
      </c>
      <c r="AH97" s="687">
        <f t="shared" si="82"/>
        <v>0</v>
      </c>
      <c r="AI97" s="583"/>
      <c r="AJ97" s="583"/>
      <c r="BL97" s="584"/>
    </row>
    <row r="98" spans="3:64" s="582" customFormat="1">
      <c r="E98" s="585"/>
      <c r="F98" s="583"/>
      <c r="G98" s="582">
        <f t="shared" ref="G98:T98" si="83">SUM(G56:G70)-SUM(G71:G86)-G43</f>
        <v>0</v>
      </c>
      <c r="H98" s="582">
        <f t="shared" si="83"/>
        <v>0</v>
      </c>
      <c r="I98" s="582">
        <f t="shared" si="83"/>
        <v>0</v>
      </c>
      <c r="J98" s="582">
        <f t="shared" si="83"/>
        <v>0</v>
      </c>
      <c r="K98" s="582">
        <f t="shared" si="83"/>
        <v>0</v>
      </c>
      <c r="L98" s="582">
        <f t="shared" si="83"/>
        <v>0</v>
      </c>
      <c r="M98" s="582">
        <f t="shared" si="83"/>
        <v>0</v>
      </c>
      <c r="N98" s="582">
        <f t="shared" si="83"/>
        <v>0</v>
      </c>
      <c r="O98" s="582">
        <f t="shared" si="83"/>
        <v>0</v>
      </c>
      <c r="P98" s="582">
        <f t="shared" si="83"/>
        <v>0</v>
      </c>
      <c r="Q98" s="582">
        <f t="shared" si="83"/>
        <v>0</v>
      </c>
      <c r="R98" s="582">
        <f t="shared" si="83"/>
        <v>0</v>
      </c>
      <c r="S98" s="582">
        <f t="shared" si="83"/>
        <v>0</v>
      </c>
      <c r="T98" s="582">
        <f t="shared" si="83"/>
        <v>4.5474735088646412E-13</v>
      </c>
      <c r="V98" s="582">
        <f t="shared" ref="V98:AH98" si="84">SUM(V56:V70)-SUM(V71:V86)-V43</f>
        <v>0</v>
      </c>
      <c r="W98" s="582">
        <f t="shared" si="84"/>
        <v>0</v>
      </c>
      <c r="X98" s="582">
        <f t="shared" si="84"/>
        <v>0</v>
      </c>
      <c r="Y98" s="582">
        <f t="shared" si="84"/>
        <v>0</v>
      </c>
      <c r="Z98" s="582">
        <f t="shared" si="84"/>
        <v>0</v>
      </c>
      <c r="AA98" s="582">
        <f t="shared" si="84"/>
        <v>0</v>
      </c>
      <c r="AB98" s="582">
        <f t="shared" si="84"/>
        <v>0</v>
      </c>
      <c r="AC98" s="582">
        <f t="shared" si="84"/>
        <v>0</v>
      </c>
      <c r="AD98" s="582">
        <f t="shared" si="84"/>
        <v>0</v>
      </c>
      <c r="AE98" s="582">
        <f t="shared" si="84"/>
        <v>0</v>
      </c>
      <c r="AF98" s="582">
        <f t="shared" si="84"/>
        <v>0</v>
      </c>
      <c r="AG98" s="582">
        <f t="shared" si="84"/>
        <v>0</v>
      </c>
      <c r="AH98" s="582">
        <f t="shared" si="84"/>
        <v>0</v>
      </c>
      <c r="AI98" s="583"/>
      <c r="AJ98" s="583"/>
      <c r="BL98" s="584"/>
    </row>
    <row r="99" spans="3:64" s="586" customFormat="1">
      <c r="E99" s="587"/>
      <c r="F99" s="588"/>
      <c r="G99" s="582">
        <f t="shared" ref="G99:T99" si="85">SUM(G56:G70)-G23</f>
        <v>0</v>
      </c>
      <c r="H99" s="582">
        <f t="shared" si="85"/>
        <v>0</v>
      </c>
      <c r="I99" s="582">
        <f t="shared" si="85"/>
        <v>0</v>
      </c>
      <c r="J99" s="582">
        <f t="shared" si="85"/>
        <v>0</v>
      </c>
      <c r="K99" s="582">
        <f t="shared" si="85"/>
        <v>0</v>
      </c>
      <c r="L99" s="582">
        <f t="shared" si="85"/>
        <v>0</v>
      </c>
      <c r="M99" s="582">
        <f t="shared" si="85"/>
        <v>0</v>
      </c>
      <c r="N99" s="582">
        <f t="shared" si="85"/>
        <v>0</v>
      </c>
      <c r="O99" s="582">
        <f t="shared" si="85"/>
        <v>0</v>
      </c>
      <c r="P99" s="582">
        <f t="shared" si="85"/>
        <v>0</v>
      </c>
      <c r="Q99" s="582">
        <f t="shared" si="85"/>
        <v>0</v>
      </c>
      <c r="R99" s="582">
        <f t="shared" si="85"/>
        <v>0</v>
      </c>
      <c r="S99" s="582">
        <f t="shared" si="85"/>
        <v>0</v>
      </c>
      <c r="T99" s="582">
        <f t="shared" si="85"/>
        <v>0</v>
      </c>
      <c r="U99" s="582"/>
      <c r="V99" s="582">
        <f t="shared" ref="V99:AH99" si="86">SUM(V56:V70)-V23</f>
        <v>0</v>
      </c>
      <c r="W99" s="582">
        <f t="shared" si="86"/>
        <v>0</v>
      </c>
      <c r="X99" s="582">
        <f t="shared" si="86"/>
        <v>0</v>
      </c>
      <c r="Y99" s="582">
        <f t="shared" si="86"/>
        <v>0</v>
      </c>
      <c r="Z99" s="582">
        <f t="shared" si="86"/>
        <v>0</v>
      </c>
      <c r="AA99" s="582">
        <f t="shared" si="86"/>
        <v>0</v>
      </c>
      <c r="AB99" s="582">
        <f t="shared" si="86"/>
        <v>0</v>
      </c>
      <c r="AC99" s="582">
        <f t="shared" si="86"/>
        <v>0</v>
      </c>
      <c r="AD99" s="582">
        <f t="shared" si="86"/>
        <v>0</v>
      </c>
      <c r="AE99" s="582">
        <f t="shared" si="86"/>
        <v>0</v>
      </c>
      <c r="AF99" s="582">
        <f t="shared" si="86"/>
        <v>0</v>
      </c>
      <c r="AG99" s="582">
        <f t="shared" si="86"/>
        <v>0</v>
      </c>
      <c r="AH99" s="582">
        <f t="shared" si="86"/>
        <v>0</v>
      </c>
      <c r="AI99" s="588"/>
      <c r="AJ99" s="583"/>
      <c r="AK99" s="582"/>
      <c r="AL99" s="582"/>
      <c r="AM99" s="582"/>
      <c r="AN99" s="582"/>
      <c r="AO99" s="582"/>
      <c r="AP99" s="582"/>
      <c r="AQ99" s="582"/>
      <c r="AR99" s="582"/>
      <c r="AS99" s="582"/>
      <c r="AT99" s="582"/>
      <c r="AU99" s="582"/>
      <c r="AV99" s="582"/>
      <c r="AW99" s="582"/>
      <c r="AX99" s="582"/>
      <c r="AY99" s="582"/>
      <c r="AZ99" s="582"/>
      <c r="BA99" s="582"/>
      <c r="BB99" s="582"/>
      <c r="BC99" s="582"/>
      <c r="BD99" s="582"/>
      <c r="BE99" s="582"/>
      <c r="BF99" s="582"/>
      <c r="BG99" s="582"/>
      <c r="BH99" s="582"/>
      <c r="BI99" s="582"/>
      <c r="BJ99" s="582"/>
      <c r="BK99" s="582"/>
      <c r="BL99" s="584"/>
    </row>
    <row r="100" spans="3:64" s="586" customFormat="1">
      <c r="E100" s="587"/>
      <c r="F100" s="588"/>
      <c r="G100" s="582">
        <f t="shared" ref="G100:T100" si="87">SUM(G71:G86)-G41</f>
        <v>0</v>
      </c>
      <c r="H100" s="582">
        <f t="shared" si="87"/>
        <v>0</v>
      </c>
      <c r="I100" s="582">
        <f t="shared" si="87"/>
        <v>0</v>
      </c>
      <c r="J100" s="582">
        <f t="shared" si="87"/>
        <v>0</v>
      </c>
      <c r="K100" s="582">
        <f t="shared" si="87"/>
        <v>0</v>
      </c>
      <c r="L100" s="582">
        <f t="shared" si="87"/>
        <v>0</v>
      </c>
      <c r="M100" s="582">
        <f t="shared" si="87"/>
        <v>0</v>
      </c>
      <c r="N100" s="582">
        <f t="shared" si="87"/>
        <v>0</v>
      </c>
      <c r="O100" s="582">
        <f t="shared" si="87"/>
        <v>0</v>
      </c>
      <c r="P100" s="582">
        <f t="shared" si="87"/>
        <v>0</v>
      </c>
      <c r="Q100" s="582">
        <f t="shared" si="87"/>
        <v>0</v>
      </c>
      <c r="R100" s="582">
        <f t="shared" si="87"/>
        <v>0</v>
      </c>
      <c r="S100" s="582">
        <f t="shared" si="87"/>
        <v>0</v>
      </c>
      <c r="T100" s="582">
        <f t="shared" si="87"/>
        <v>0</v>
      </c>
      <c r="U100" s="582"/>
      <c r="V100" s="582">
        <f t="shared" ref="V100:AH100" si="88">SUM(V71:V86)-V41</f>
        <v>0</v>
      </c>
      <c r="W100" s="582">
        <f t="shared" si="88"/>
        <v>0</v>
      </c>
      <c r="X100" s="582">
        <f t="shared" si="88"/>
        <v>0</v>
      </c>
      <c r="Y100" s="582">
        <f t="shared" si="88"/>
        <v>0</v>
      </c>
      <c r="Z100" s="582">
        <f t="shared" si="88"/>
        <v>0</v>
      </c>
      <c r="AA100" s="582">
        <f t="shared" si="88"/>
        <v>0</v>
      </c>
      <c r="AB100" s="582">
        <f t="shared" si="88"/>
        <v>0</v>
      </c>
      <c r="AC100" s="582">
        <f t="shared" si="88"/>
        <v>0</v>
      </c>
      <c r="AD100" s="582">
        <f t="shared" si="88"/>
        <v>0</v>
      </c>
      <c r="AE100" s="582">
        <f t="shared" si="88"/>
        <v>0</v>
      </c>
      <c r="AF100" s="582">
        <f t="shared" si="88"/>
        <v>0</v>
      </c>
      <c r="AG100" s="582">
        <f t="shared" si="88"/>
        <v>0</v>
      </c>
      <c r="AH100" s="582">
        <f t="shared" si="88"/>
        <v>0</v>
      </c>
      <c r="AI100" s="588"/>
      <c r="AJ100" s="583"/>
      <c r="AK100" s="582"/>
      <c r="AL100" s="582"/>
      <c r="AM100" s="582"/>
      <c r="AN100" s="582"/>
      <c r="AO100" s="582"/>
      <c r="AP100" s="582"/>
      <c r="AQ100" s="582"/>
      <c r="AR100" s="582"/>
      <c r="AS100" s="582"/>
      <c r="AT100" s="582"/>
      <c r="AU100" s="582"/>
      <c r="AV100" s="582"/>
      <c r="AW100" s="582"/>
      <c r="AX100" s="582"/>
      <c r="AY100" s="582"/>
      <c r="AZ100" s="582"/>
      <c r="BA100" s="582"/>
      <c r="BB100" s="582"/>
      <c r="BC100" s="582"/>
      <c r="BD100" s="582"/>
      <c r="BE100" s="582"/>
      <c r="BF100" s="582"/>
      <c r="BG100" s="582"/>
      <c r="BH100" s="582"/>
      <c r="BI100" s="582"/>
      <c r="BJ100" s="582"/>
      <c r="BK100" s="582"/>
      <c r="BL100" s="584"/>
    </row>
    <row r="101" spans="3:64" s="589" customFormat="1">
      <c r="D101" s="590"/>
      <c r="E101" s="587"/>
      <c r="F101" s="588"/>
      <c r="G101" s="591"/>
      <c r="H101" s="591"/>
      <c r="I101" s="591"/>
      <c r="J101" s="591"/>
      <c r="K101" s="591"/>
      <c r="L101" s="591"/>
      <c r="M101" s="591"/>
      <c r="N101" s="591"/>
      <c r="O101" s="591"/>
      <c r="P101" s="591"/>
      <c r="Q101" s="591"/>
      <c r="R101" s="591"/>
      <c r="S101" s="591"/>
      <c r="T101" s="591"/>
      <c r="U101" s="588"/>
      <c r="V101" s="591"/>
      <c r="W101" s="591"/>
      <c r="X101" s="591"/>
      <c r="Y101" s="591"/>
      <c r="Z101" s="591"/>
      <c r="AA101" s="591"/>
      <c r="AB101" s="591"/>
      <c r="AC101" s="591"/>
      <c r="AD101" s="591"/>
      <c r="AE101" s="591"/>
      <c r="AF101" s="591"/>
      <c r="AG101" s="591"/>
      <c r="AH101" s="591"/>
      <c r="AI101" s="588"/>
      <c r="AJ101" s="583"/>
      <c r="AK101" s="582"/>
      <c r="AL101" s="582"/>
      <c r="AM101" s="582"/>
      <c r="AN101" s="582"/>
      <c r="AO101" s="582"/>
      <c r="AP101" s="582"/>
      <c r="AR101" s="582"/>
      <c r="AS101" s="582"/>
      <c r="AT101" s="582"/>
      <c r="AU101" s="582"/>
      <c r="AV101" s="582"/>
      <c r="AW101" s="582"/>
      <c r="AX101" s="582"/>
      <c r="AY101" s="582"/>
      <c r="AZ101" s="582"/>
      <c r="BA101" s="582"/>
      <c r="BB101" s="582"/>
      <c r="BC101" s="582"/>
      <c r="BD101" s="582"/>
      <c r="BE101" s="582"/>
      <c r="BF101" s="582"/>
      <c r="BG101" s="582"/>
      <c r="BH101" s="582"/>
      <c r="BI101" s="582"/>
      <c r="BJ101" s="582"/>
      <c r="BK101" s="582"/>
      <c r="BL101" s="584"/>
    </row>
    <row r="102" spans="3:64" s="589" customFormat="1" ht="6" customHeight="1">
      <c r="C102" s="592"/>
      <c r="D102" s="590"/>
      <c r="E102" s="591"/>
      <c r="F102" s="591"/>
      <c r="G102" s="591"/>
      <c r="H102" s="591"/>
      <c r="I102" s="591"/>
      <c r="J102" s="591"/>
      <c r="K102" s="591"/>
      <c r="L102" s="591"/>
      <c r="M102" s="591"/>
      <c r="N102" s="591"/>
      <c r="O102" s="591"/>
      <c r="P102" s="591"/>
      <c r="Q102" s="591"/>
      <c r="R102" s="591"/>
      <c r="S102" s="591"/>
      <c r="T102" s="591"/>
      <c r="U102" s="591"/>
      <c r="V102" s="591"/>
      <c r="W102" s="591"/>
      <c r="X102" s="591"/>
      <c r="Y102" s="591"/>
      <c r="Z102" s="591"/>
      <c r="AA102" s="591"/>
      <c r="AB102" s="591"/>
      <c r="AC102" s="591"/>
      <c r="AD102" s="591"/>
      <c r="AE102" s="591"/>
      <c r="AF102" s="591"/>
      <c r="AG102" s="591"/>
      <c r="AH102" s="591"/>
      <c r="AI102" s="588"/>
      <c r="AJ102" s="583"/>
      <c r="AK102" s="582"/>
      <c r="AL102" s="582"/>
      <c r="AM102" s="582"/>
      <c r="AN102" s="582"/>
      <c r="AO102" s="582"/>
      <c r="AP102" s="582"/>
      <c r="AR102" s="582"/>
      <c r="AS102" s="582"/>
      <c r="AT102" s="582"/>
      <c r="AU102" s="582"/>
      <c r="AV102" s="582"/>
      <c r="AW102" s="582"/>
      <c r="AX102" s="582"/>
      <c r="AY102" s="582"/>
      <c r="AZ102" s="582"/>
      <c r="BA102" s="582"/>
      <c r="BB102" s="582"/>
      <c r="BC102" s="582"/>
      <c r="BD102" s="582"/>
      <c r="BE102" s="582"/>
      <c r="BF102" s="582"/>
      <c r="BG102" s="582"/>
      <c r="BH102" s="582"/>
      <c r="BI102" s="582"/>
      <c r="BJ102" s="582"/>
      <c r="BK102" s="582"/>
      <c r="BL102" s="584"/>
    </row>
    <row r="103" spans="3:64" s="589" customFormat="1">
      <c r="C103" s="589" t="s">
        <v>16</v>
      </c>
      <c r="D103" s="590"/>
      <c r="E103" s="591"/>
      <c r="F103" s="591"/>
      <c r="G103" s="591"/>
      <c r="H103" s="591"/>
      <c r="I103" s="591"/>
      <c r="J103" s="591"/>
      <c r="K103" s="591"/>
      <c r="L103" s="591"/>
      <c r="M103" s="591"/>
      <c r="N103" s="591"/>
      <c r="O103" s="591"/>
      <c r="P103" s="591"/>
      <c r="Q103" s="591"/>
      <c r="R103" s="591"/>
      <c r="S103" s="591"/>
      <c r="T103" s="591"/>
      <c r="U103" s="591"/>
      <c r="V103" s="591"/>
      <c r="W103" s="591"/>
      <c r="X103" s="591"/>
      <c r="Y103" s="591"/>
      <c r="Z103" s="591"/>
      <c r="AA103" s="591"/>
      <c r="AB103" s="591"/>
      <c r="AC103" s="591"/>
      <c r="AD103" s="591"/>
      <c r="AE103" s="591"/>
      <c r="AF103" s="591"/>
      <c r="AG103" s="591"/>
      <c r="AH103" s="591"/>
      <c r="AI103" s="588"/>
      <c r="AJ103" s="583"/>
      <c r="AK103" s="582"/>
      <c r="AL103" s="582"/>
      <c r="AM103" s="582"/>
      <c r="AN103" s="582"/>
      <c r="AO103" s="582"/>
      <c r="AP103" s="582"/>
      <c r="AR103" s="582"/>
      <c r="AS103" s="582"/>
      <c r="AT103" s="582"/>
      <c r="AU103" s="582"/>
      <c r="AV103" s="582"/>
      <c r="AW103" s="582"/>
      <c r="AX103" s="582"/>
      <c r="AY103" s="582"/>
      <c r="AZ103" s="582"/>
      <c r="BA103" s="582"/>
      <c r="BB103" s="582"/>
      <c r="BC103" s="582"/>
      <c r="BD103" s="582"/>
      <c r="BE103" s="582"/>
      <c r="BF103" s="582"/>
      <c r="BG103" s="582"/>
      <c r="BH103" s="582"/>
      <c r="BI103" s="582"/>
      <c r="BJ103" s="582"/>
      <c r="BK103" s="582"/>
      <c r="BL103" s="584"/>
    </row>
    <row r="104" spans="3:64" s="589" customFormat="1">
      <c r="C104" s="589" t="s">
        <v>17</v>
      </c>
      <c r="D104" s="590"/>
      <c r="E104" s="591"/>
      <c r="F104" s="591"/>
      <c r="G104" s="591"/>
      <c r="H104" s="591"/>
      <c r="I104" s="591"/>
      <c r="J104" s="591"/>
      <c r="K104" s="591"/>
      <c r="L104" s="591"/>
      <c r="M104" s="591"/>
      <c r="N104" s="591"/>
      <c r="O104" s="591"/>
      <c r="P104" s="591"/>
      <c r="Q104" s="591"/>
      <c r="R104" s="591"/>
      <c r="S104" s="591"/>
      <c r="T104" s="591"/>
      <c r="U104" s="591"/>
      <c r="V104" s="591"/>
      <c r="W104" s="591"/>
      <c r="X104" s="591"/>
      <c r="Y104" s="591"/>
      <c r="Z104" s="591"/>
      <c r="AA104" s="591"/>
      <c r="AB104" s="591"/>
      <c r="AC104" s="591"/>
      <c r="AD104" s="591"/>
      <c r="AE104" s="591"/>
      <c r="AF104" s="591"/>
      <c r="AG104" s="591"/>
      <c r="AH104" s="591"/>
      <c r="AI104" s="588"/>
      <c r="AJ104" s="583"/>
      <c r="AK104" s="582"/>
      <c r="AL104" s="582"/>
      <c r="AM104" s="582"/>
      <c r="AN104" s="582"/>
      <c r="AO104" s="582"/>
      <c r="AP104" s="582"/>
      <c r="AR104" s="582"/>
      <c r="AS104" s="582"/>
      <c r="AT104" s="582"/>
      <c r="AU104" s="582"/>
      <c r="AV104" s="582"/>
      <c r="AW104" s="582"/>
      <c r="AX104" s="582"/>
      <c r="AY104" s="582"/>
      <c r="AZ104" s="582"/>
      <c r="BA104" s="582"/>
      <c r="BB104" s="582"/>
      <c r="BC104" s="582"/>
      <c r="BD104" s="582"/>
      <c r="BE104" s="582"/>
      <c r="BF104" s="582"/>
      <c r="BG104" s="582"/>
      <c r="BH104" s="582"/>
      <c r="BI104" s="582"/>
      <c r="BJ104" s="582"/>
      <c r="BK104" s="582"/>
      <c r="BL104" s="584"/>
    </row>
    <row r="105" spans="3:64" s="589" customFormat="1">
      <c r="C105" s="589" t="s">
        <v>18</v>
      </c>
      <c r="D105" s="590"/>
      <c r="E105" s="591"/>
      <c r="F105" s="591"/>
      <c r="G105" s="591"/>
      <c r="H105" s="591"/>
      <c r="I105" s="591"/>
      <c r="J105" s="591"/>
      <c r="K105" s="591"/>
      <c r="L105" s="591"/>
      <c r="M105" s="591"/>
      <c r="N105" s="591"/>
      <c r="O105" s="591"/>
      <c r="P105" s="591"/>
      <c r="Q105" s="591"/>
      <c r="R105" s="591"/>
      <c r="S105" s="591"/>
      <c r="T105" s="591"/>
      <c r="U105" s="591"/>
      <c r="V105" s="591"/>
      <c r="W105" s="591"/>
      <c r="X105" s="591"/>
      <c r="Y105" s="591"/>
      <c r="Z105" s="591"/>
      <c r="AA105" s="591"/>
      <c r="AB105" s="591"/>
      <c r="AC105" s="591"/>
      <c r="AD105" s="591"/>
      <c r="AE105" s="591"/>
      <c r="AF105" s="591"/>
      <c r="AG105" s="591"/>
      <c r="AH105" s="591"/>
      <c r="AI105" s="588"/>
      <c r="AJ105" s="583"/>
      <c r="AK105" s="582"/>
      <c r="AL105" s="582"/>
      <c r="AM105" s="582"/>
      <c r="AN105" s="582"/>
      <c r="AO105" s="582"/>
      <c r="AP105" s="582"/>
      <c r="AR105" s="582"/>
      <c r="AS105" s="582"/>
      <c r="AT105" s="582"/>
      <c r="AU105" s="582"/>
      <c r="AV105" s="582"/>
      <c r="AW105" s="582"/>
      <c r="AX105" s="582"/>
      <c r="AY105" s="582"/>
      <c r="AZ105" s="582"/>
      <c r="BA105" s="582"/>
      <c r="BB105" s="582"/>
      <c r="BC105" s="582"/>
      <c r="BD105" s="582"/>
      <c r="BE105" s="582"/>
      <c r="BF105" s="582"/>
      <c r="BG105" s="582"/>
      <c r="BH105" s="582"/>
      <c r="BI105" s="582"/>
      <c r="BJ105" s="582"/>
      <c r="BK105" s="582"/>
      <c r="BL105" s="584"/>
    </row>
    <row r="106" spans="3:64" s="589" customFormat="1">
      <c r="C106" s="589" t="s">
        <v>19</v>
      </c>
      <c r="D106" s="590"/>
      <c r="E106" s="591"/>
      <c r="F106" s="591"/>
      <c r="G106" s="591"/>
      <c r="H106" s="591"/>
      <c r="I106" s="591"/>
      <c r="J106" s="591"/>
      <c r="K106" s="591"/>
      <c r="L106" s="591"/>
      <c r="M106" s="591"/>
      <c r="N106" s="591"/>
      <c r="O106" s="591"/>
      <c r="P106" s="591"/>
      <c r="Q106" s="591"/>
      <c r="R106" s="591"/>
      <c r="S106" s="591"/>
      <c r="T106" s="591"/>
      <c r="U106" s="591"/>
      <c r="V106" s="591"/>
      <c r="W106" s="591"/>
      <c r="X106" s="591"/>
      <c r="Y106" s="591"/>
      <c r="Z106" s="591"/>
      <c r="AA106" s="591"/>
      <c r="AB106" s="591"/>
      <c r="AC106" s="591"/>
      <c r="AD106" s="591"/>
      <c r="AE106" s="591"/>
      <c r="AF106" s="591"/>
      <c r="AG106" s="591"/>
      <c r="AH106" s="591"/>
      <c r="AI106" s="588"/>
      <c r="AJ106" s="583"/>
      <c r="AK106" s="582"/>
      <c r="AL106" s="582"/>
      <c r="AM106" s="582"/>
      <c r="AN106" s="582"/>
      <c r="AO106" s="582"/>
      <c r="AP106" s="582"/>
      <c r="AR106" s="582"/>
      <c r="AS106" s="582"/>
      <c r="AT106" s="582"/>
      <c r="AU106" s="582"/>
      <c r="AV106" s="582"/>
      <c r="AW106" s="582"/>
      <c r="AX106" s="582"/>
      <c r="AY106" s="582"/>
      <c r="AZ106" s="582"/>
      <c r="BA106" s="582"/>
      <c r="BB106" s="582"/>
      <c r="BC106" s="582"/>
      <c r="BD106" s="582"/>
      <c r="BE106" s="582"/>
      <c r="BF106" s="582"/>
      <c r="BG106" s="582"/>
      <c r="BH106" s="582"/>
      <c r="BI106" s="582"/>
      <c r="BJ106" s="582"/>
      <c r="BK106" s="582"/>
      <c r="BL106" s="584"/>
    </row>
    <row r="107" spans="3:64" s="589" customFormat="1">
      <c r="C107" s="589" t="s">
        <v>20</v>
      </c>
      <c r="D107" s="590"/>
      <c r="E107" s="591"/>
      <c r="F107" s="591"/>
      <c r="G107" s="591"/>
      <c r="H107" s="591"/>
      <c r="I107" s="591"/>
      <c r="J107" s="591"/>
      <c r="K107" s="591"/>
      <c r="L107" s="591"/>
      <c r="M107" s="591"/>
      <c r="N107" s="591"/>
      <c r="O107" s="591"/>
      <c r="P107" s="591"/>
      <c r="Q107" s="591"/>
      <c r="R107" s="591"/>
      <c r="S107" s="591"/>
      <c r="T107" s="591"/>
      <c r="U107" s="591"/>
      <c r="V107" s="591"/>
      <c r="W107" s="591"/>
      <c r="X107" s="591"/>
      <c r="Y107" s="591"/>
      <c r="Z107" s="591"/>
      <c r="AA107" s="591"/>
      <c r="AB107" s="591"/>
      <c r="AC107" s="591"/>
      <c r="AD107" s="591"/>
      <c r="AE107" s="591"/>
      <c r="AF107" s="591"/>
      <c r="AG107" s="591"/>
      <c r="AH107" s="591"/>
      <c r="AI107" s="588"/>
      <c r="AJ107" s="583"/>
      <c r="AK107" s="582"/>
      <c r="AL107" s="582"/>
      <c r="AM107" s="582"/>
      <c r="AN107" s="582"/>
      <c r="AO107" s="582"/>
      <c r="AP107" s="582"/>
      <c r="AR107" s="582"/>
      <c r="AS107" s="582"/>
      <c r="AT107" s="582"/>
      <c r="AU107" s="582"/>
      <c r="AV107" s="582"/>
      <c r="AW107" s="582"/>
      <c r="AX107" s="582"/>
      <c r="AY107" s="582"/>
      <c r="AZ107" s="582"/>
      <c r="BA107" s="582"/>
      <c r="BB107" s="582"/>
      <c r="BC107" s="582"/>
      <c r="BD107" s="582"/>
      <c r="BE107" s="582"/>
      <c r="BF107" s="582"/>
      <c r="BG107" s="582"/>
      <c r="BH107" s="582"/>
      <c r="BI107" s="582"/>
      <c r="BJ107" s="582"/>
      <c r="BK107" s="582"/>
      <c r="BL107" s="584"/>
    </row>
    <row r="108" spans="3:64" s="589" customFormat="1">
      <c r="C108" s="589" t="s">
        <v>21</v>
      </c>
      <c r="D108" s="590"/>
      <c r="E108" s="591"/>
      <c r="F108" s="591"/>
      <c r="G108" s="591"/>
      <c r="H108" s="591"/>
      <c r="I108" s="591"/>
      <c r="J108" s="591"/>
      <c r="K108" s="591"/>
      <c r="L108" s="591"/>
      <c r="M108" s="591"/>
      <c r="N108" s="591"/>
      <c r="O108" s="591"/>
      <c r="P108" s="591"/>
      <c r="Q108" s="591"/>
      <c r="R108" s="591"/>
      <c r="S108" s="591"/>
      <c r="T108" s="591"/>
      <c r="U108" s="591"/>
      <c r="V108" s="591"/>
      <c r="W108" s="591"/>
      <c r="X108" s="591"/>
      <c r="Y108" s="591"/>
      <c r="Z108" s="591"/>
      <c r="AA108" s="591"/>
      <c r="AB108" s="591"/>
      <c r="AC108" s="591"/>
      <c r="AD108" s="591"/>
      <c r="AE108" s="591"/>
      <c r="AF108" s="591"/>
      <c r="AG108" s="591"/>
      <c r="AH108" s="591"/>
      <c r="AI108" s="588"/>
      <c r="AJ108" s="583"/>
      <c r="AK108" s="582"/>
      <c r="AL108" s="582"/>
      <c r="AM108" s="582"/>
      <c r="AN108" s="582"/>
      <c r="AO108" s="582"/>
      <c r="AP108" s="582"/>
      <c r="AR108" s="582"/>
      <c r="AS108" s="582"/>
      <c r="AT108" s="582"/>
      <c r="AU108" s="582"/>
      <c r="AV108" s="582"/>
      <c r="AW108" s="582"/>
      <c r="AX108" s="582"/>
      <c r="AY108" s="582"/>
      <c r="AZ108" s="582"/>
      <c r="BA108" s="582"/>
      <c r="BB108" s="582"/>
      <c r="BC108" s="582"/>
      <c r="BD108" s="582"/>
      <c r="BE108" s="582"/>
      <c r="BF108" s="582"/>
      <c r="BG108" s="582"/>
      <c r="BH108" s="582"/>
      <c r="BI108" s="582"/>
      <c r="BJ108" s="582"/>
      <c r="BK108" s="582"/>
      <c r="BL108" s="584"/>
    </row>
    <row r="109" spans="3:64" s="589" customFormat="1">
      <c r="C109" s="589" t="s">
        <v>58</v>
      </c>
      <c r="D109" s="590"/>
      <c r="E109" s="591"/>
      <c r="F109" s="591"/>
      <c r="G109" s="591"/>
      <c r="H109" s="591"/>
      <c r="I109" s="591"/>
      <c r="J109" s="591"/>
      <c r="K109" s="591"/>
      <c r="L109" s="591"/>
      <c r="M109" s="591"/>
      <c r="N109" s="591"/>
      <c r="O109" s="591"/>
      <c r="P109" s="591"/>
      <c r="Q109" s="591"/>
      <c r="R109" s="591"/>
      <c r="S109" s="591"/>
      <c r="T109" s="591"/>
      <c r="U109" s="591"/>
      <c r="V109" s="591"/>
      <c r="W109" s="591"/>
      <c r="X109" s="591"/>
      <c r="Y109" s="591"/>
      <c r="Z109" s="591"/>
      <c r="AA109" s="591"/>
      <c r="AB109" s="591"/>
      <c r="AC109" s="591"/>
      <c r="AD109" s="591"/>
      <c r="AE109" s="591"/>
      <c r="AF109" s="591"/>
      <c r="AG109" s="591"/>
      <c r="AH109" s="591"/>
      <c r="AI109" s="588"/>
      <c r="AJ109" s="583"/>
      <c r="AK109" s="582"/>
      <c r="AL109" s="582"/>
      <c r="AM109" s="582"/>
      <c r="AN109" s="582"/>
      <c r="AO109" s="582"/>
      <c r="AP109" s="582"/>
      <c r="AR109" s="582"/>
      <c r="AS109" s="582"/>
      <c r="AT109" s="582"/>
      <c r="AU109" s="582"/>
      <c r="AV109" s="582"/>
      <c r="AW109" s="582"/>
      <c r="AX109" s="582"/>
      <c r="AY109" s="582"/>
      <c r="AZ109" s="582"/>
      <c r="BA109" s="582"/>
      <c r="BB109" s="582"/>
      <c r="BC109" s="582"/>
      <c r="BD109" s="582"/>
      <c r="BE109" s="582"/>
      <c r="BF109" s="582"/>
      <c r="BG109" s="582"/>
      <c r="BH109" s="582"/>
      <c r="BI109" s="582"/>
      <c r="BJ109" s="582"/>
      <c r="BK109" s="582"/>
      <c r="BL109" s="584"/>
    </row>
    <row r="110" spans="3:64" s="589" customFormat="1">
      <c r="C110" s="589" t="s">
        <v>22</v>
      </c>
      <c r="D110" s="590"/>
      <c r="E110" s="591"/>
      <c r="F110" s="591"/>
      <c r="G110" s="591"/>
      <c r="H110" s="591"/>
      <c r="I110" s="591"/>
      <c r="J110" s="591"/>
      <c r="K110" s="591"/>
      <c r="L110" s="591"/>
      <c r="M110" s="591"/>
      <c r="N110" s="591"/>
      <c r="O110" s="591"/>
      <c r="P110" s="591"/>
      <c r="Q110" s="591"/>
      <c r="R110" s="591"/>
      <c r="S110" s="591"/>
      <c r="T110" s="591"/>
      <c r="U110" s="591"/>
      <c r="V110" s="591"/>
      <c r="W110" s="591"/>
      <c r="X110" s="591"/>
      <c r="Y110" s="591"/>
      <c r="Z110" s="591"/>
      <c r="AA110" s="591"/>
      <c r="AB110" s="591"/>
      <c r="AC110" s="591"/>
      <c r="AD110" s="591"/>
      <c r="AE110" s="591"/>
      <c r="AF110" s="591"/>
      <c r="AG110" s="591"/>
      <c r="AH110" s="591"/>
      <c r="AI110" s="588"/>
      <c r="AJ110" s="583"/>
      <c r="AK110" s="582"/>
      <c r="AL110" s="582"/>
      <c r="AM110" s="582"/>
      <c r="AN110" s="582"/>
      <c r="AO110" s="582"/>
      <c r="AP110" s="582"/>
      <c r="AR110" s="582"/>
      <c r="AS110" s="582"/>
      <c r="AT110" s="582"/>
      <c r="AU110" s="582"/>
      <c r="AV110" s="582"/>
      <c r="AW110" s="582"/>
      <c r="AX110" s="582"/>
      <c r="AY110" s="582"/>
      <c r="AZ110" s="582"/>
      <c r="BA110" s="582"/>
      <c r="BB110" s="582"/>
      <c r="BC110" s="582"/>
      <c r="BD110" s="582"/>
      <c r="BE110" s="582"/>
      <c r="BF110" s="582"/>
      <c r="BG110" s="582"/>
      <c r="BH110" s="582"/>
      <c r="BI110" s="582"/>
      <c r="BJ110" s="582"/>
      <c r="BK110" s="582"/>
      <c r="BL110" s="584"/>
    </row>
    <row r="111" spans="3:64" s="589" customFormat="1">
      <c r="C111" s="589" t="s">
        <v>23</v>
      </c>
      <c r="D111" s="590"/>
      <c r="E111" s="591"/>
      <c r="F111" s="591"/>
      <c r="G111" s="591"/>
      <c r="H111" s="591"/>
      <c r="I111" s="591"/>
      <c r="J111" s="591"/>
      <c r="K111" s="591"/>
      <c r="L111" s="591"/>
      <c r="M111" s="591"/>
      <c r="N111" s="591"/>
      <c r="O111" s="591"/>
      <c r="P111" s="591"/>
      <c r="Q111" s="591"/>
      <c r="R111" s="591"/>
      <c r="S111" s="591"/>
      <c r="T111" s="591"/>
      <c r="U111" s="591"/>
      <c r="V111" s="591"/>
      <c r="W111" s="591"/>
      <c r="X111" s="591"/>
      <c r="Y111" s="591"/>
      <c r="Z111" s="591"/>
      <c r="AA111" s="591"/>
      <c r="AB111" s="591"/>
      <c r="AC111" s="591"/>
      <c r="AD111" s="591"/>
      <c r="AE111" s="591"/>
      <c r="AF111" s="591"/>
      <c r="AG111" s="591"/>
      <c r="AH111" s="591"/>
      <c r="AI111" s="588"/>
      <c r="AJ111" s="583"/>
      <c r="AK111" s="582"/>
      <c r="AL111" s="582"/>
      <c r="AM111" s="582"/>
      <c r="AN111" s="582"/>
      <c r="AO111" s="582"/>
      <c r="AP111" s="582"/>
      <c r="AR111" s="582"/>
      <c r="AS111" s="582"/>
      <c r="AT111" s="582"/>
      <c r="AU111" s="582"/>
      <c r="AV111" s="582"/>
      <c r="AW111" s="582"/>
      <c r="AX111" s="582"/>
      <c r="AY111" s="582"/>
      <c r="AZ111" s="582"/>
      <c r="BA111" s="582"/>
      <c r="BB111" s="582"/>
      <c r="BC111" s="582"/>
      <c r="BD111" s="582"/>
      <c r="BE111" s="582"/>
      <c r="BF111" s="582"/>
      <c r="BG111" s="582"/>
      <c r="BH111" s="582"/>
      <c r="BI111" s="582"/>
      <c r="BJ111" s="582"/>
      <c r="BK111" s="582"/>
      <c r="BL111" s="584"/>
    </row>
    <row r="112" spans="3:64" s="589" customFormat="1">
      <c r="C112" s="589" t="s">
        <v>24</v>
      </c>
      <c r="D112" s="590"/>
      <c r="E112" s="591"/>
      <c r="F112" s="591"/>
      <c r="G112" s="591"/>
      <c r="H112" s="591"/>
      <c r="I112" s="591"/>
      <c r="J112" s="591"/>
      <c r="K112" s="591"/>
      <c r="L112" s="591"/>
      <c r="M112" s="591"/>
      <c r="N112" s="591"/>
      <c r="O112" s="591"/>
      <c r="P112" s="591"/>
      <c r="Q112" s="591"/>
      <c r="R112" s="591"/>
      <c r="S112" s="591"/>
      <c r="T112" s="591"/>
      <c r="U112" s="591"/>
      <c r="V112" s="591"/>
      <c r="W112" s="591"/>
      <c r="X112" s="591"/>
      <c r="Y112" s="591"/>
      <c r="Z112" s="591"/>
      <c r="AA112" s="591"/>
      <c r="AB112" s="591"/>
      <c r="AC112" s="591"/>
      <c r="AD112" s="591"/>
      <c r="AE112" s="591"/>
      <c r="AF112" s="591"/>
      <c r="AG112" s="591"/>
      <c r="AH112" s="591"/>
      <c r="AI112" s="588"/>
      <c r="AJ112" s="583"/>
      <c r="AK112" s="582"/>
      <c r="AL112" s="582"/>
      <c r="AM112" s="582"/>
      <c r="AN112" s="582"/>
      <c r="AO112" s="582"/>
      <c r="AP112" s="582"/>
      <c r="AR112" s="582"/>
      <c r="AS112" s="582"/>
      <c r="AT112" s="582"/>
      <c r="AU112" s="582"/>
      <c r="AV112" s="582"/>
      <c r="AW112" s="582"/>
      <c r="AX112" s="582"/>
      <c r="AY112" s="582"/>
      <c r="AZ112" s="582"/>
      <c r="BA112" s="582"/>
      <c r="BB112" s="582"/>
      <c r="BC112" s="582"/>
      <c r="BD112" s="582"/>
      <c r="BE112" s="582"/>
      <c r="BF112" s="582"/>
      <c r="BG112" s="582"/>
      <c r="BH112" s="582"/>
      <c r="BI112" s="582"/>
      <c r="BJ112" s="582"/>
      <c r="BK112" s="582"/>
      <c r="BL112" s="584"/>
    </row>
    <row r="113" spans="3:64" s="589" customFormat="1">
      <c r="C113" s="589" t="s">
        <v>25</v>
      </c>
      <c r="D113" s="590"/>
      <c r="E113" s="591"/>
      <c r="F113" s="591"/>
      <c r="G113" s="591"/>
      <c r="H113" s="591"/>
      <c r="I113" s="591"/>
      <c r="J113" s="591"/>
      <c r="K113" s="591"/>
      <c r="L113" s="591"/>
      <c r="M113" s="591"/>
      <c r="N113" s="591"/>
      <c r="O113" s="591"/>
      <c r="P113" s="591"/>
      <c r="Q113" s="591"/>
      <c r="R113" s="591"/>
      <c r="S113" s="591"/>
      <c r="T113" s="591"/>
      <c r="U113" s="591"/>
      <c r="V113" s="591"/>
      <c r="W113" s="591"/>
      <c r="X113" s="591"/>
      <c r="Y113" s="591"/>
      <c r="Z113" s="591"/>
      <c r="AA113" s="591"/>
      <c r="AB113" s="591"/>
      <c r="AC113" s="591"/>
      <c r="AD113" s="591"/>
      <c r="AE113" s="591"/>
      <c r="AF113" s="591"/>
      <c r="AG113" s="591"/>
      <c r="AH113" s="591"/>
      <c r="AI113" s="588"/>
      <c r="AJ113" s="583"/>
      <c r="AK113" s="582"/>
      <c r="AL113" s="582"/>
      <c r="AM113" s="582"/>
      <c r="AN113" s="582"/>
      <c r="AO113" s="582"/>
      <c r="AP113" s="582"/>
      <c r="AR113" s="582"/>
      <c r="AS113" s="582"/>
      <c r="AT113" s="582"/>
      <c r="AU113" s="582"/>
      <c r="AV113" s="582"/>
      <c r="AW113" s="582"/>
      <c r="AX113" s="582"/>
      <c r="AY113" s="582"/>
      <c r="AZ113" s="582"/>
      <c r="BA113" s="582"/>
      <c r="BB113" s="582"/>
      <c r="BC113" s="582"/>
      <c r="BD113" s="582"/>
      <c r="BE113" s="582"/>
      <c r="BF113" s="582"/>
      <c r="BG113" s="582"/>
      <c r="BH113" s="582"/>
      <c r="BI113" s="582"/>
      <c r="BJ113" s="582"/>
      <c r="BK113" s="582"/>
      <c r="BL113" s="584"/>
    </row>
    <row r="114" spans="3:64" s="589" customFormat="1">
      <c r="C114" s="589" t="s">
        <v>26</v>
      </c>
      <c r="D114" s="590"/>
      <c r="E114" s="591"/>
      <c r="F114" s="591"/>
      <c r="G114" s="591"/>
      <c r="H114" s="591"/>
      <c r="I114" s="591"/>
      <c r="J114" s="591"/>
      <c r="K114" s="591"/>
      <c r="L114" s="591"/>
      <c r="M114" s="591"/>
      <c r="N114" s="591"/>
      <c r="O114" s="591"/>
      <c r="P114" s="591"/>
      <c r="Q114" s="591"/>
      <c r="R114" s="591"/>
      <c r="S114" s="591"/>
      <c r="T114" s="591"/>
      <c r="U114" s="591"/>
      <c r="V114" s="591"/>
      <c r="W114" s="591"/>
      <c r="X114" s="591"/>
      <c r="Y114" s="591"/>
      <c r="Z114" s="591"/>
      <c r="AA114" s="591"/>
      <c r="AB114" s="591"/>
      <c r="AC114" s="591"/>
      <c r="AD114" s="591"/>
      <c r="AE114" s="591"/>
      <c r="AF114" s="591"/>
      <c r="AG114" s="591"/>
      <c r="AH114" s="591"/>
      <c r="AI114" s="588"/>
      <c r="AJ114" s="583"/>
      <c r="AK114" s="582"/>
      <c r="AL114" s="582"/>
      <c r="AM114" s="582"/>
      <c r="AN114" s="582"/>
      <c r="AO114" s="582"/>
      <c r="AP114" s="582"/>
      <c r="AR114" s="582"/>
      <c r="AS114" s="582"/>
      <c r="AT114" s="582"/>
      <c r="AU114" s="582"/>
      <c r="AV114" s="582"/>
      <c r="AW114" s="582"/>
      <c r="AX114" s="582"/>
      <c r="AY114" s="582"/>
      <c r="AZ114" s="582"/>
      <c r="BA114" s="582"/>
      <c r="BB114" s="582"/>
      <c r="BC114" s="582"/>
      <c r="BD114" s="582"/>
      <c r="BE114" s="582"/>
      <c r="BF114" s="582"/>
      <c r="BG114" s="582"/>
      <c r="BH114" s="582"/>
      <c r="BI114" s="582"/>
      <c r="BJ114" s="582"/>
      <c r="BK114" s="582"/>
      <c r="BL114" s="584"/>
    </row>
    <row r="115" spans="3:64" s="589" customFormat="1">
      <c r="C115" s="589" t="s">
        <v>27</v>
      </c>
      <c r="D115" s="590"/>
      <c r="E115" s="591"/>
      <c r="F115" s="591"/>
      <c r="G115" s="591"/>
      <c r="H115" s="591"/>
      <c r="I115" s="591"/>
      <c r="J115" s="591"/>
      <c r="K115" s="591"/>
      <c r="L115" s="591"/>
      <c r="M115" s="591"/>
      <c r="N115" s="591"/>
      <c r="O115" s="591"/>
      <c r="P115" s="591"/>
      <c r="Q115" s="591"/>
      <c r="R115" s="591"/>
      <c r="S115" s="591"/>
      <c r="T115" s="591"/>
      <c r="U115" s="591"/>
      <c r="V115" s="591"/>
      <c r="W115" s="591"/>
      <c r="X115" s="591"/>
      <c r="Y115" s="591"/>
      <c r="Z115" s="591"/>
      <c r="AA115" s="591"/>
      <c r="AB115" s="591"/>
      <c r="AC115" s="591"/>
      <c r="AD115" s="591"/>
      <c r="AE115" s="591"/>
      <c r="AF115" s="591"/>
      <c r="AG115" s="591"/>
      <c r="AH115" s="591"/>
      <c r="AI115" s="588"/>
      <c r="AJ115" s="583"/>
      <c r="AK115" s="582"/>
      <c r="AL115" s="582"/>
      <c r="AM115" s="582"/>
      <c r="AN115" s="582"/>
      <c r="AO115" s="582"/>
      <c r="AP115" s="582"/>
      <c r="AR115" s="582"/>
      <c r="AS115" s="582"/>
      <c r="AT115" s="582"/>
      <c r="AU115" s="582"/>
      <c r="AV115" s="582"/>
      <c r="AW115" s="582"/>
      <c r="AX115" s="582"/>
      <c r="AY115" s="582"/>
      <c r="AZ115" s="582"/>
      <c r="BA115" s="582"/>
      <c r="BB115" s="582"/>
      <c r="BC115" s="582"/>
      <c r="BD115" s="582"/>
      <c r="BE115" s="582"/>
      <c r="BF115" s="582"/>
      <c r="BG115" s="582"/>
      <c r="BH115" s="582"/>
      <c r="BI115" s="582"/>
      <c r="BJ115" s="582"/>
      <c r="BK115" s="582"/>
      <c r="BL115" s="584"/>
    </row>
    <row r="116" spans="3:64" s="589" customFormat="1">
      <c r="C116" s="589" t="s">
        <v>28</v>
      </c>
      <c r="D116" s="590"/>
      <c r="E116" s="591"/>
      <c r="F116" s="591"/>
      <c r="G116" s="591"/>
      <c r="H116" s="591"/>
      <c r="I116" s="591"/>
      <c r="J116" s="591"/>
      <c r="K116" s="591"/>
      <c r="L116" s="591"/>
      <c r="M116" s="591"/>
      <c r="N116" s="591"/>
      <c r="O116" s="591"/>
      <c r="P116" s="591"/>
      <c r="Q116" s="591"/>
      <c r="R116" s="591"/>
      <c r="S116" s="591"/>
      <c r="T116" s="591"/>
      <c r="U116" s="591"/>
      <c r="V116" s="591"/>
      <c r="W116" s="591"/>
      <c r="X116" s="591"/>
      <c r="Y116" s="591"/>
      <c r="Z116" s="591"/>
      <c r="AA116" s="591"/>
      <c r="AB116" s="591"/>
      <c r="AC116" s="591"/>
      <c r="AD116" s="591"/>
      <c r="AE116" s="591"/>
      <c r="AF116" s="591"/>
      <c r="AG116" s="591"/>
      <c r="AH116" s="591"/>
      <c r="AI116" s="588"/>
      <c r="AJ116" s="583"/>
      <c r="AK116" s="582"/>
      <c r="AL116" s="582"/>
      <c r="AM116" s="582"/>
      <c r="AN116" s="582"/>
      <c r="AO116" s="582"/>
      <c r="AP116" s="582"/>
      <c r="AR116" s="582"/>
      <c r="AS116" s="582"/>
      <c r="AT116" s="582"/>
      <c r="AU116" s="582"/>
      <c r="AV116" s="582"/>
      <c r="AW116" s="582"/>
      <c r="AX116" s="582"/>
      <c r="AY116" s="582"/>
      <c r="AZ116" s="582"/>
      <c r="BA116" s="582"/>
      <c r="BB116" s="582"/>
      <c r="BC116" s="582"/>
      <c r="BD116" s="582"/>
      <c r="BE116" s="582"/>
      <c r="BF116" s="582"/>
      <c r="BG116" s="582"/>
      <c r="BH116" s="582"/>
      <c r="BI116" s="582"/>
      <c r="BJ116" s="582"/>
      <c r="BK116" s="582"/>
      <c r="BL116" s="584"/>
    </row>
    <row r="117" spans="3:64" s="589" customFormat="1">
      <c r="C117" s="589" t="s">
        <v>29</v>
      </c>
      <c r="D117" s="590"/>
      <c r="E117" s="591"/>
      <c r="F117" s="591"/>
      <c r="G117" s="591"/>
      <c r="H117" s="591"/>
      <c r="I117" s="591"/>
      <c r="J117" s="591"/>
      <c r="K117" s="591"/>
      <c r="L117" s="591"/>
      <c r="M117" s="591"/>
      <c r="N117" s="591"/>
      <c r="O117" s="591"/>
      <c r="P117" s="591"/>
      <c r="Q117" s="591"/>
      <c r="R117" s="591"/>
      <c r="S117" s="591"/>
      <c r="T117" s="591"/>
      <c r="U117" s="591"/>
      <c r="V117" s="591"/>
      <c r="W117" s="591"/>
      <c r="X117" s="591"/>
      <c r="Y117" s="591"/>
      <c r="Z117" s="591"/>
      <c r="AA117" s="591"/>
      <c r="AB117" s="591"/>
      <c r="AC117" s="591"/>
      <c r="AD117" s="591"/>
      <c r="AE117" s="591"/>
      <c r="AF117" s="591"/>
      <c r="AG117" s="591"/>
      <c r="AH117" s="591"/>
      <c r="AI117" s="588"/>
      <c r="AJ117" s="583"/>
      <c r="AK117" s="582"/>
      <c r="AL117" s="582"/>
      <c r="AM117" s="582"/>
      <c r="AN117" s="582"/>
      <c r="AO117" s="582"/>
      <c r="AP117" s="582"/>
      <c r="AR117" s="582"/>
      <c r="AS117" s="582"/>
      <c r="AT117" s="582"/>
      <c r="AU117" s="582"/>
      <c r="AV117" s="582"/>
      <c r="AW117" s="582"/>
      <c r="AX117" s="582"/>
      <c r="AY117" s="582"/>
      <c r="AZ117" s="582"/>
      <c r="BA117" s="582"/>
      <c r="BB117" s="582"/>
      <c r="BC117" s="582"/>
      <c r="BD117" s="582"/>
      <c r="BE117" s="582"/>
      <c r="BF117" s="582"/>
      <c r="BG117" s="582"/>
      <c r="BH117" s="582"/>
      <c r="BI117" s="582"/>
      <c r="BJ117" s="582"/>
      <c r="BK117" s="582"/>
      <c r="BL117" s="584"/>
    </row>
    <row r="118" spans="3:64" s="589" customFormat="1">
      <c r="C118" s="589" t="s">
        <v>30</v>
      </c>
      <c r="D118" s="590"/>
      <c r="E118" s="591"/>
      <c r="F118" s="591"/>
      <c r="G118" s="591"/>
      <c r="H118" s="591"/>
      <c r="I118" s="591"/>
      <c r="J118" s="591"/>
      <c r="K118" s="591"/>
      <c r="L118" s="591"/>
      <c r="M118" s="591"/>
      <c r="N118" s="591"/>
      <c r="O118" s="591"/>
      <c r="P118" s="591"/>
      <c r="Q118" s="591"/>
      <c r="R118" s="591"/>
      <c r="S118" s="591"/>
      <c r="T118" s="591"/>
      <c r="U118" s="591"/>
      <c r="V118" s="591"/>
      <c r="W118" s="591"/>
      <c r="X118" s="591"/>
      <c r="Y118" s="591"/>
      <c r="Z118" s="591"/>
      <c r="AA118" s="591"/>
      <c r="AB118" s="591"/>
      <c r="AC118" s="591"/>
      <c r="AD118" s="591"/>
      <c r="AE118" s="591"/>
      <c r="AF118" s="591"/>
      <c r="AG118" s="591"/>
      <c r="AH118" s="591"/>
      <c r="AI118" s="588"/>
      <c r="AJ118" s="583"/>
      <c r="AK118" s="582"/>
      <c r="AL118" s="582"/>
      <c r="AM118" s="582"/>
      <c r="AN118" s="582"/>
      <c r="AO118" s="582"/>
      <c r="AP118" s="582"/>
      <c r="AR118" s="582"/>
      <c r="AS118" s="582"/>
      <c r="AT118" s="582"/>
      <c r="AU118" s="582"/>
      <c r="AV118" s="582"/>
      <c r="AW118" s="582"/>
      <c r="AX118" s="582"/>
      <c r="AY118" s="582"/>
      <c r="AZ118" s="582"/>
      <c r="BA118" s="582"/>
      <c r="BB118" s="582"/>
      <c r="BC118" s="582"/>
      <c r="BD118" s="582"/>
      <c r="BE118" s="582"/>
      <c r="BF118" s="582"/>
      <c r="BG118" s="582"/>
      <c r="BH118" s="582"/>
      <c r="BI118" s="582"/>
      <c r="BJ118" s="582"/>
      <c r="BK118" s="582"/>
      <c r="BL118" s="584"/>
    </row>
    <row r="119" spans="3:64" s="589" customFormat="1">
      <c r="C119" s="589" t="s">
        <v>85</v>
      </c>
      <c r="D119" s="590"/>
      <c r="E119" s="591"/>
      <c r="F119" s="591"/>
      <c r="G119" s="591"/>
      <c r="H119" s="591"/>
      <c r="I119" s="591"/>
      <c r="J119" s="591"/>
      <c r="K119" s="591"/>
      <c r="L119" s="591"/>
      <c r="M119" s="591"/>
      <c r="N119" s="591"/>
      <c r="O119" s="591"/>
      <c r="P119" s="591"/>
      <c r="Q119" s="591"/>
      <c r="R119" s="591"/>
      <c r="S119" s="591"/>
      <c r="T119" s="591"/>
      <c r="U119" s="591"/>
      <c r="V119" s="591"/>
      <c r="W119" s="591"/>
      <c r="X119" s="591"/>
      <c r="Y119" s="591"/>
      <c r="Z119" s="591"/>
      <c r="AA119" s="591"/>
      <c r="AB119" s="591"/>
      <c r="AC119" s="591"/>
      <c r="AD119" s="591"/>
      <c r="AE119" s="591"/>
      <c r="AF119" s="591"/>
      <c r="AG119" s="591"/>
      <c r="AH119" s="591"/>
      <c r="AI119" s="588"/>
      <c r="AJ119" s="583"/>
      <c r="AK119" s="582"/>
      <c r="AL119" s="582"/>
      <c r="AM119" s="582"/>
      <c r="AN119" s="582"/>
      <c r="AO119" s="582"/>
      <c r="AP119" s="582"/>
      <c r="AR119" s="582"/>
      <c r="AS119" s="582"/>
      <c r="AT119" s="582"/>
      <c r="AU119" s="582"/>
      <c r="AV119" s="582"/>
      <c r="AW119" s="582"/>
      <c r="AX119" s="582"/>
      <c r="AY119" s="582"/>
      <c r="AZ119" s="582"/>
      <c r="BA119" s="582"/>
      <c r="BB119" s="582"/>
      <c r="BC119" s="582"/>
      <c r="BD119" s="582"/>
      <c r="BE119" s="582"/>
      <c r="BF119" s="582"/>
      <c r="BG119" s="582"/>
      <c r="BH119" s="582"/>
      <c r="BI119" s="582"/>
      <c r="BJ119" s="582"/>
      <c r="BK119" s="582"/>
      <c r="BL119" s="584"/>
    </row>
    <row r="120" spans="3:64" s="589" customFormat="1">
      <c r="C120" s="589" t="s">
        <v>31</v>
      </c>
      <c r="D120" s="590"/>
      <c r="E120" s="591"/>
      <c r="F120" s="591"/>
      <c r="G120" s="591"/>
      <c r="H120" s="591"/>
      <c r="I120" s="591"/>
      <c r="J120" s="591"/>
      <c r="K120" s="591"/>
      <c r="L120" s="591"/>
      <c r="M120" s="591"/>
      <c r="N120" s="591"/>
      <c r="O120" s="591"/>
      <c r="P120" s="591"/>
      <c r="Q120" s="591"/>
      <c r="R120" s="591"/>
      <c r="S120" s="591"/>
      <c r="T120" s="591"/>
      <c r="U120" s="591"/>
      <c r="V120" s="591"/>
      <c r="W120" s="591"/>
      <c r="X120" s="591"/>
      <c r="Y120" s="591"/>
      <c r="Z120" s="591"/>
      <c r="AA120" s="591"/>
      <c r="AB120" s="591"/>
      <c r="AC120" s="591"/>
      <c r="AD120" s="591"/>
      <c r="AE120" s="591"/>
      <c r="AF120" s="591"/>
      <c r="AG120" s="591"/>
      <c r="AH120" s="591"/>
      <c r="AI120" s="588"/>
      <c r="AJ120" s="583"/>
      <c r="AK120" s="582"/>
      <c r="AL120" s="582"/>
      <c r="AM120" s="582"/>
      <c r="AN120" s="582"/>
      <c r="AO120" s="582"/>
      <c r="AP120" s="582"/>
      <c r="AR120" s="582"/>
      <c r="AS120" s="582"/>
      <c r="AT120" s="582"/>
      <c r="AU120" s="582"/>
      <c r="AV120" s="582"/>
      <c r="AW120" s="582"/>
      <c r="AX120" s="582"/>
      <c r="AY120" s="582"/>
      <c r="AZ120" s="582"/>
      <c r="BA120" s="582"/>
      <c r="BB120" s="582"/>
      <c r="BC120" s="582"/>
      <c r="BD120" s="582"/>
      <c r="BE120" s="582"/>
      <c r="BF120" s="582"/>
      <c r="BG120" s="582"/>
      <c r="BH120" s="582"/>
      <c r="BI120" s="582"/>
      <c r="BJ120" s="582"/>
      <c r="BK120" s="582"/>
      <c r="BL120" s="584"/>
    </row>
    <row r="121" spans="3:64" s="589" customFormat="1">
      <c r="C121" s="589" t="s">
        <v>32</v>
      </c>
      <c r="D121" s="590"/>
      <c r="E121" s="591"/>
      <c r="F121" s="591"/>
      <c r="G121" s="591"/>
      <c r="H121" s="591"/>
      <c r="I121" s="591"/>
      <c r="J121" s="591"/>
      <c r="K121" s="591"/>
      <c r="L121" s="591"/>
      <c r="M121" s="591"/>
      <c r="N121" s="591"/>
      <c r="O121" s="591"/>
      <c r="P121" s="591"/>
      <c r="Q121" s="591"/>
      <c r="R121" s="591"/>
      <c r="S121" s="591"/>
      <c r="T121" s="591"/>
      <c r="U121" s="591"/>
      <c r="V121" s="591"/>
      <c r="W121" s="591"/>
      <c r="X121" s="591"/>
      <c r="Y121" s="591"/>
      <c r="Z121" s="591"/>
      <c r="AA121" s="591"/>
      <c r="AB121" s="591"/>
      <c r="AC121" s="591"/>
      <c r="AD121" s="591"/>
      <c r="AE121" s="591"/>
      <c r="AF121" s="591"/>
      <c r="AG121" s="591"/>
      <c r="AH121" s="591"/>
      <c r="AI121" s="588"/>
      <c r="AJ121" s="583"/>
      <c r="AK121" s="582"/>
      <c r="AL121" s="582"/>
      <c r="AM121" s="582"/>
      <c r="AN121" s="582"/>
      <c r="AO121" s="582"/>
      <c r="AP121" s="582"/>
      <c r="AR121" s="582"/>
      <c r="AS121" s="582"/>
      <c r="AT121" s="582"/>
      <c r="AU121" s="582"/>
      <c r="AV121" s="582"/>
      <c r="AW121" s="582"/>
      <c r="AX121" s="582"/>
      <c r="AY121" s="582"/>
      <c r="AZ121" s="582"/>
      <c r="BA121" s="582"/>
      <c r="BB121" s="582"/>
      <c r="BC121" s="582"/>
      <c r="BD121" s="582"/>
      <c r="BE121" s="582"/>
      <c r="BF121" s="582"/>
      <c r="BG121" s="582"/>
      <c r="BH121" s="582"/>
      <c r="BI121" s="582"/>
      <c r="BJ121" s="582"/>
      <c r="BK121" s="582"/>
      <c r="BL121" s="584"/>
    </row>
    <row r="122" spans="3:64" s="589" customFormat="1">
      <c r="C122" s="589" t="s">
        <v>33</v>
      </c>
      <c r="D122" s="590"/>
      <c r="E122" s="591"/>
      <c r="F122" s="591"/>
      <c r="G122" s="591"/>
      <c r="H122" s="591"/>
      <c r="I122" s="591"/>
      <c r="J122" s="591"/>
      <c r="K122" s="591"/>
      <c r="L122" s="591"/>
      <c r="M122" s="591"/>
      <c r="N122" s="591"/>
      <c r="O122" s="591"/>
      <c r="P122" s="591"/>
      <c r="Q122" s="591"/>
      <c r="R122" s="591"/>
      <c r="S122" s="591"/>
      <c r="T122" s="591"/>
      <c r="U122" s="591"/>
      <c r="V122" s="591"/>
      <c r="W122" s="591"/>
      <c r="X122" s="591"/>
      <c r="Y122" s="591"/>
      <c r="Z122" s="591"/>
      <c r="AA122" s="591"/>
      <c r="AB122" s="591"/>
      <c r="AC122" s="591"/>
      <c r="AD122" s="591"/>
      <c r="AE122" s="591"/>
      <c r="AF122" s="591"/>
      <c r="AG122" s="591"/>
      <c r="AH122" s="591"/>
      <c r="AI122" s="588"/>
      <c r="AJ122" s="583"/>
      <c r="AK122" s="582"/>
      <c r="AL122" s="582"/>
      <c r="AM122" s="582"/>
      <c r="AN122" s="582"/>
      <c r="AO122" s="582"/>
      <c r="AP122" s="582"/>
      <c r="AR122" s="582"/>
      <c r="AS122" s="582"/>
      <c r="AT122" s="582"/>
      <c r="AU122" s="582"/>
      <c r="AV122" s="582"/>
      <c r="AW122" s="582"/>
      <c r="AX122" s="582"/>
      <c r="AY122" s="582"/>
      <c r="AZ122" s="582"/>
      <c r="BA122" s="582"/>
      <c r="BB122" s="582"/>
      <c r="BC122" s="582"/>
      <c r="BD122" s="582"/>
      <c r="BE122" s="582"/>
      <c r="BF122" s="582"/>
      <c r="BG122" s="582"/>
      <c r="BH122" s="582"/>
      <c r="BI122" s="582"/>
      <c r="BJ122" s="582"/>
      <c r="BK122" s="582"/>
      <c r="BL122" s="584"/>
    </row>
    <row r="123" spans="3:64" s="589" customFormat="1">
      <c r="C123" s="589" t="s">
        <v>34</v>
      </c>
      <c r="D123" s="590"/>
      <c r="E123" s="591"/>
      <c r="F123" s="591"/>
      <c r="G123" s="591"/>
      <c r="H123" s="591"/>
      <c r="I123" s="591"/>
      <c r="J123" s="591"/>
      <c r="K123" s="591"/>
      <c r="L123" s="591"/>
      <c r="M123" s="591"/>
      <c r="N123" s="591"/>
      <c r="O123" s="591"/>
      <c r="P123" s="591"/>
      <c r="Q123" s="591"/>
      <c r="R123" s="591"/>
      <c r="S123" s="591"/>
      <c r="T123" s="591"/>
      <c r="U123" s="591"/>
      <c r="V123" s="591"/>
      <c r="W123" s="591"/>
      <c r="X123" s="591"/>
      <c r="Y123" s="591"/>
      <c r="Z123" s="591"/>
      <c r="AA123" s="591"/>
      <c r="AB123" s="591"/>
      <c r="AC123" s="591"/>
      <c r="AD123" s="591"/>
      <c r="AE123" s="591"/>
      <c r="AF123" s="591"/>
      <c r="AG123" s="591"/>
      <c r="AH123" s="591"/>
      <c r="AI123" s="588"/>
      <c r="AJ123" s="583"/>
      <c r="AK123" s="582"/>
      <c r="AL123" s="582"/>
      <c r="AM123" s="582"/>
      <c r="AN123" s="582"/>
      <c r="AO123" s="582"/>
      <c r="AP123" s="582"/>
      <c r="AR123" s="582"/>
      <c r="AS123" s="582"/>
      <c r="AT123" s="582"/>
      <c r="AU123" s="582"/>
      <c r="AV123" s="582"/>
      <c r="AW123" s="582"/>
      <c r="AX123" s="582"/>
      <c r="AY123" s="582"/>
      <c r="AZ123" s="582"/>
      <c r="BA123" s="582"/>
      <c r="BB123" s="582"/>
      <c r="BC123" s="582"/>
      <c r="BD123" s="582"/>
      <c r="BE123" s="582"/>
      <c r="BF123" s="582"/>
      <c r="BG123" s="582"/>
      <c r="BH123" s="582"/>
      <c r="BI123" s="582"/>
      <c r="BJ123" s="582"/>
      <c r="BK123" s="582"/>
      <c r="BL123" s="584"/>
    </row>
    <row r="124" spans="3:64" s="589" customFormat="1">
      <c r="C124" s="589" t="s">
        <v>35</v>
      </c>
      <c r="D124" s="590"/>
      <c r="E124" s="591"/>
      <c r="F124" s="591"/>
      <c r="G124" s="591"/>
      <c r="H124" s="591"/>
      <c r="I124" s="591"/>
      <c r="J124" s="591"/>
      <c r="K124" s="591"/>
      <c r="L124" s="591"/>
      <c r="M124" s="591"/>
      <c r="N124" s="591"/>
      <c r="O124" s="591"/>
      <c r="P124" s="591"/>
      <c r="Q124" s="591"/>
      <c r="R124" s="591"/>
      <c r="S124" s="591"/>
      <c r="T124" s="591"/>
      <c r="U124" s="591"/>
      <c r="V124" s="591"/>
      <c r="W124" s="591"/>
      <c r="X124" s="591"/>
      <c r="Y124" s="591"/>
      <c r="Z124" s="591"/>
      <c r="AA124" s="591"/>
      <c r="AB124" s="591"/>
      <c r="AC124" s="591"/>
      <c r="AD124" s="591"/>
      <c r="AE124" s="591"/>
      <c r="AF124" s="591"/>
      <c r="AG124" s="591"/>
      <c r="AH124" s="591"/>
      <c r="AI124" s="588"/>
      <c r="AJ124" s="583"/>
      <c r="AK124" s="582"/>
      <c r="AL124" s="582"/>
      <c r="AM124" s="582"/>
      <c r="AN124" s="582"/>
      <c r="AO124" s="582"/>
      <c r="AP124" s="582"/>
      <c r="AR124" s="582"/>
      <c r="AS124" s="582"/>
      <c r="AT124" s="582"/>
      <c r="AU124" s="582"/>
      <c r="AV124" s="582"/>
      <c r="AW124" s="582"/>
      <c r="AX124" s="582"/>
      <c r="AY124" s="582"/>
      <c r="AZ124" s="582"/>
      <c r="BA124" s="582"/>
      <c r="BB124" s="582"/>
      <c r="BC124" s="582"/>
      <c r="BD124" s="582"/>
      <c r="BE124" s="582"/>
      <c r="BF124" s="582"/>
      <c r="BG124" s="582"/>
      <c r="BH124" s="582"/>
      <c r="BI124" s="582"/>
      <c r="BJ124" s="582"/>
      <c r="BK124" s="582"/>
      <c r="BL124" s="584"/>
    </row>
    <row r="125" spans="3:64" s="589" customFormat="1">
      <c r="C125" s="589" t="s">
        <v>36</v>
      </c>
      <c r="D125" s="590"/>
      <c r="E125" s="591"/>
      <c r="F125" s="591"/>
      <c r="G125" s="591"/>
      <c r="H125" s="591"/>
      <c r="I125" s="591"/>
      <c r="J125" s="591"/>
      <c r="K125" s="591"/>
      <c r="L125" s="591"/>
      <c r="M125" s="591"/>
      <c r="N125" s="591"/>
      <c r="O125" s="591"/>
      <c r="P125" s="591"/>
      <c r="Q125" s="591"/>
      <c r="R125" s="591"/>
      <c r="S125" s="591"/>
      <c r="T125" s="591"/>
      <c r="U125" s="591"/>
      <c r="V125" s="591"/>
      <c r="W125" s="591"/>
      <c r="X125" s="591"/>
      <c r="Y125" s="591"/>
      <c r="Z125" s="591"/>
      <c r="AA125" s="591"/>
      <c r="AB125" s="591"/>
      <c r="AC125" s="591"/>
      <c r="AD125" s="591"/>
      <c r="AE125" s="591"/>
      <c r="AF125" s="591"/>
      <c r="AG125" s="591"/>
      <c r="AH125" s="591"/>
      <c r="AI125" s="588"/>
      <c r="AJ125" s="583"/>
      <c r="AK125" s="582"/>
      <c r="AL125" s="582"/>
      <c r="AM125" s="582"/>
      <c r="AN125" s="582"/>
      <c r="AO125" s="582"/>
      <c r="AP125" s="582"/>
      <c r="AR125" s="582"/>
      <c r="AS125" s="582"/>
      <c r="AT125" s="582"/>
      <c r="AU125" s="582"/>
      <c r="AV125" s="582"/>
      <c r="AW125" s="582"/>
      <c r="AX125" s="582"/>
      <c r="AY125" s="582"/>
      <c r="AZ125" s="582"/>
      <c r="BA125" s="582"/>
      <c r="BB125" s="582"/>
      <c r="BC125" s="582"/>
      <c r="BD125" s="582"/>
      <c r="BE125" s="582"/>
      <c r="BF125" s="582"/>
      <c r="BG125" s="582"/>
      <c r="BH125" s="582"/>
      <c r="BI125" s="582"/>
      <c r="BJ125" s="582"/>
      <c r="BK125" s="582"/>
      <c r="BL125" s="584"/>
    </row>
    <row r="126" spans="3:64" s="589" customFormat="1">
      <c r="C126" s="589" t="s">
        <v>37</v>
      </c>
      <c r="D126" s="590"/>
      <c r="E126" s="591"/>
      <c r="F126" s="591"/>
      <c r="G126" s="591"/>
      <c r="H126" s="591"/>
      <c r="I126" s="591"/>
      <c r="J126" s="591"/>
      <c r="K126" s="591"/>
      <c r="L126" s="591"/>
      <c r="M126" s="591"/>
      <c r="N126" s="591"/>
      <c r="O126" s="591"/>
      <c r="P126" s="591"/>
      <c r="Q126" s="591"/>
      <c r="R126" s="591"/>
      <c r="S126" s="591"/>
      <c r="T126" s="591"/>
      <c r="U126" s="591"/>
      <c r="V126" s="591"/>
      <c r="W126" s="591"/>
      <c r="X126" s="591"/>
      <c r="Y126" s="591"/>
      <c r="Z126" s="591"/>
      <c r="AA126" s="591"/>
      <c r="AB126" s="591"/>
      <c r="AC126" s="591"/>
      <c r="AD126" s="591"/>
      <c r="AE126" s="591"/>
      <c r="AF126" s="591"/>
      <c r="AG126" s="591"/>
      <c r="AH126" s="591"/>
      <c r="AI126" s="588"/>
      <c r="AJ126" s="583"/>
      <c r="AK126" s="582"/>
      <c r="AL126" s="582"/>
      <c r="AM126" s="582"/>
      <c r="AN126" s="582"/>
      <c r="AO126" s="582"/>
      <c r="AP126" s="582"/>
      <c r="AR126" s="582"/>
      <c r="AS126" s="582"/>
      <c r="AT126" s="582"/>
      <c r="AU126" s="582"/>
      <c r="AV126" s="582"/>
      <c r="AW126" s="582"/>
      <c r="AX126" s="582"/>
      <c r="AY126" s="582"/>
      <c r="AZ126" s="582"/>
      <c r="BA126" s="582"/>
      <c r="BB126" s="582"/>
      <c r="BC126" s="582"/>
      <c r="BD126" s="582"/>
      <c r="BE126" s="582"/>
      <c r="BF126" s="582"/>
      <c r="BG126" s="582"/>
      <c r="BH126" s="582"/>
      <c r="BI126" s="582"/>
      <c r="BJ126" s="582"/>
      <c r="BK126" s="582"/>
      <c r="BL126" s="584"/>
    </row>
    <row r="127" spans="3:64" s="589" customFormat="1">
      <c r="C127" s="589" t="s">
        <v>38</v>
      </c>
      <c r="D127" s="590"/>
      <c r="E127" s="591"/>
      <c r="F127" s="591"/>
      <c r="G127" s="591"/>
      <c r="H127" s="591"/>
      <c r="I127" s="591"/>
      <c r="J127" s="591"/>
      <c r="K127" s="591"/>
      <c r="L127" s="591"/>
      <c r="M127" s="591"/>
      <c r="N127" s="591"/>
      <c r="O127" s="591"/>
      <c r="P127" s="591"/>
      <c r="Q127" s="591"/>
      <c r="R127" s="591"/>
      <c r="S127" s="591"/>
      <c r="T127" s="591"/>
      <c r="U127" s="591"/>
      <c r="V127" s="591"/>
      <c r="W127" s="591"/>
      <c r="X127" s="591"/>
      <c r="Y127" s="591"/>
      <c r="Z127" s="591"/>
      <c r="AA127" s="591"/>
      <c r="AB127" s="591"/>
      <c r="AC127" s="591"/>
      <c r="AD127" s="591"/>
      <c r="AE127" s="591"/>
      <c r="AF127" s="591"/>
      <c r="AG127" s="591"/>
      <c r="AH127" s="591"/>
      <c r="AI127" s="588"/>
      <c r="AJ127" s="583"/>
      <c r="AK127" s="582"/>
      <c r="AL127" s="582"/>
      <c r="AM127" s="582"/>
      <c r="AN127" s="582"/>
      <c r="AO127" s="582"/>
      <c r="AP127" s="582"/>
      <c r="AR127" s="582"/>
      <c r="AS127" s="582"/>
      <c r="AT127" s="582"/>
      <c r="AU127" s="582"/>
      <c r="AV127" s="582"/>
      <c r="AW127" s="582"/>
      <c r="AX127" s="582"/>
      <c r="AY127" s="582"/>
      <c r="AZ127" s="582"/>
      <c r="BA127" s="582"/>
      <c r="BB127" s="582"/>
      <c r="BC127" s="582"/>
      <c r="BD127" s="582"/>
      <c r="BE127" s="582"/>
      <c r="BF127" s="582"/>
      <c r="BG127" s="582"/>
      <c r="BH127" s="582"/>
      <c r="BI127" s="582"/>
      <c r="BJ127" s="582"/>
      <c r="BK127" s="582"/>
      <c r="BL127" s="584"/>
    </row>
    <row r="128" spans="3:64" s="572" customFormat="1" ht="6" customHeight="1">
      <c r="C128" s="578"/>
      <c r="D128" s="576"/>
      <c r="E128" s="577"/>
      <c r="F128" s="577"/>
      <c r="G128" s="577"/>
      <c r="H128" s="577"/>
      <c r="I128" s="577"/>
      <c r="J128" s="577"/>
      <c r="K128" s="577"/>
      <c r="L128" s="577"/>
      <c r="M128" s="577"/>
      <c r="N128" s="577"/>
      <c r="O128" s="577"/>
      <c r="P128" s="577"/>
      <c r="Q128" s="577"/>
      <c r="R128" s="577"/>
      <c r="S128" s="577"/>
      <c r="T128" s="577"/>
      <c r="U128" s="577"/>
      <c r="V128" s="577"/>
      <c r="W128" s="577"/>
      <c r="X128" s="577"/>
      <c r="Y128" s="577"/>
      <c r="Z128" s="577"/>
      <c r="AA128" s="577"/>
      <c r="AB128" s="577"/>
      <c r="AC128" s="577"/>
      <c r="AD128" s="577"/>
      <c r="AE128" s="577"/>
      <c r="AF128" s="577"/>
      <c r="AG128" s="577"/>
      <c r="AH128" s="577"/>
      <c r="AI128" s="575"/>
      <c r="AJ128" s="573"/>
      <c r="AK128" s="236"/>
      <c r="AL128" s="236"/>
      <c r="AM128" s="236"/>
      <c r="AN128" s="236"/>
      <c r="AO128" s="236"/>
      <c r="AP128" s="236"/>
      <c r="AR128" s="236"/>
      <c r="AS128" s="236"/>
      <c r="AT128" s="236"/>
      <c r="AU128" s="236"/>
      <c r="AV128" s="236"/>
      <c r="AW128" s="236"/>
      <c r="AX128" s="236"/>
      <c r="AY128" s="236"/>
      <c r="AZ128" s="236"/>
      <c r="BA128" s="236"/>
      <c r="BB128" s="236"/>
      <c r="BC128" s="236"/>
      <c r="BD128" s="236"/>
      <c r="BE128" s="236"/>
      <c r="BF128" s="236"/>
      <c r="BG128" s="236"/>
      <c r="BH128" s="236"/>
      <c r="BI128" s="236"/>
      <c r="BJ128" s="236"/>
      <c r="BK128" s="236"/>
      <c r="BL128" s="574"/>
    </row>
    <row r="129" spans="3:64" s="572" customFormat="1" ht="6" customHeight="1">
      <c r="C129" s="578"/>
      <c r="D129" s="576"/>
      <c r="E129" s="577"/>
      <c r="F129" s="577"/>
      <c r="G129" s="577"/>
      <c r="H129" s="577"/>
      <c r="I129" s="577"/>
      <c r="J129" s="577"/>
      <c r="K129" s="577"/>
      <c r="L129" s="577"/>
      <c r="M129" s="577"/>
      <c r="N129" s="577"/>
      <c r="O129" s="577"/>
      <c r="P129" s="577"/>
      <c r="Q129" s="577"/>
      <c r="R129" s="577"/>
      <c r="S129" s="577"/>
      <c r="T129" s="577"/>
      <c r="U129" s="577"/>
      <c r="V129" s="577"/>
      <c r="W129" s="577"/>
      <c r="X129" s="577"/>
      <c r="Y129" s="577"/>
      <c r="Z129" s="577"/>
      <c r="AA129" s="577"/>
      <c r="AB129" s="577"/>
      <c r="AC129" s="577"/>
      <c r="AD129" s="577"/>
      <c r="AE129" s="577"/>
      <c r="AF129" s="577"/>
      <c r="AG129" s="577"/>
      <c r="AH129" s="577"/>
      <c r="AI129" s="575"/>
      <c r="AJ129" s="573"/>
      <c r="AK129" s="236"/>
      <c r="AL129" s="236"/>
      <c r="AM129" s="236"/>
      <c r="AN129" s="236"/>
      <c r="AO129" s="236"/>
      <c r="AP129" s="236"/>
      <c r="AR129" s="236"/>
      <c r="AS129" s="236"/>
      <c r="AT129" s="236"/>
      <c r="AU129" s="236"/>
      <c r="AV129" s="236"/>
      <c r="AW129" s="236"/>
      <c r="AX129" s="236"/>
      <c r="AY129" s="236"/>
      <c r="AZ129" s="236"/>
      <c r="BA129" s="236"/>
      <c r="BB129" s="236"/>
      <c r="BC129" s="236"/>
      <c r="BD129" s="236"/>
      <c r="BE129" s="236"/>
      <c r="BF129" s="236"/>
      <c r="BG129" s="236"/>
      <c r="BH129" s="236"/>
      <c r="BI129" s="236"/>
      <c r="BJ129" s="236"/>
      <c r="BK129" s="236"/>
      <c r="BL129" s="574"/>
    </row>
    <row r="130" spans="3:64" s="589" customFormat="1">
      <c r="C130" s="589" t="s">
        <v>86</v>
      </c>
      <c r="D130" s="590"/>
      <c r="E130" s="591"/>
      <c r="F130" s="591"/>
      <c r="G130" s="591"/>
      <c r="H130" s="591"/>
      <c r="I130" s="591"/>
      <c r="J130" s="591"/>
      <c r="K130" s="591"/>
      <c r="L130" s="591"/>
      <c r="M130" s="591"/>
      <c r="N130" s="591"/>
      <c r="O130" s="591"/>
      <c r="P130" s="591"/>
      <c r="Q130" s="591"/>
      <c r="R130" s="591"/>
      <c r="S130" s="591"/>
      <c r="T130" s="591"/>
      <c r="U130" s="591"/>
      <c r="V130" s="591"/>
      <c r="W130" s="591"/>
      <c r="X130" s="591"/>
      <c r="Y130" s="591"/>
      <c r="Z130" s="591"/>
      <c r="AA130" s="591"/>
      <c r="AB130" s="591"/>
      <c r="AC130" s="591"/>
      <c r="AD130" s="591"/>
      <c r="AE130" s="591"/>
      <c r="AF130" s="591"/>
      <c r="AG130" s="591"/>
      <c r="AH130" s="591"/>
      <c r="AI130" s="588"/>
      <c r="AJ130" s="583"/>
      <c r="AK130" s="582"/>
      <c r="AL130" s="582"/>
      <c r="AM130" s="582"/>
      <c r="AN130" s="582"/>
      <c r="AO130" s="582"/>
      <c r="AP130" s="582"/>
      <c r="AR130" s="582"/>
      <c r="AS130" s="582"/>
      <c r="AT130" s="582"/>
      <c r="AU130" s="582"/>
      <c r="AV130" s="582"/>
      <c r="AW130" s="582"/>
      <c r="AX130" s="582"/>
      <c r="AY130" s="582"/>
      <c r="AZ130" s="582"/>
      <c r="BA130" s="582"/>
      <c r="BB130" s="582"/>
      <c r="BC130" s="582"/>
      <c r="BD130" s="582"/>
      <c r="BE130" s="582"/>
      <c r="BF130" s="582"/>
      <c r="BG130" s="582"/>
      <c r="BH130" s="582"/>
      <c r="BI130" s="582"/>
      <c r="BJ130" s="582"/>
      <c r="BK130" s="582"/>
      <c r="BL130" s="584"/>
    </row>
    <row r="131" spans="3:64" s="589" customFormat="1">
      <c r="C131" s="589" t="s">
        <v>90</v>
      </c>
      <c r="D131" s="590"/>
      <c r="E131" s="591"/>
      <c r="F131" s="591"/>
      <c r="G131" s="591"/>
      <c r="H131" s="591"/>
      <c r="I131" s="591"/>
      <c r="J131" s="591"/>
      <c r="K131" s="591"/>
      <c r="L131" s="591"/>
      <c r="M131" s="591"/>
      <c r="N131" s="591"/>
      <c r="O131" s="591"/>
      <c r="P131" s="591"/>
      <c r="Q131" s="591"/>
      <c r="R131" s="591"/>
      <c r="S131" s="591"/>
      <c r="T131" s="591"/>
      <c r="U131" s="591"/>
      <c r="V131" s="591"/>
      <c r="W131" s="591"/>
      <c r="X131" s="591"/>
      <c r="Y131" s="591"/>
      <c r="Z131" s="591"/>
      <c r="AA131" s="591"/>
      <c r="AB131" s="591"/>
      <c r="AC131" s="591"/>
      <c r="AD131" s="591"/>
      <c r="AE131" s="591"/>
      <c r="AF131" s="591"/>
      <c r="AG131" s="591"/>
      <c r="AH131" s="591"/>
      <c r="AI131" s="588"/>
      <c r="AJ131" s="583"/>
      <c r="AK131" s="582"/>
      <c r="AL131" s="582"/>
      <c r="AM131" s="582"/>
      <c r="AN131" s="582"/>
      <c r="AO131" s="582"/>
      <c r="AP131" s="582"/>
      <c r="AR131" s="582"/>
      <c r="AS131" s="582"/>
      <c r="AT131" s="582"/>
      <c r="AU131" s="582"/>
      <c r="AV131" s="582"/>
      <c r="AW131" s="582"/>
      <c r="AX131" s="582"/>
      <c r="AY131" s="582"/>
      <c r="AZ131" s="582"/>
      <c r="BA131" s="582"/>
      <c r="BB131" s="582"/>
      <c r="BC131" s="582"/>
      <c r="BD131" s="582"/>
      <c r="BE131" s="582"/>
      <c r="BF131" s="582"/>
      <c r="BG131" s="582"/>
      <c r="BH131" s="582"/>
      <c r="BI131" s="582"/>
      <c r="BJ131" s="582"/>
      <c r="BK131" s="582"/>
      <c r="BL131" s="584"/>
    </row>
    <row r="132" spans="3:64" s="589" customFormat="1" ht="6" customHeight="1">
      <c r="C132" s="592"/>
      <c r="D132" s="590"/>
      <c r="E132" s="591"/>
      <c r="F132" s="591"/>
      <c r="G132" s="591"/>
      <c r="H132" s="591"/>
      <c r="I132" s="591"/>
      <c r="J132" s="591"/>
      <c r="K132" s="591"/>
      <c r="L132" s="591"/>
      <c r="M132" s="591"/>
      <c r="N132" s="591"/>
      <c r="O132" s="591"/>
      <c r="P132" s="591"/>
      <c r="Q132" s="591"/>
      <c r="R132" s="591"/>
      <c r="S132" s="591"/>
      <c r="T132" s="591"/>
      <c r="U132" s="591"/>
      <c r="V132" s="591"/>
      <c r="W132" s="591"/>
      <c r="X132" s="591"/>
      <c r="Y132" s="591"/>
      <c r="Z132" s="591"/>
      <c r="AA132" s="591"/>
      <c r="AB132" s="591"/>
      <c r="AC132" s="591"/>
      <c r="AD132" s="591"/>
      <c r="AE132" s="591"/>
      <c r="AF132" s="591"/>
      <c r="AG132" s="591"/>
      <c r="AH132" s="591"/>
      <c r="AI132" s="588"/>
      <c r="AJ132" s="583"/>
      <c r="AK132" s="582"/>
      <c r="AL132" s="582"/>
      <c r="AM132" s="582"/>
      <c r="AN132" s="582"/>
      <c r="AO132" s="582"/>
      <c r="AP132" s="582"/>
      <c r="AR132" s="582"/>
      <c r="AS132" s="582"/>
      <c r="AT132" s="582"/>
      <c r="AU132" s="582"/>
      <c r="AV132" s="582"/>
      <c r="AW132" s="582"/>
      <c r="AX132" s="582"/>
      <c r="AY132" s="582"/>
      <c r="AZ132" s="582"/>
      <c r="BA132" s="582"/>
      <c r="BB132" s="582"/>
      <c r="BC132" s="582"/>
      <c r="BD132" s="582"/>
      <c r="BE132" s="582"/>
      <c r="BF132" s="582"/>
      <c r="BG132" s="582"/>
      <c r="BH132" s="582"/>
      <c r="BI132" s="582"/>
      <c r="BJ132" s="582"/>
      <c r="BK132" s="582"/>
      <c r="BL132" s="584"/>
    </row>
    <row r="133" spans="3:64" s="589" customFormat="1">
      <c r="C133" s="589" t="s">
        <v>71</v>
      </c>
      <c r="D133" s="590"/>
      <c r="E133" s="591"/>
      <c r="F133" s="591"/>
      <c r="G133" s="591"/>
      <c r="H133" s="591"/>
      <c r="I133" s="591"/>
      <c r="J133" s="591"/>
      <c r="K133" s="591"/>
      <c r="L133" s="591"/>
      <c r="M133" s="591"/>
      <c r="N133" s="591"/>
      <c r="O133" s="591"/>
      <c r="P133" s="591"/>
      <c r="Q133" s="591"/>
      <c r="R133" s="591"/>
      <c r="S133" s="591"/>
      <c r="T133" s="591"/>
      <c r="U133" s="591"/>
      <c r="V133" s="591"/>
      <c r="W133" s="591"/>
      <c r="X133" s="591"/>
      <c r="Y133" s="591"/>
      <c r="Z133" s="591"/>
      <c r="AA133" s="591"/>
      <c r="AB133" s="591"/>
      <c r="AC133" s="591"/>
      <c r="AD133" s="591"/>
      <c r="AE133" s="591"/>
      <c r="AF133" s="591"/>
      <c r="AG133" s="591"/>
      <c r="AH133" s="591"/>
      <c r="AI133" s="588"/>
      <c r="AJ133" s="583"/>
      <c r="AK133" s="582"/>
      <c r="AL133" s="582"/>
      <c r="AM133" s="582"/>
      <c r="AN133" s="582"/>
      <c r="AO133" s="582"/>
      <c r="AP133" s="582"/>
      <c r="AR133" s="582"/>
      <c r="AS133" s="582"/>
      <c r="AT133" s="582"/>
      <c r="AU133" s="582"/>
      <c r="AV133" s="582"/>
      <c r="AW133" s="582"/>
      <c r="AX133" s="582"/>
      <c r="AY133" s="582"/>
      <c r="AZ133" s="582"/>
      <c r="BA133" s="582"/>
      <c r="BB133" s="582"/>
      <c r="BC133" s="582"/>
      <c r="BD133" s="582"/>
      <c r="BE133" s="582"/>
      <c r="BF133" s="582"/>
      <c r="BG133" s="582"/>
      <c r="BH133" s="582"/>
      <c r="BI133" s="582"/>
      <c r="BJ133" s="582"/>
      <c r="BK133" s="582"/>
      <c r="BL133" s="584"/>
    </row>
    <row r="134" spans="3:64" s="589" customFormat="1">
      <c r="C134" s="589" t="s">
        <v>72</v>
      </c>
      <c r="D134" s="590"/>
      <c r="E134" s="591"/>
      <c r="F134" s="591"/>
      <c r="G134" s="591"/>
      <c r="H134" s="591"/>
      <c r="I134" s="591"/>
      <c r="J134" s="591"/>
      <c r="K134" s="591"/>
      <c r="L134" s="591"/>
      <c r="M134" s="591"/>
      <c r="N134" s="591"/>
      <c r="O134" s="591"/>
      <c r="P134" s="591"/>
      <c r="Q134" s="591"/>
      <c r="R134" s="591"/>
      <c r="S134" s="591"/>
      <c r="T134" s="591"/>
      <c r="U134" s="591"/>
      <c r="V134" s="591"/>
      <c r="W134" s="591"/>
      <c r="X134" s="591"/>
      <c r="Y134" s="591"/>
      <c r="Z134" s="591"/>
      <c r="AA134" s="591"/>
      <c r="AB134" s="591"/>
      <c r="AC134" s="591"/>
      <c r="AD134" s="591"/>
      <c r="AE134" s="591"/>
      <c r="AF134" s="591"/>
      <c r="AG134" s="591"/>
      <c r="AH134" s="591"/>
      <c r="AI134" s="588"/>
      <c r="AJ134" s="583"/>
      <c r="AK134" s="582"/>
      <c r="AL134" s="582"/>
      <c r="AM134" s="582"/>
      <c r="AN134" s="582"/>
      <c r="AO134" s="582"/>
      <c r="AP134" s="582"/>
      <c r="AR134" s="582"/>
      <c r="AS134" s="582"/>
      <c r="AT134" s="582"/>
      <c r="AU134" s="582"/>
      <c r="AV134" s="582"/>
      <c r="AW134" s="582"/>
      <c r="AX134" s="582"/>
      <c r="AY134" s="582"/>
      <c r="AZ134" s="582"/>
      <c r="BA134" s="582"/>
      <c r="BB134" s="582"/>
      <c r="BC134" s="582"/>
      <c r="BD134" s="582"/>
      <c r="BE134" s="582"/>
      <c r="BF134" s="582"/>
      <c r="BG134" s="582"/>
      <c r="BH134" s="582"/>
      <c r="BI134" s="582"/>
      <c r="BJ134" s="582"/>
      <c r="BK134" s="582"/>
      <c r="BL134" s="584"/>
    </row>
    <row r="135" spans="3:64" s="589" customFormat="1" ht="6" customHeight="1">
      <c r="C135" s="592"/>
      <c r="D135" s="590"/>
      <c r="E135" s="591"/>
      <c r="F135" s="591"/>
      <c r="G135" s="591"/>
      <c r="H135" s="591"/>
      <c r="I135" s="591"/>
      <c r="J135" s="591"/>
      <c r="K135" s="591"/>
      <c r="L135" s="591"/>
      <c r="M135" s="591"/>
      <c r="N135" s="591"/>
      <c r="O135" s="591"/>
      <c r="P135" s="591"/>
      <c r="Q135" s="591"/>
      <c r="R135" s="591"/>
      <c r="S135" s="591"/>
      <c r="T135" s="591"/>
      <c r="U135" s="591"/>
      <c r="V135" s="591"/>
      <c r="W135" s="591"/>
      <c r="X135" s="591"/>
      <c r="Y135" s="591"/>
      <c r="Z135" s="591"/>
      <c r="AA135" s="591"/>
      <c r="AB135" s="591"/>
      <c r="AC135" s="591"/>
      <c r="AD135" s="591"/>
      <c r="AE135" s="591"/>
      <c r="AF135" s="591"/>
      <c r="AG135" s="591"/>
      <c r="AH135" s="591"/>
      <c r="AI135" s="588"/>
      <c r="AJ135" s="583"/>
      <c r="AK135" s="582"/>
      <c r="AL135" s="582"/>
      <c r="AM135" s="582"/>
      <c r="AN135" s="582"/>
      <c r="AO135" s="582"/>
      <c r="AP135" s="582"/>
      <c r="AR135" s="582"/>
      <c r="AS135" s="582"/>
      <c r="AT135" s="582"/>
      <c r="AU135" s="582"/>
      <c r="AV135" s="582"/>
      <c r="AW135" s="582"/>
      <c r="AX135" s="582"/>
      <c r="AY135" s="582"/>
      <c r="AZ135" s="582"/>
      <c r="BA135" s="582"/>
      <c r="BB135" s="582"/>
      <c r="BC135" s="582"/>
      <c r="BD135" s="582"/>
      <c r="BE135" s="582"/>
      <c r="BF135" s="582"/>
      <c r="BG135" s="582"/>
      <c r="BH135" s="582"/>
      <c r="BI135" s="582"/>
      <c r="BJ135" s="582"/>
      <c r="BK135" s="582"/>
      <c r="BL135" s="584"/>
    </row>
    <row r="136" spans="3:64" s="589" customFormat="1">
      <c r="C136" s="592" t="s">
        <v>79</v>
      </c>
      <c r="D136" s="590"/>
      <c r="E136" s="591"/>
      <c r="F136" s="591"/>
      <c r="G136" s="591"/>
      <c r="H136" s="591"/>
      <c r="I136" s="591"/>
      <c r="J136" s="591"/>
      <c r="K136" s="591"/>
      <c r="L136" s="591"/>
      <c r="M136" s="591"/>
      <c r="N136" s="591"/>
      <c r="O136" s="591"/>
      <c r="P136" s="591"/>
      <c r="Q136" s="591"/>
      <c r="R136" s="591"/>
      <c r="S136" s="591"/>
      <c r="T136" s="591"/>
      <c r="U136" s="591"/>
      <c r="V136" s="591"/>
      <c r="W136" s="591"/>
      <c r="X136" s="591"/>
      <c r="Y136" s="591"/>
      <c r="Z136" s="591"/>
      <c r="AA136" s="591"/>
      <c r="AB136" s="591"/>
      <c r="AC136" s="591"/>
      <c r="AD136" s="591"/>
      <c r="AE136" s="591"/>
      <c r="AF136" s="591"/>
      <c r="AG136" s="591"/>
      <c r="AH136" s="591"/>
      <c r="AI136" s="588"/>
      <c r="AJ136" s="583"/>
      <c r="AK136" s="582"/>
      <c r="AL136" s="582"/>
      <c r="AM136" s="582"/>
      <c r="AN136" s="582"/>
      <c r="AO136" s="582"/>
      <c r="AP136" s="582"/>
      <c r="AR136" s="582"/>
      <c r="AS136" s="582"/>
      <c r="AT136" s="582"/>
      <c r="AU136" s="582"/>
      <c r="AV136" s="582"/>
      <c r="AW136" s="582"/>
      <c r="AX136" s="582"/>
      <c r="AY136" s="582"/>
      <c r="AZ136" s="582"/>
      <c r="BA136" s="582"/>
      <c r="BB136" s="582"/>
      <c r="BC136" s="582"/>
      <c r="BD136" s="582"/>
      <c r="BE136" s="582"/>
      <c r="BF136" s="582"/>
      <c r="BG136" s="582"/>
      <c r="BH136" s="582"/>
      <c r="BI136" s="582"/>
      <c r="BJ136" s="582"/>
      <c r="BK136" s="582"/>
      <c r="BL136" s="584"/>
    </row>
    <row r="137" spans="3:64" s="589" customFormat="1">
      <c r="C137" s="589" t="s">
        <v>70</v>
      </c>
      <c r="D137" s="590"/>
      <c r="E137" s="591"/>
      <c r="F137" s="591"/>
      <c r="G137" s="591"/>
      <c r="H137" s="591"/>
      <c r="I137" s="591"/>
      <c r="J137" s="591"/>
      <c r="K137" s="591"/>
      <c r="L137" s="591"/>
      <c r="M137" s="591"/>
      <c r="N137" s="591"/>
      <c r="O137" s="591"/>
      <c r="P137" s="591"/>
      <c r="Q137" s="591"/>
      <c r="R137" s="591"/>
      <c r="S137" s="591"/>
      <c r="T137" s="591"/>
      <c r="U137" s="591"/>
      <c r="V137" s="591"/>
      <c r="W137" s="591"/>
      <c r="X137" s="591"/>
      <c r="Y137" s="591"/>
      <c r="Z137" s="591"/>
      <c r="AA137" s="591"/>
      <c r="AB137" s="591"/>
      <c r="AC137" s="591"/>
      <c r="AD137" s="591"/>
      <c r="AE137" s="591"/>
      <c r="AF137" s="591"/>
      <c r="AG137" s="591"/>
      <c r="AH137" s="591"/>
      <c r="AI137" s="588"/>
      <c r="AJ137" s="583"/>
      <c r="AK137" s="582"/>
      <c r="AL137" s="582"/>
      <c r="AM137" s="582"/>
      <c r="AN137" s="582"/>
      <c r="AO137" s="582"/>
      <c r="AP137" s="582"/>
      <c r="AR137" s="582"/>
      <c r="AS137" s="582"/>
      <c r="AT137" s="582"/>
      <c r="AU137" s="582"/>
      <c r="AV137" s="582"/>
      <c r="AW137" s="582"/>
      <c r="AX137" s="582"/>
      <c r="AY137" s="582"/>
      <c r="AZ137" s="582"/>
      <c r="BA137" s="582"/>
      <c r="BB137" s="582"/>
      <c r="BC137" s="582"/>
      <c r="BD137" s="582"/>
      <c r="BE137" s="582"/>
      <c r="BF137" s="582"/>
      <c r="BG137" s="582"/>
      <c r="BH137" s="582"/>
      <c r="BI137" s="582"/>
      <c r="BJ137" s="582"/>
      <c r="BK137" s="582"/>
      <c r="BL137" s="584"/>
    </row>
    <row r="138" spans="3:64" s="589" customFormat="1" ht="6" customHeight="1">
      <c r="C138" s="592"/>
      <c r="D138" s="590"/>
      <c r="E138" s="591"/>
      <c r="F138" s="591"/>
      <c r="G138" s="591"/>
      <c r="H138" s="591"/>
      <c r="I138" s="591"/>
      <c r="J138" s="591"/>
      <c r="K138" s="591"/>
      <c r="L138" s="591"/>
      <c r="M138" s="591"/>
      <c r="N138" s="591"/>
      <c r="O138" s="591"/>
      <c r="P138" s="591"/>
      <c r="Q138" s="591"/>
      <c r="R138" s="591"/>
      <c r="S138" s="591"/>
      <c r="T138" s="591"/>
      <c r="U138" s="591"/>
      <c r="V138" s="591"/>
      <c r="W138" s="591"/>
      <c r="X138" s="591"/>
      <c r="Y138" s="591"/>
      <c r="Z138" s="591"/>
      <c r="AA138" s="591"/>
      <c r="AB138" s="591"/>
      <c r="AC138" s="591"/>
      <c r="AD138" s="591"/>
      <c r="AE138" s="591"/>
      <c r="AF138" s="591"/>
      <c r="AG138" s="591"/>
      <c r="AH138" s="591"/>
      <c r="AI138" s="588"/>
      <c r="AJ138" s="583"/>
      <c r="AK138" s="582"/>
      <c r="AL138" s="582"/>
      <c r="AM138" s="582"/>
      <c r="AN138" s="582"/>
      <c r="AO138" s="582"/>
      <c r="AP138" s="582"/>
      <c r="AR138" s="582"/>
      <c r="AS138" s="582"/>
      <c r="AT138" s="582"/>
      <c r="AU138" s="582"/>
      <c r="AV138" s="582"/>
      <c r="AW138" s="582"/>
      <c r="AX138" s="582"/>
      <c r="AY138" s="582"/>
      <c r="AZ138" s="582"/>
      <c r="BA138" s="582"/>
      <c r="BB138" s="582"/>
      <c r="BC138" s="582"/>
      <c r="BD138" s="582"/>
      <c r="BE138" s="582"/>
      <c r="BF138" s="582"/>
      <c r="BG138" s="582"/>
      <c r="BH138" s="582"/>
      <c r="BI138" s="582"/>
      <c r="BJ138" s="582"/>
      <c r="BK138" s="582"/>
      <c r="BL138" s="584"/>
    </row>
    <row r="139" spans="3:64" s="589" customFormat="1">
      <c r="C139" s="589" t="s">
        <v>81</v>
      </c>
      <c r="D139" s="590"/>
      <c r="E139" s="591"/>
      <c r="F139" s="591"/>
      <c r="G139" s="591"/>
      <c r="H139" s="591"/>
      <c r="I139" s="591"/>
      <c r="J139" s="591"/>
      <c r="K139" s="591"/>
      <c r="L139" s="591"/>
      <c r="M139" s="591"/>
      <c r="N139" s="591"/>
      <c r="O139" s="591"/>
      <c r="P139" s="591"/>
      <c r="Q139" s="591"/>
      <c r="R139" s="591"/>
      <c r="S139" s="591"/>
      <c r="T139" s="591"/>
      <c r="U139" s="591"/>
      <c r="V139" s="591"/>
      <c r="W139" s="591"/>
      <c r="X139" s="591"/>
      <c r="Y139" s="591"/>
      <c r="Z139" s="591"/>
      <c r="AA139" s="591"/>
      <c r="AB139" s="591"/>
      <c r="AC139" s="591"/>
      <c r="AD139" s="591"/>
      <c r="AE139" s="591"/>
      <c r="AF139" s="591"/>
      <c r="AG139" s="591"/>
      <c r="AH139" s="591"/>
      <c r="AI139" s="588"/>
      <c r="AJ139" s="583"/>
      <c r="AK139" s="582"/>
      <c r="AL139" s="582"/>
      <c r="AM139" s="582"/>
      <c r="AN139" s="582"/>
      <c r="AO139" s="582"/>
      <c r="AP139" s="582"/>
      <c r="AR139" s="582"/>
      <c r="AS139" s="582"/>
      <c r="AT139" s="582"/>
      <c r="AU139" s="582"/>
      <c r="AV139" s="582"/>
      <c r="AW139" s="582"/>
      <c r="AX139" s="582"/>
      <c r="AY139" s="582"/>
      <c r="AZ139" s="582"/>
      <c r="BA139" s="582"/>
      <c r="BB139" s="582"/>
      <c r="BC139" s="582"/>
      <c r="BD139" s="582"/>
      <c r="BE139" s="582"/>
      <c r="BF139" s="582"/>
      <c r="BG139" s="582"/>
      <c r="BH139" s="582"/>
      <c r="BI139" s="582"/>
      <c r="BJ139" s="582"/>
      <c r="BK139" s="582"/>
      <c r="BL139" s="584"/>
    </row>
    <row r="140" spans="3:64" s="589" customFormat="1">
      <c r="C140" s="589" t="s">
        <v>82</v>
      </c>
      <c r="D140" s="590"/>
      <c r="E140" s="591"/>
      <c r="F140" s="591"/>
      <c r="G140" s="591"/>
      <c r="H140" s="591"/>
      <c r="I140" s="591"/>
      <c r="J140" s="591"/>
      <c r="K140" s="591"/>
      <c r="L140" s="591"/>
      <c r="M140" s="591"/>
      <c r="N140" s="591"/>
      <c r="O140" s="591"/>
      <c r="P140" s="591"/>
      <c r="Q140" s="591"/>
      <c r="R140" s="591"/>
      <c r="S140" s="591"/>
      <c r="T140" s="591"/>
      <c r="U140" s="591"/>
      <c r="V140" s="591"/>
      <c r="W140" s="591"/>
      <c r="X140" s="591"/>
      <c r="Y140" s="591"/>
      <c r="Z140" s="591"/>
      <c r="AA140" s="591"/>
      <c r="AB140" s="591"/>
      <c r="AC140" s="591"/>
      <c r="AD140" s="591"/>
      <c r="AE140" s="591"/>
      <c r="AF140" s="591"/>
      <c r="AG140" s="591"/>
      <c r="AH140" s="591"/>
      <c r="AI140" s="588"/>
      <c r="AJ140" s="583"/>
      <c r="AK140" s="582"/>
      <c r="AL140" s="582"/>
      <c r="AM140" s="582"/>
      <c r="AN140" s="582"/>
      <c r="AO140" s="582"/>
      <c r="AP140" s="582"/>
      <c r="AR140" s="582"/>
      <c r="AS140" s="582"/>
      <c r="AT140" s="582"/>
      <c r="AU140" s="582"/>
      <c r="AV140" s="582"/>
      <c r="AW140" s="582"/>
      <c r="AX140" s="582"/>
      <c r="AY140" s="582"/>
      <c r="AZ140" s="582"/>
      <c r="BA140" s="582"/>
      <c r="BB140" s="582"/>
      <c r="BC140" s="582"/>
      <c r="BD140" s="582"/>
      <c r="BE140" s="582"/>
      <c r="BF140" s="582"/>
      <c r="BG140" s="582"/>
      <c r="BH140" s="582"/>
      <c r="BI140" s="582"/>
      <c r="BJ140" s="582"/>
      <c r="BK140" s="582"/>
      <c r="BL140" s="584"/>
    </row>
    <row r="141" spans="3:64" s="572" customFormat="1" ht="6" customHeight="1">
      <c r="C141" s="578"/>
      <c r="D141" s="576"/>
      <c r="E141" s="577"/>
      <c r="F141" s="577"/>
      <c r="G141" s="577"/>
      <c r="H141" s="577"/>
      <c r="I141" s="577"/>
      <c r="J141" s="577"/>
      <c r="K141" s="577"/>
      <c r="L141" s="577"/>
      <c r="M141" s="577"/>
      <c r="N141" s="577"/>
      <c r="O141" s="577"/>
      <c r="P141" s="577"/>
      <c r="Q141" s="577"/>
      <c r="R141" s="577"/>
      <c r="S141" s="577"/>
      <c r="T141" s="577"/>
      <c r="U141" s="577"/>
      <c r="V141" s="577"/>
      <c r="W141" s="577"/>
      <c r="X141" s="577"/>
      <c r="Y141" s="577"/>
      <c r="Z141" s="577"/>
      <c r="AA141" s="577"/>
      <c r="AB141" s="577"/>
      <c r="AC141" s="577"/>
      <c r="AD141" s="577"/>
      <c r="AE141" s="577"/>
      <c r="AF141" s="577"/>
      <c r="AG141" s="577"/>
      <c r="AH141" s="577"/>
      <c r="AI141" s="575"/>
      <c r="AJ141" s="573"/>
      <c r="AK141" s="236"/>
      <c r="AL141" s="236"/>
      <c r="AM141" s="236"/>
      <c r="AN141" s="236"/>
      <c r="AO141" s="236"/>
      <c r="AP141" s="236"/>
      <c r="AR141" s="236"/>
      <c r="AS141" s="236"/>
      <c r="AT141" s="236"/>
      <c r="AU141" s="236"/>
      <c r="AV141" s="236"/>
      <c r="AW141" s="236"/>
      <c r="AX141" s="236"/>
      <c r="AY141" s="236"/>
      <c r="AZ141" s="236"/>
      <c r="BA141" s="236"/>
      <c r="BB141" s="236"/>
      <c r="BC141" s="236"/>
      <c r="BD141" s="236"/>
      <c r="BE141" s="236"/>
      <c r="BF141" s="236"/>
      <c r="BG141" s="236"/>
      <c r="BH141" s="236"/>
      <c r="BI141" s="236"/>
      <c r="BJ141" s="236"/>
      <c r="BK141" s="236"/>
      <c r="BL141" s="574"/>
    </row>
    <row r="142" spans="3:64" s="589" customFormat="1">
      <c r="C142" s="589" t="s">
        <v>502</v>
      </c>
      <c r="D142" s="590"/>
      <c r="E142" s="591"/>
      <c r="F142" s="591"/>
      <c r="G142" s="591"/>
      <c r="H142" s="591"/>
      <c r="I142" s="591"/>
      <c r="J142" s="591"/>
      <c r="K142" s="591"/>
      <c r="L142" s="591"/>
      <c r="M142" s="591"/>
      <c r="N142" s="591"/>
      <c r="O142" s="591"/>
      <c r="P142" s="591"/>
      <c r="Q142" s="591"/>
      <c r="R142" s="591"/>
      <c r="S142" s="591"/>
      <c r="T142" s="591"/>
      <c r="U142" s="591"/>
      <c r="V142" s="591"/>
      <c r="W142" s="591"/>
      <c r="X142" s="591"/>
      <c r="Y142" s="591"/>
      <c r="Z142" s="591"/>
      <c r="AA142" s="591"/>
      <c r="AB142" s="591"/>
      <c r="AC142" s="591"/>
      <c r="AD142" s="591"/>
      <c r="AE142" s="591"/>
      <c r="AF142" s="591"/>
      <c r="AG142" s="591"/>
      <c r="AH142" s="591"/>
      <c r="AI142" s="588"/>
      <c r="AJ142" s="583"/>
      <c r="AK142" s="582"/>
      <c r="AL142" s="582"/>
      <c r="AM142" s="582"/>
      <c r="AN142" s="582"/>
      <c r="AO142" s="582"/>
      <c r="AP142" s="582"/>
      <c r="AR142" s="582"/>
      <c r="AS142" s="582"/>
      <c r="AT142" s="582"/>
      <c r="AU142" s="582"/>
      <c r="AV142" s="582"/>
      <c r="AW142" s="582"/>
      <c r="AX142" s="582"/>
      <c r="AY142" s="582"/>
      <c r="AZ142" s="582"/>
      <c r="BA142" s="582"/>
      <c r="BB142" s="582"/>
      <c r="BC142" s="582"/>
      <c r="BD142" s="582"/>
      <c r="BE142" s="582"/>
      <c r="BF142" s="582"/>
      <c r="BG142" s="582"/>
      <c r="BH142" s="582"/>
      <c r="BI142" s="582"/>
      <c r="BJ142" s="582"/>
      <c r="BK142" s="582"/>
      <c r="BL142" s="584"/>
    </row>
    <row r="143" spans="3:64" s="572" customFormat="1">
      <c r="C143" s="589" t="s">
        <v>503</v>
      </c>
      <c r="D143" s="576"/>
      <c r="E143" s="577"/>
      <c r="F143" s="577"/>
      <c r="G143" s="577"/>
      <c r="H143" s="577"/>
      <c r="I143" s="577"/>
      <c r="J143" s="577"/>
      <c r="K143" s="577"/>
      <c r="L143" s="577"/>
      <c r="M143" s="577"/>
      <c r="N143" s="577"/>
      <c r="O143" s="577"/>
      <c r="P143" s="577"/>
      <c r="Q143" s="577"/>
      <c r="R143" s="577"/>
      <c r="S143" s="577"/>
      <c r="T143" s="577"/>
      <c r="U143" s="577"/>
      <c r="V143" s="577"/>
      <c r="W143" s="577"/>
      <c r="X143" s="577"/>
      <c r="Y143" s="577"/>
      <c r="Z143" s="577"/>
      <c r="AA143" s="577"/>
      <c r="AB143" s="577"/>
      <c r="AC143" s="577"/>
      <c r="AD143" s="577"/>
      <c r="AE143" s="577"/>
      <c r="AF143" s="577"/>
      <c r="AG143" s="577"/>
      <c r="AH143" s="577"/>
      <c r="AI143" s="575"/>
      <c r="AJ143" s="573"/>
      <c r="AK143" s="236"/>
      <c r="AL143" s="236"/>
      <c r="AM143" s="236"/>
      <c r="AN143" s="236"/>
      <c r="AO143" s="236"/>
      <c r="AP143" s="236"/>
      <c r="AR143" s="236"/>
      <c r="AS143" s="236"/>
      <c r="AT143" s="236"/>
      <c r="AU143" s="236"/>
      <c r="AV143" s="236"/>
      <c r="AW143" s="236"/>
      <c r="AX143" s="236"/>
      <c r="AY143" s="236"/>
      <c r="AZ143" s="236"/>
      <c r="BA143" s="236"/>
      <c r="BB143" s="236"/>
      <c r="BC143" s="236"/>
      <c r="BD143" s="236"/>
      <c r="BE143" s="236"/>
      <c r="BF143" s="236"/>
      <c r="BG143" s="236"/>
      <c r="BH143" s="236"/>
      <c r="BI143" s="236"/>
      <c r="BJ143" s="236"/>
      <c r="BK143" s="236"/>
      <c r="BL143" s="574"/>
    </row>
    <row r="144" spans="3:64" s="572" customFormat="1" ht="6" customHeight="1">
      <c r="C144" s="578"/>
      <c r="D144" s="576"/>
      <c r="E144" s="577"/>
      <c r="F144" s="577"/>
      <c r="G144" s="577"/>
      <c r="H144" s="577"/>
      <c r="I144" s="577"/>
      <c r="J144" s="577"/>
      <c r="K144" s="577"/>
      <c r="L144" s="577"/>
      <c r="M144" s="577"/>
      <c r="N144" s="577"/>
      <c r="O144" s="577"/>
      <c r="P144" s="577"/>
      <c r="Q144" s="577"/>
      <c r="R144" s="577"/>
      <c r="S144" s="577"/>
      <c r="T144" s="577"/>
      <c r="U144" s="577"/>
      <c r="V144" s="577"/>
      <c r="W144" s="577"/>
      <c r="X144" s="577"/>
      <c r="Y144" s="577"/>
      <c r="Z144" s="577"/>
      <c r="AA144" s="577"/>
      <c r="AB144" s="577"/>
      <c r="AC144" s="577"/>
      <c r="AD144" s="577"/>
      <c r="AE144" s="577"/>
      <c r="AF144" s="577"/>
      <c r="AG144" s="577"/>
      <c r="AH144" s="577"/>
      <c r="AI144" s="575"/>
      <c r="AJ144" s="573"/>
      <c r="AK144" s="236"/>
      <c r="AL144" s="236"/>
      <c r="AM144" s="236"/>
      <c r="AN144" s="236"/>
      <c r="AO144" s="236"/>
      <c r="AP144" s="236"/>
      <c r="AR144" s="236"/>
      <c r="AS144" s="236"/>
      <c r="AT144" s="236"/>
      <c r="AU144" s="236"/>
      <c r="AV144" s="236"/>
      <c r="AW144" s="236"/>
      <c r="AX144" s="236"/>
      <c r="AY144" s="236"/>
      <c r="AZ144" s="236"/>
      <c r="BA144" s="236"/>
      <c r="BB144" s="236"/>
      <c r="BC144" s="236"/>
      <c r="BD144" s="236"/>
      <c r="BE144" s="236"/>
      <c r="BF144" s="236"/>
      <c r="BG144" s="236"/>
      <c r="BH144" s="236"/>
      <c r="BI144" s="236"/>
      <c r="BJ144" s="236"/>
      <c r="BK144" s="236"/>
      <c r="BL144" s="574"/>
    </row>
    <row r="145" spans="3:64" s="589" customFormat="1" ht="6" customHeight="1">
      <c r="C145" s="592"/>
      <c r="D145" s="590"/>
      <c r="E145" s="591"/>
      <c r="F145" s="591"/>
      <c r="G145" s="591"/>
      <c r="H145" s="591"/>
      <c r="I145" s="591"/>
      <c r="J145" s="591"/>
      <c r="K145" s="591"/>
      <c r="L145" s="591"/>
      <c r="M145" s="591"/>
      <c r="N145" s="591"/>
      <c r="O145" s="591"/>
      <c r="P145" s="591"/>
      <c r="Q145" s="591"/>
      <c r="R145" s="591"/>
      <c r="S145" s="591"/>
      <c r="T145" s="591"/>
      <c r="U145" s="591"/>
      <c r="V145" s="591"/>
      <c r="W145" s="591"/>
      <c r="X145" s="591"/>
      <c r="Y145" s="591"/>
      <c r="Z145" s="591"/>
      <c r="AA145" s="591"/>
      <c r="AB145" s="591"/>
      <c r="AC145" s="591"/>
      <c r="AD145" s="591"/>
      <c r="AE145" s="591"/>
      <c r="AF145" s="591"/>
      <c r="AG145" s="591"/>
      <c r="AH145" s="591"/>
      <c r="AI145" s="588"/>
      <c r="AJ145" s="583"/>
      <c r="AK145" s="582"/>
      <c r="AL145" s="582"/>
      <c r="AM145" s="582"/>
      <c r="AN145" s="582"/>
      <c r="AO145" s="582"/>
      <c r="AP145" s="582"/>
      <c r="AR145" s="582"/>
      <c r="AS145" s="582"/>
      <c r="AT145" s="582"/>
      <c r="AU145" s="582"/>
      <c r="AV145" s="582"/>
      <c r="AW145" s="582"/>
      <c r="AX145" s="582"/>
      <c r="AY145" s="582"/>
      <c r="AZ145" s="582"/>
      <c r="BA145" s="582"/>
      <c r="BB145" s="582"/>
      <c r="BC145" s="582"/>
      <c r="BD145" s="582"/>
      <c r="BE145" s="582"/>
      <c r="BF145" s="582"/>
      <c r="BG145" s="582"/>
      <c r="BH145" s="582"/>
      <c r="BI145" s="582"/>
      <c r="BJ145" s="582"/>
      <c r="BK145" s="582"/>
      <c r="BL145" s="584"/>
    </row>
    <row r="146" spans="3:64" s="589" customFormat="1">
      <c r="C146" s="589" t="s">
        <v>87</v>
      </c>
      <c r="D146" s="590"/>
      <c r="E146" s="591"/>
      <c r="F146" s="591"/>
      <c r="G146" s="591"/>
      <c r="H146" s="591"/>
      <c r="I146" s="591"/>
      <c r="J146" s="591"/>
      <c r="K146" s="591"/>
      <c r="L146" s="591"/>
      <c r="M146" s="591"/>
      <c r="N146" s="591"/>
      <c r="O146" s="591"/>
      <c r="P146" s="591"/>
      <c r="Q146" s="591"/>
      <c r="R146" s="591"/>
      <c r="S146" s="591"/>
      <c r="T146" s="591"/>
      <c r="U146" s="591"/>
      <c r="V146" s="591"/>
      <c r="W146" s="591"/>
      <c r="X146" s="591"/>
      <c r="Y146" s="591"/>
      <c r="Z146" s="591"/>
      <c r="AA146" s="591"/>
      <c r="AB146" s="591"/>
      <c r="AC146" s="591"/>
      <c r="AD146" s="591"/>
      <c r="AE146" s="591"/>
      <c r="AF146" s="591"/>
      <c r="AG146" s="591"/>
      <c r="AH146" s="591"/>
      <c r="AI146" s="588"/>
      <c r="AJ146" s="583"/>
      <c r="AK146" s="582"/>
      <c r="AL146" s="582"/>
      <c r="AM146" s="582"/>
      <c r="AN146" s="582"/>
      <c r="AO146" s="582"/>
      <c r="AP146" s="582"/>
      <c r="AR146" s="582"/>
      <c r="AS146" s="582"/>
      <c r="AT146" s="582"/>
      <c r="AU146" s="582"/>
      <c r="AV146" s="582"/>
      <c r="AW146" s="582"/>
      <c r="AX146" s="582"/>
      <c r="AY146" s="582"/>
      <c r="AZ146" s="582"/>
      <c r="BA146" s="582"/>
      <c r="BB146" s="582"/>
      <c r="BC146" s="582"/>
      <c r="BD146" s="582"/>
      <c r="BE146" s="582"/>
      <c r="BF146" s="582"/>
      <c r="BG146" s="582"/>
      <c r="BH146" s="582"/>
      <c r="BI146" s="582"/>
      <c r="BJ146" s="582"/>
      <c r="BK146" s="582"/>
      <c r="BL146" s="584"/>
    </row>
    <row r="147" spans="3:64" s="589" customFormat="1">
      <c r="C147" s="589" t="s">
        <v>91</v>
      </c>
      <c r="D147" s="590"/>
      <c r="E147" s="591"/>
      <c r="F147" s="591"/>
      <c r="G147" s="591"/>
      <c r="H147" s="591"/>
      <c r="I147" s="591"/>
      <c r="J147" s="591"/>
      <c r="K147" s="591"/>
      <c r="L147" s="591"/>
      <c r="M147" s="591"/>
      <c r="N147" s="591"/>
      <c r="O147" s="591"/>
      <c r="P147" s="591"/>
      <c r="Q147" s="591"/>
      <c r="R147" s="591"/>
      <c r="S147" s="591"/>
      <c r="T147" s="591"/>
      <c r="U147" s="591"/>
      <c r="V147" s="591"/>
      <c r="W147" s="591"/>
      <c r="X147" s="591"/>
      <c r="Y147" s="591"/>
      <c r="Z147" s="591"/>
      <c r="AA147" s="591"/>
      <c r="AB147" s="591"/>
      <c r="AC147" s="591"/>
      <c r="AD147" s="591"/>
      <c r="AE147" s="591"/>
      <c r="AF147" s="591"/>
      <c r="AG147" s="591"/>
      <c r="AH147" s="591"/>
      <c r="AI147" s="588"/>
      <c r="AJ147" s="583"/>
      <c r="AK147" s="582"/>
      <c r="AL147" s="582"/>
      <c r="AM147" s="582"/>
      <c r="AN147" s="582"/>
      <c r="AO147" s="582"/>
      <c r="AP147" s="582"/>
      <c r="AR147" s="582"/>
      <c r="AS147" s="582"/>
      <c r="AT147" s="582"/>
      <c r="AU147" s="582"/>
      <c r="AV147" s="582"/>
      <c r="AW147" s="582"/>
      <c r="AX147" s="582"/>
      <c r="AY147" s="582"/>
      <c r="AZ147" s="582"/>
      <c r="BA147" s="582"/>
      <c r="BB147" s="582"/>
      <c r="BC147" s="582"/>
      <c r="BD147" s="582"/>
      <c r="BE147" s="582"/>
      <c r="BF147" s="582"/>
      <c r="BG147" s="582"/>
      <c r="BH147" s="582"/>
      <c r="BI147" s="582"/>
      <c r="BJ147" s="582"/>
      <c r="BK147" s="582"/>
      <c r="BL147" s="584"/>
    </row>
    <row r="148" spans="3:64" s="589" customFormat="1" ht="6" customHeight="1">
      <c r="C148" s="592"/>
      <c r="D148" s="590"/>
      <c r="E148" s="591"/>
      <c r="F148" s="591"/>
      <c r="G148" s="591"/>
      <c r="H148" s="591"/>
      <c r="I148" s="591"/>
      <c r="J148" s="591"/>
      <c r="K148" s="591"/>
      <c r="L148" s="591"/>
      <c r="M148" s="591"/>
      <c r="N148" s="591"/>
      <c r="O148" s="591"/>
      <c r="P148" s="591"/>
      <c r="Q148" s="591"/>
      <c r="R148" s="591"/>
      <c r="S148" s="591"/>
      <c r="T148" s="591"/>
      <c r="U148" s="591"/>
      <c r="V148" s="591"/>
      <c r="W148" s="591"/>
      <c r="X148" s="591"/>
      <c r="Y148" s="591"/>
      <c r="Z148" s="591"/>
      <c r="AA148" s="591"/>
      <c r="AB148" s="591"/>
      <c r="AC148" s="591"/>
      <c r="AD148" s="591"/>
      <c r="AE148" s="591"/>
      <c r="AF148" s="591"/>
      <c r="AG148" s="591"/>
      <c r="AH148" s="591"/>
      <c r="AI148" s="588"/>
      <c r="AJ148" s="583"/>
      <c r="AK148" s="582"/>
      <c r="AL148" s="582"/>
      <c r="AM148" s="582"/>
      <c r="AN148" s="582"/>
      <c r="AO148" s="582"/>
      <c r="AP148" s="582"/>
      <c r="AR148" s="582"/>
      <c r="AS148" s="582"/>
      <c r="AT148" s="582"/>
      <c r="AU148" s="582"/>
      <c r="AV148" s="582"/>
      <c r="AW148" s="582"/>
      <c r="AX148" s="582"/>
      <c r="AY148" s="582"/>
      <c r="AZ148" s="582"/>
      <c r="BA148" s="582"/>
      <c r="BB148" s="582"/>
      <c r="BC148" s="582"/>
      <c r="BD148" s="582"/>
      <c r="BE148" s="582"/>
      <c r="BF148" s="582"/>
      <c r="BG148" s="582"/>
      <c r="BH148" s="582"/>
      <c r="BI148" s="582"/>
      <c r="BJ148" s="582"/>
      <c r="BK148" s="582"/>
      <c r="BL148" s="584"/>
    </row>
    <row r="149" spans="3:64" s="589" customFormat="1">
      <c r="C149" s="592" t="s">
        <v>83</v>
      </c>
      <c r="D149" s="590"/>
      <c r="E149" s="591"/>
      <c r="F149" s="591"/>
      <c r="G149" s="591"/>
      <c r="H149" s="591"/>
      <c r="I149" s="591"/>
      <c r="J149" s="591"/>
      <c r="K149" s="591"/>
      <c r="L149" s="591"/>
      <c r="M149" s="591"/>
      <c r="N149" s="591"/>
      <c r="O149" s="591"/>
      <c r="P149" s="591"/>
      <c r="Q149" s="591"/>
      <c r="R149" s="591"/>
      <c r="S149" s="591"/>
      <c r="T149" s="591"/>
      <c r="U149" s="591"/>
      <c r="V149" s="591"/>
      <c r="W149" s="591"/>
      <c r="X149" s="591"/>
      <c r="Y149" s="591"/>
      <c r="Z149" s="591"/>
      <c r="AA149" s="591"/>
      <c r="AB149" s="591"/>
      <c r="AC149" s="591"/>
      <c r="AD149" s="591"/>
      <c r="AE149" s="591"/>
      <c r="AF149" s="591"/>
      <c r="AG149" s="591"/>
      <c r="AH149" s="591"/>
      <c r="AI149" s="588"/>
      <c r="AJ149" s="583"/>
      <c r="AK149" s="582"/>
      <c r="AL149" s="582"/>
      <c r="AM149" s="582"/>
      <c r="AN149" s="582"/>
      <c r="AO149" s="582"/>
      <c r="AP149" s="582"/>
      <c r="AR149" s="582"/>
      <c r="AS149" s="582"/>
      <c r="AT149" s="582"/>
      <c r="AU149" s="582"/>
      <c r="AV149" s="582"/>
      <c r="AW149" s="582"/>
      <c r="AX149" s="582"/>
      <c r="AY149" s="582"/>
      <c r="AZ149" s="582"/>
      <c r="BA149" s="582"/>
      <c r="BB149" s="582"/>
      <c r="BC149" s="582"/>
      <c r="BD149" s="582"/>
      <c r="BE149" s="582"/>
      <c r="BF149" s="582"/>
      <c r="BG149" s="582"/>
      <c r="BH149" s="582"/>
      <c r="BI149" s="582"/>
      <c r="BJ149" s="582"/>
      <c r="BK149" s="582"/>
      <c r="BL149" s="584"/>
    </row>
    <row r="150" spans="3:64" s="589" customFormat="1">
      <c r="C150" s="589" t="s">
        <v>84</v>
      </c>
      <c r="D150" s="590"/>
      <c r="E150" s="591"/>
      <c r="F150" s="591"/>
      <c r="G150" s="591"/>
      <c r="H150" s="591"/>
      <c r="I150" s="591"/>
      <c r="J150" s="591"/>
      <c r="K150" s="591"/>
      <c r="L150" s="591"/>
      <c r="M150" s="591"/>
      <c r="N150" s="591"/>
      <c r="O150" s="591"/>
      <c r="P150" s="591"/>
      <c r="Q150" s="591"/>
      <c r="R150" s="591"/>
      <c r="S150" s="591"/>
      <c r="T150" s="591"/>
      <c r="U150" s="591"/>
      <c r="V150" s="591"/>
      <c r="W150" s="591"/>
      <c r="X150" s="591"/>
      <c r="Y150" s="591"/>
      <c r="Z150" s="591"/>
      <c r="AA150" s="591"/>
      <c r="AB150" s="591"/>
      <c r="AC150" s="591"/>
      <c r="AD150" s="591"/>
      <c r="AE150" s="591"/>
      <c r="AF150" s="591"/>
      <c r="AG150" s="591"/>
      <c r="AH150" s="591"/>
      <c r="AI150" s="588"/>
      <c r="AJ150" s="583"/>
      <c r="AK150" s="582"/>
      <c r="AL150" s="582"/>
      <c r="AM150" s="582"/>
      <c r="AN150" s="582"/>
      <c r="AO150" s="582"/>
      <c r="AP150" s="582"/>
      <c r="AR150" s="582"/>
      <c r="AS150" s="582"/>
      <c r="AT150" s="582"/>
      <c r="AU150" s="582"/>
      <c r="AV150" s="582"/>
      <c r="AW150" s="582"/>
      <c r="AX150" s="582"/>
      <c r="AY150" s="582"/>
      <c r="AZ150" s="582"/>
      <c r="BA150" s="582"/>
      <c r="BB150" s="582"/>
      <c r="BC150" s="582"/>
      <c r="BD150" s="582"/>
      <c r="BE150" s="582"/>
      <c r="BF150" s="582"/>
      <c r="BG150" s="582"/>
      <c r="BH150" s="582"/>
      <c r="BI150" s="582"/>
      <c r="BJ150" s="582"/>
      <c r="BK150" s="582"/>
      <c r="BL150" s="584"/>
    </row>
    <row r="151" spans="3:64" s="589" customFormat="1" ht="6" customHeight="1">
      <c r="C151" s="592"/>
      <c r="D151" s="590"/>
      <c r="E151" s="591"/>
      <c r="F151" s="591"/>
      <c r="G151" s="591"/>
      <c r="H151" s="591"/>
      <c r="I151" s="591"/>
      <c r="J151" s="591"/>
      <c r="K151" s="591"/>
      <c r="L151" s="591"/>
      <c r="M151" s="591"/>
      <c r="N151" s="591"/>
      <c r="O151" s="591"/>
      <c r="P151" s="591"/>
      <c r="Q151" s="591"/>
      <c r="R151" s="591"/>
      <c r="S151" s="591"/>
      <c r="T151" s="591"/>
      <c r="U151" s="591"/>
      <c r="V151" s="591"/>
      <c r="W151" s="591"/>
      <c r="X151" s="591"/>
      <c r="Y151" s="591"/>
      <c r="Z151" s="591"/>
      <c r="AA151" s="591"/>
      <c r="AB151" s="591"/>
      <c r="AC151" s="591"/>
      <c r="AD151" s="591"/>
      <c r="AE151" s="591"/>
      <c r="AF151" s="591"/>
      <c r="AG151" s="591"/>
      <c r="AH151" s="591"/>
      <c r="AI151" s="588"/>
      <c r="AJ151" s="583"/>
      <c r="AK151" s="582"/>
      <c r="AL151" s="582"/>
      <c r="AM151" s="582"/>
      <c r="AN151" s="582"/>
      <c r="AO151" s="582"/>
      <c r="AP151" s="582"/>
      <c r="AR151" s="582"/>
      <c r="AS151" s="582"/>
      <c r="AT151" s="582"/>
      <c r="AU151" s="582"/>
      <c r="AV151" s="582"/>
      <c r="AW151" s="582"/>
      <c r="AX151" s="582"/>
      <c r="AY151" s="582"/>
      <c r="AZ151" s="582"/>
      <c r="BA151" s="582"/>
      <c r="BB151" s="582"/>
      <c r="BC151" s="582"/>
      <c r="BD151" s="582"/>
      <c r="BE151" s="582"/>
      <c r="BF151" s="582"/>
      <c r="BG151" s="582"/>
      <c r="BH151" s="582"/>
      <c r="BI151" s="582"/>
      <c r="BJ151" s="582"/>
      <c r="BK151" s="582"/>
      <c r="BL151" s="584"/>
    </row>
    <row r="152" spans="3:64" s="589" customFormat="1">
      <c r="C152" s="592" t="s">
        <v>88</v>
      </c>
      <c r="D152" s="590"/>
      <c r="E152" s="591"/>
      <c r="F152" s="591"/>
      <c r="G152" s="591"/>
      <c r="H152" s="591"/>
      <c r="I152" s="591"/>
      <c r="J152" s="591"/>
      <c r="K152" s="591"/>
      <c r="L152" s="591"/>
      <c r="M152" s="591"/>
      <c r="N152" s="591"/>
      <c r="O152" s="591"/>
      <c r="P152" s="591"/>
      <c r="Q152" s="591"/>
      <c r="R152" s="591"/>
      <c r="S152" s="591"/>
      <c r="T152" s="591"/>
      <c r="U152" s="591"/>
      <c r="V152" s="591"/>
      <c r="W152" s="591"/>
      <c r="X152" s="591"/>
      <c r="Y152" s="591"/>
      <c r="Z152" s="591"/>
      <c r="AA152" s="591"/>
      <c r="AB152" s="591"/>
      <c r="AC152" s="591"/>
      <c r="AD152" s="591"/>
      <c r="AE152" s="591"/>
      <c r="AF152" s="591"/>
      <c r="AG152" s="591"/>
      <c r="AH152" s="591"/>
      <c r="AI152" s="588"/>
      <c r="AJ152" s="583"/>
      <c r="AK152" s="582"/>
      <c r="AL152" s="582"/>
      <c r="AM152" s="582"/>
      <c r="AN152" s="582"/>
      <c r="AO152" s="582"/>
      <c r="AP152" s="582"/>
      <c r="AR152" s="582"/>
      <c r="AS152" s="582"/>
      <c r="AT152" s="582"/>
      <c r="AU152" s="582"/>
      <c r="AV152" s="582"/>
      <c r="AW152" s="582"/>
      <c r="AX152" s="582"/>
      <c r="AY152" s="582"/>
      <c r="AZ152" s="582"/>
      <c r="BA152" s="582"/>
      <c r="BB152" s="582"/>
      <c r="BC152" s="582"/>
      <c r="BD152" s="582"/>
      <c r="BE152" s="582"/>
      <c r="BF152" s="582"/>
      <c r="BG152" s="582"/>
      <c r="BH152" s="582"/>
      <c r="BI152" s="582"/>
      <c r="BJ152" s="582"/>
      <c r="BK152" s="582"/>
      <c r="BL152" s="584"/>
    </row>
    <row r="153" spans="3:64" s="589" customFormat="1">
      <c r="C153" s="589" t="s">
        <v>89</v>
      </c>
      <c r="D153" s="590"/>
      <c r="E153" s="591"/>
      <c r="F153" s="591"/>
      <c r="G153" s="591"/>
      <c r="H153" s="591"/>
      <c r="I153" s="591"/>
      <c r="J153" s="591"/>
      <c r="K153" s="591"/>
      <c r="L153" s="591"/>
      <c r="M153" s="591"/>
      <c r="N153" s="591"/>
      <c r="O153" s="591"/>
      <c r="P153" s="591"/>
      <c r="Q153" s="591"/>
      <c r="R153" s="591"/>
      <c r="S153" s="591"/>
      <c r="T153" s="591"/>
      <c r="U153" s="591"/>
      <c r="V153" s="591"/>
      <c r="W153" s="591"/>
      <c r="X153" s="591"/>
      <c r="Y153" s="591"/>
      <c r="Z153" s="591"/>
      <c r="AA153" s="591"/>
      <c r="AB153" s="591"/>
      <c r="AC153" s="591"/>
      <c r="AD153" s="591"/>
      <c r="AE153" s="591"/>
      <c r="AF153" s="591"/>
      <c r="AG153" s="591"/>
      <c r="AH153" s="591"/>
      <c r="AI153" s="588"/>
      <c r="AJ153" s="583"/>
      <c r="AK153" s="582"/>
      <c r="AL153" s="582"/>
      <c r="AM153" s="582"/>
      <c r="AN153" s="582"/>
      <c r="AO153" s="582"/>
      <c r="AP153" s="582"/>
      <c r="AR153" s="582"/>
      <c r="AS153" s="582"/>
      <c r="AT153" s="582"/>
      <c r="AU153" s="582"/>
      <c r="AV153" s="582"/>
      <c r="AW153" s="582"/>
      <c r="AX153" s="582"/>
      <c r="AY153" s="582"/>
      <c r="AZ153" s="582"/>
      <c r="BA153" s="582"/>
      <c r="BB153" s="582"/>
      <c r="BC153" s="582"/>
      <c r="BD153" s="582"/>
      <c r="BE153" s="582"/>
      <c r="BF153" s="582"/>
      <c r="BG153" s="582"/>
      <c r="BH153" s="582"/>
      <c r="BI153" s="582"/>
      <c r="BJ153" s="582"/>
      <c r="BK153" s="582"/>
      <c r="BL153" s="584"/>
    </row>
    <row r="154" spans="3:64" s="589" customFormat="1" ht="6" customHeight="1">
      <c r="C154" s="592"/>
      <c r="D154" s="590"/>
      <c r="E154" s="591"/>
      <c r="F154" s="591"/>
      <c r="G154" s="591"/>
      <c r="H154" s="591"/>
      <c r="I154" s="591"/>
      <c r="J154" s="591"/>
      <c r="K154" s="591"/>
      <c r="L154" s="591"/>
      <c r="M154" s="591"/>
      <c r="N154" s="591"/>
      <c r="O154" s="591"/>
      <c r="P154" s="591"/>
      <c r="Q154" s="591"/>
      <c r="R154" s="591"/>
      <c r="S154" s="591"/>
      <c r="T154" s="591"/>
      <c r="U154" s="591"/>
      <c r="V154" s="591"/>
      <c r="W154" s="591"/>
      <c r="X154" s="591"/>
      <c r="Y154" s="591"/>
      <c r="Z154" s="591"/>
      <c r="AA154" s="591"/>
      <c r="AB154" s="591"/>
      <c r="AC154" s="591"/>
      <c r="AD154" s="591"/>
      <c r="AE154" s="591"/>
      <c r="AF154" s="591"/>
      <c r="AG154" s="591"/>
      <c r="AH154" s="591"/>
      <c r="AI154" s="588"/>
      <c r="AJ154" s="583"/>
      <c r="AK154" s="582"/>
      <c r="AL154" s="582"/>
      <c r="AM154" s="582"/>
      <c r="AN154" s="582"/>
      <c r="AO154" s="582"/>
      <c r="AP154" s="582"/>
      <c r="AR154" s="582"/>
      <c r="AS154" s="582"/>
      <c r="AT154" s="582"/>
      <c r="AU154" s="582"/>
      <c r="AV154" s="582"/>
      <c r="AW154" s="582"/>
      <c r="AX154" s="582"/>
      <c r="AY154" s="582"/>
      <c r="AZ154" s="582"/>
      <c r="BA154" s="582"/>
      <c r="BB154" s="582"/>
      <c r="BC154" s="582"/>
      <c r="BD154" s="582"/>
      <c r="BE154" s="582"/>
      <c r="BF154" s="582"/>
      <c r="BG154" s="582"/>
      <c r="BH154" s="582"/>
      <c r="BI154" s="582"/>
      <c r="BJ154" s="582"/>
      <c r="BK154" s="582"/>
      <c r="BL154" s="584"/>
    </row>
    <row r="155" spans="3:64" s="586" customFormat="1">
      <c r="C155" s="601" t="s">
        <v>80</v>
      </c>
      <c r="D155" s="590"/>
      <c r="E155" s="587"/>
      <c r="F155" s="591"/>
      <c r="G155" s="591"/>
      <c r="H155" s="591"/>
      <c r="I155" s="591"/>
      <c r="J155" s="591"/>
      <c r="K155" s="591"/>
      <c r="L155" s="591"/>
      <c r="M155" s="591"/>
      <c r="N155" s="591"/>
      <c r="O155" s="591"/>
      <c r="P155" s="591"/>
      <c r="Q155" s="591"/>
      <c r="R155" s="591"/>
      <c r="S155" s="591"/>
      <c r="T155" s="591"/>
      <c r="U155" s="591"/>
      <c r="V155" s="591"/>
      <c r="W155" s="591"/>
      <c r="X155" s="591"/>
      <c r="Y155" s="591"/>
      <c r="Z155" s="591"/>
      <c r="AA155" s="591"/>
      <c r="AB155" s="591"/>
      <c r="AC155" s="591"/>
      <c r="AD155" s="591"/>
      <c r="AE155" s="591"/>
      <c r="AF155" s="591"/>
      <c r="AG155" s="591"/>
      <c r="AH155" s="591"/>
      <c r="AI155" s="588"/>
      <c r="AJ155" s="583"/>
      <c r="AK155" s="582"/>
      <c r="AL155" s="582"/>
      <c r="AM155" s="582"/>
      <c r="AN155" s="582"/>
      <c r="AO155" s="582"/>
      <c r="AP155" s="582"/>
      <c r="AR155" s="582"/>
      <c r="AS155" s="582"/>
      <c r="AT155" s="582"/>
      <c r="AU155" s="582"/>
      <c r="AV155" s="582"/>
      <c r="AW155" s="582"/>
      <c r="AX155" s="582"/>
      <c r="AY155" s="582"/>
      <c r="AZ155" s="582"/>
      <c r="BA155" s="582"/>
      <c r="BB155" s="582"/>
      <c r="BC155" s="582"/>
      <c r="BD155" s="582"/>
      <c r="BE155" s="582"/>
      <c r="BF155" s="582"/>
      <c r="BG155" s="582"/>
      <c r="BH155" s="582"/>
      <c r="BI155" s="582"/>
      <c r="BJ155" s="582"/>
      <c r="BK155" s="582"/>
      <c r="BL155" s="584"/>
    </row>
    <row r="156" spans="3:64" s="589" customFormat="1">
      <c r="C156" s="601" t="s">
        <v>61</v>
      </c>
      <c r="E156" s="602"/>
      <c r="F156" s="588"/>
      <c r="G156" s="603"/>
      <c r="H156" s="603"/>
      <c r="I156" s="603"/>
      <c r="J156" s="603"/>
      <c r="K156" s="603"/>
      <c r="L156" s="603"/>
      <c r="M156" s="603"/>
      <c r="N156" s="603"/>
      <c r="O156" s="603"/>
      <c r="P156" s="603"/>
      <c r="Q156" s="603"/>
      <c r="R156" s="603"/>
      <c r="S156" s="603"/>
      <c r="T156" s="603"/>
      <c r="U156" s="588"/>
      <c r="V156" s="603"/>
      <c r="W156" s="603"/>
      <c r="X156" s="603"/>
      <c r="Y156" s="603"/>
      <c r="Z156" s="603"/>
      <c r="AA156" s="603"/>
      <c r="AB156" s="603"/>
      <c r="AC156" s="603"/>
      <c r="AD156" s="603"/>
      <c r="AE156" s="603"/>
      <c r="AF156" s="603"/>
      <c r="AG156" s="603"/>
      <c r="AH156" s="603"/>
      <c r="AI156" s="588"/>
      <c r="AJ156" s="583"/>
      <c r="AK156" s="582"/>
      <c r="AL156" s="582"/>
      <c r="AM156" s="582"/>
      <c r="AN156" s="582"/>
      <c r="AO156" s="582"/>
      <c r="AP156" s="582"/>
      <c r="AR156" s="582"/>
      <c r="AS156" s="582"/>
      <c r="AT156" s="582"/>
      <c r="AU156" s="582"/>
      <c r="AV156" s="582"/>
      <c r="AW156" s="582"/>
      <c r="AX156" s="582"/>
      <c r="AY156" s="582"/>
      <c r="AZ156" s="582"/>
      <c r="BA156" s="582"/>
      <c r="BB156" s="582"/>
      <c r="BC156" s="582"/>
      <c r="BD156" s="582"/>
      <c r="BE156" s="582"/>
      <c r="BF156" s="582"/>
      <c r="BG156" s="582"/>
      <c r="BH156" s="582"/>
      <c r="BI156" s="582"/>
      <c r="BJ156" s="582"/>
      <c r="BK156" s="582"/>
      <c r="BL156" s="584"/>
    </row>
    <row r="157" spans="3:64" s="572" customFormat="1">
      <c r="C157" s="579"/>
      <c r="E157" s="580"/>
      <c r="F157" s="575"/>
      <c r="U157" s="575"/>
      <c r="AI157" s="575"/>
      <c r="AJ157" s="573"/>
      <c r="AK157" s="236"/>
      <c r="AL157" s="236"/>
      <c r="AM157" s="236"/>
      <c r="AN157" s="236"/>
      <c r="AO157" s="236"/>
      <c r="AP157" s="236"/>
      <c r="AQ157" s="236"/>
      <c r="AR157" s="236"/>
      <c r="AS157" s="236"/>
      <c r="AT157" s="236"/>
      <c r="AU157" s="236"/>
      <c r="AV157" s="236"/>
      <c r="AW157" s="236"/>
      <c r="AX157" s="236"/>
      <c r="AY157" s="236"/>
      <c r="AZ157" s="236"/>
      <c r="BA157" s="236"/>
      <c r="BB157" s="236"/>
      <c r="BC157" s="236"/>
      <c r="BD157" s="236"/>
      <c r="BE157" s="236"/>
      <c r="BF157" s="236"/>
      <c r="BG157" s="236"/>
      <c r="BH157" s="236"/>
      <c r="BI157" s="236"/>
      <c r="BJ157" s="236"/>
      <c r="BK157" s="236"/>
      <c r="BL157" s="574"/>
    </row>
    <row r="158" spans="3:64" s="572" customFormat="1">
      <c r="C158" s="601" t="s">
        <v>499</v>
      </c>
      <c r="E158" s="580"/>
      <c r="F158" s="575"/>
      <c r="U158" s="575"/>
      <c r="AI158" s="575"/>
      <c r="AJ158" s="573"/>
      <c r="AK158" s="236"/>
      <c r="AL158" s="236"/>
      <c r="AM158" s="236"/>
      <c r="AN158" s="236"/>
      <c r="AO158" s="236"/>
      <c r="AP158" s="236"/>
      <c r="AQ158" s="236"/>
      <c r="AR158" s="236"/>
      <c r="AS158" s="236"/>
      <c r="AT158" s="236"/>
      <c r="AU158" s="236"/>
      <c r="AV158" s="236"/>
      <c r="AW158" s="236"/>
      <c r="AX158" s="236"/>
      <c r="AY158" s="236"/>
      <c r="AZ158" s="236"/>
      <c r="BA158" s="236"/>
      <c r="BB158" s="236"/>
      <c r="BC158" s="236"/>
      <c r="BD158" s="236"/>
      <c r="BE158" s="236"/>
      <c r="BF158" s="236"/>
      <c r="BG158" s="236"/>
      <c r="BH158" s="236"/>
      <c r="BI158" s="236"/>
      <c r="BJ158" s="236"/>
      <c r="BK158" s="236"/>
      <c r="BL158" s="574"/>
    </row>
    <row r="159" spans="3:64" s="572" customFormat="1">
      <c r="C159" s="601" t="s">
        <v>500</v>
      </c>
      <c r="E159" s="580"/>
      <c r="F159" s="575"/>
      <c r="U159" s="575"/>
      <c r="AI159" s="575"/>
      <c r="AJ159" s="573"/>
      <c r="AK159" s="236"/>
      <c r="AL159" s="236"/>
      <c r="AM159" s="236"/>
      <c r="AN159" s="236"/>
      <c r="AO159" s="236"/>
      <c r="AP159" s="236"/>
      <c r="AQ159" s="236"/>
      <c r="AR159" s="236"/>
      <c r="AS159" s="236"/>
      <c r="AT159" s="236"/>
      <c r="AU159" s="236"/>
      <c r="AV159" s="236"/>
      <c r="AW159" s="236"/>
      <c r="AX159" s="236"/>
      <c r="AY159" s="236"/>
      <c r="AZ159" s="236"/>
      <c r="BA159" s="236"/>
      <c r="BB159" s="236"/>
      <c r="BC159" s="236"/>
      <c r="BD159" s="236"/>
      <c r="BE159" s="236"/>
      <c r="BF159" s="236"/>
      <c r="BG159" s="236"/>
      <c r="BH159" s="236"/>
      <c r="BI159" s="236"/>
      <c r="BJ159" s="236"/>
      <c r="BK159" s="236"/>
      <c r="BL159" s="574"/>
    </row>
    <row r="160" spans="3:64" s="572" customFormat="1">
      <c r="C160" s="581"/>
      <c r="E160" s="580"/>
      <c r="F160" s="575"/>
      <c r="U160" s="575"/>
      <c r="AI160" s="575"/>
      <c r="AJ160" s="573"/>
      <c r="AK160" s="236"/>
      <c r="AL160" s="236"/>
      <c r="AM160" s="236"/>
      <c r="AN160" s="236"/>
      <c r="AO160" s="236"/>
      <c r="AP160" s="236"/>
      <c r="AQ160" s="236"/>
      <c r="AR160" s="236"/>
      <c r="AS160" s="236"/>
      <c r="AT160" s="236"/>
      <c r="AU160" s="236"/>
      <c r="AV160" s="236"/>
      <c r="AW160" s="236"/>
      <c r="AX160" s="236"/>
      <c r="AY160" s="236"/>
      <c r="AZ160" s="236"/>
      <c r="BA160" s="236"/>
      <c r="BB160" s="236"/>
      <c r="BC160" s="236"/>
      <c r="BD160" s="236"/>
      <c r="BE160" s="236"/>
      <c r="BF160" s="236"/>
      <c r="BG160" s="236"/>
      <c r="BH160" s="236"/>
      <c r="BI160" s="236"/>
      <c r="BJ160" s="236"/>
      <c r="BK160" s="236"/>
      <c r="BL160" s="574"/>
    </row>
    <row r="161" spans="3:64" s="572" customFormat="1">
      <c r="C161" s="581"/>
      <c r="E161" s="580"/>
      <c r="F161" s="575"/>
      <c r="U161" s="575"/>
      <c r="AI161" s="575"/>
      <c r="AJ161" s="573"/>
      <c r="AK161" s="236"/>
      <c r="AL161" s="236"/>
      <c r="AM161" s="236"/>
      <c r="AN161" s="236"/>
      <c r="AO161" s="236"/>
      <c r="AP161" s="236"/>
      <c r="AQ161" s="236"/>
      <c r="AR161" s="236"/>
      <c r="AS161" s="236"/>
      <c r="AT161" s="236"/>
      <c r="AU161" s="236"/>
      <c r="AV161" s="236"/>
      <c r="AW161" s="236"/>
      <c r="AX161" s="236"/>
      <c r="AY161" s="236"/>
      <c r="AZ161" s="236"/>
      <c r="BA161" s="236"/>
      <c r="BB161" s="236"/>
      <c r="BC161" s="236"/>
      <c r="BD161" s="236"/>
      <c r="BE161" s="236"/>
      <c r="BF161" s="236"/>
      <c r="BG161" s="236"/>
      <c r="BH161" s="236"/>
      <c r="BI161" s="236"/>
      <c r="BJ161" s="236"/>
      <c r="BK161" s="236"/>
      <c r="BL161" s="574"/>
    </row>
    <row r="162" spans="3:64" s="572" customFormat="1">
      <c r="E162" s="580"/>
      <c r="F162" s="575"/>
      <c r="U162" s="575"/>
      <c r="AI162" s="575"/>
      <c r="AJ162" s="573"/>
      <c r="AK162" s="236"/>
      <c r="AL162" s="236"/>
      <c r="AM162" s="236"/>
      <c r="AN162" s="236"/>
      <c r="AO162" s="236"/>
      <c r="AP162" s="236"/>
      <c r="AQ162" s="236"/>
      <c r="AR162" s="236"/>
      <c r="AS162" s="236"/>
      <c r="AT162" s="236"/>
      <c r="AU162" s="236"/>
      <c r="AV162" s="236"/>
      <c r="AW162" s="236"/>
      <c r="AX162" s="236"/>
      <c r="AY162" s="236"/>
      <c r="AZ162" s="236"/>
      <c r="BA162" s="236"/>
      <c r="BB162" s="236"/>
      <c r="BC162" s="236"/>
      <c r="BD162" s="236"/>
      <c r="BE162" s="236"/>
      <c r="BF162" s="236"/>
      <c r="BG162" s="236"/>
      <c r="BH162" s="236"/>
      <c r="BI162" s="236"/>
      <c r="BJ162" s="236"/>
      <c r="BK162" s="236"/>
      <c r="BL162" s="574"/>
    </row>
    <row r="163" spans="3:64" s="572" customFormat="1">
      <c r="C163" s="581"/>
      <c r="E163" s="580"/>
      <c r="F163" s="575"/>
      <c r="U163" s="575"/>
      <c r="AI163" s="575"/>
      <c r="AJ163" s="573"/>
      <c r="AK163" s="236"/>
      <c r="AL163" s="236"/>
      <c r="AM163" s="236"/>
      <c r="AN163" s="236"/>
      <c r="AO163" s="236"/>
      <c r="AP163" s="236"/>
      <c r="AQ163" s="236"/>
      <c r="AR163" s="236"/>
      <c r="AS163" s="236"/>
      <c r="AT163" s="236"/>
      <c r="AU163" s="236"/>
      <c r="AV163" s="236"/>
      <c r="AW163" s="236"/>
      <c r="AX163" s="236"/>
      <c r="AY163" s="236"/>
      <c r="AZ163" s="236"/>
      <c r="BA163" s="236"/>
      <c r="BB163" s="236"/>
      <c r="BC163" s="236"/>
      <c r="BD163" s="236"/>
      <c r="BE163" s="236"/>
      <c r="BF163" s="236"/>
      <c r="BG163" s="236"/>
      <c r="BH163" s="236"/>
      <c r="BI163" s="236"/>
      <c r="BJ163" s="236"/>
      <c r="BK163" s="236"/>
      <c r="BL163" s="574"/>
    </row>
    <row r="164" spans="3:64" s="572" customFormat="1">
      <c r="C164" s="581"/>
      <c r="E164" s="580"/>
      <c r="F164" s="575"/>
      <c r="U164" s="575"/>
      <c r="AI164" s="575"/>
      <c r="AJ164" s="573"/>
      <c r="AK164" s="236"/>
      <c r="AL164" s="236"/>
      <c r="AM164" s="236"/>
      <c r="AN164" s="236"/>
      <c r="AO164" s="236"/>
      <c r="AP164" s="236"/>
      <c r="AQ164" s="236"/>
      <c r="AR164" s="236"/>
      <c r="AS164" s="236"/>
      <c r="AT164" s="236"/>
      <c r="AU164" s="236"/>
      <c r="AV164" s="236"/>
      <c r="AW164" s="236"/>
      <c r="AX164" s="236"/>
      <c r="AY164" s="236"/>
      <c r="AZ164" s="236"/>
      <c r="BA164" s="236"/>
      <c r="BB164" s="236"/>
      <c r="BC164" s="236"/>
      <c r="BD164" s="236"/>
      <c r="BE164" s="236"/>
      <c r="BF164" s="236"/>
      <c r="BG164" s="236"/>
      <c r="BH164" s="236"/>
      <c r="BI164" s="236"/>
      <c r="BJ164" s="236"/>
      <c r="BK164" s="236"/>
      <c r="BL164" s="574"/>
    </row>
    <row r="165" spans="3:64" s="572" customFormat="1">
      <c r="C165" s="581"/>
      <c r="E165" s="580"/>
      <c r="F165" s="575"/>
      <c r="U165" s="575"/>
      <c r="AI165" s="575"/>
      <c r="AJ165" s="573"/>
      <c r="AK165" s="236"/>
      <c r="AL165" s="236"/>
      <c r="AM165" s="236"/>
      <c r="AN165" s="236"/>
      <c r="AO165" s="236"/>
      <c r="AP165" s="236"/>
      <c r="AQ165" s="236"/>
      <c r="AR165" s="236"/>
      <c r="AS165" s="236"/>
      <c r="AT165" s="236"/>
      <c r="AU165" s="236"/>
      <c r="AV165" s="236"/>
      <c r="AW165" s="236"/>
      <c r="AX165" s="236"/>
      <c r="AY165" s="236"/>
      <c r="AZ165" s="236"/>
      <c r="BA165" s="236"/>
      <c r="BB165" s="236"/>
      <c r="BC165" s="236"/>
      <c r="BD165" s="236"/>
      <c r="BE165" s="236"/>
      <c r="BF165" s="236"/>
      <c r="BG165" s="236"/>
      <c r="BH165" s="236"/>
      <c r="BI165" s="236"/>
      <c r="BJ165" s="236"/>
      <c r="BK165" s="236"/>
      <c r="BL165" s="574"/>
    </row>
    <row r="166" spans="3:64" s="572" customFormat="1">
      <c r="E166" s="580"/>
      <c r="F166" s="575"/>
      <c r="U166" s="575"/>
      <c r="AI166" s="575"/>
      <c r="AJ166" s="573"/>
      <c r="AK166" s="236"/>
      <c r="AL166" s="236"/>
      <c r="AM166" s="236"/>
      <c r="AN166" s="236"/>
      <c r="AO166" s="236"/>
      <c r="AP166" s="236"/>
      <c r="AQ166" s="236"/>
      <c r="AR166" s="236"/>
      <c r="AS166" s="236"/>
      <c r="AT166" s="236"/>
      <c r="AU166" s="236"/>
      <c r="AV166" s="236"/>
      <c r="AW166" s="236"/>
      <c r="AX166" s="236"/>
      <c r="AY166" s="236"/>
      <c r="AZ166" s="236"/>
      <c r="BA166" s="236"/>
      <c r="BB166" s="236"/>
      <c r="BC166" s="236"/>
      <c r="BD166" s="236"/>
      <c r="BE166" s="236"/>
      <c r="BF166" s="236"/>
      <c r="BG166" s="236"/>
      <c r="BH166" s="236"/>
      <c r="BI166" s="236"/>
      <c r="BJ166" s="236"/>
      <c r="BK166" s="236"/>
      <c r="BL166" s="574"/>
    </row>
    <row r="167" spans="3:64" s="572" customFormat="1">
      <c r="E167" s="580"/>
      <c r="F167" s="575"/>
      <c r="U167" s="575"/>
      <c r="AI167" s="575"/>
      <c r="AJ167" s="573"/>
      <c r="AK167" s="236"/>
      <c r="AL167" s="236"/>
      <c r="AM167" s="236"/>
      <c r="AN167" s="236"/>
      <c r="AO167" s="236"/>
      <c r="AP167" s="236"/>
      <c r="AQ167" s="236"/>
      <c r="AR167" s="236"/>
      <c r="AS167" s="236"/>
      <c r="AT167" s="236"/>
      <c r="AU167" s="236"/>
      <c r="AV167" s="236"/>
      <c r="AW167" s="236"/>
      <c r="AX167" s="236"/>
      <c r="AY167" s="236"/>
      <c r="AZ167" s="236"/>
      <c r="BA167" s="236"/>
      <c r="BB167" s="236"/>
      <c r="BC167" s="236"/>
      <c r="BD167" s="236"/>
      <c r="BE167" s="236"/>
      <c r="BF167" s="236"/>
      <c r="BG167" s="236"/>
      <c r="BH167" s="236"/>
      <c r="BI167" s="236"/>
      <c r="BJ167" s="236"/>
      <c r="BK167" s="236"/>
      <c r="BL167" s="574"/>
    </row>
    <row r="168" spans="3:64" s="572" customFormat="1">
      <c r="E168" s="580"/>
      <c r="F168" s="575"/>
      <c r="U168" s="575"/>
      <c r="AI168" s="575"/>
      <c r="AJ168" s="573"/>
      <c r="AK168" s="236"/>
      <c r="AL168" s="236"/>
      <c r="AM168" s="236"/>
      <c r="AN168" s="236"/>
      <c r="AO168" s="236"/>
      <c r="AP168" s="236"/>
      <c r="AQ168" s="236"/>
      <c r="AR168" s="236"/>
      <c r="AS168" s="236"/>
      <c r="AT168" s="236"/>
      <c r="AU168" s="236"/>
      <c r="AV168" s="236"/>
      <c r="AW168" s="236"/>
      <c r="AX168" s="236"/>
      <c r="AY168" s="236"/>
      <c r="AZ168" s="236"/>
      <c r="BA168" s="236"/>
      <c r="BB168" s="236"/>
      <c r="BC168" s="236"/>
      <c r="BD168" s="236"/>
      <c r="BE168" s="236"/>
      <c r="BF168" s="236"/>
      <c r="BG168" s="236"/>
      <c r="BH168" s="236"/>
      <c r="BI168" s="236"/>
      <c r="BJ168" s="236"/>
      <c r="BK168" s="236"/>
      <c r="BL168" s="574"/>
    </row>
    <row r="169" spans="3:64" s="572" customFormat="1">
      <c r="E169" s="580"/>
      <c r="F169" s="575"/>
      <c r="U169" s="575"/>
      <c r="AI169" s="575"/>
      <c r="AJ169" s="573"/>
      <c r="AK169" s="236"/>
      <c r="AL169" s="236"/>
      <c r="AM169" s="236"/>
      <c r="AN169" s="236"/>
      <c r="AO169" s="236"/>
      <c r="AP169" s="236"/>
      <c r="AQ169" s="236"/>
      <c r="AR169" s="236"/>
      <c r="AS169" s="236"/>
      <c r="AT169" s="236"/>
      <c r="AU169" s="236"/>
      <c r="AV169" s="236"/>
      <c r="AW169" s="236"/>
      <c r="AX169" s="236"/>
      <c r="AY169" s="236"/>
      <c r="AZ169" s="236"/>
      <c r="BA169" s="236"/>
      <c r="BB169" s="236"/>
      <c r="BC169" s="236"/>
      <c r="BD169" s="236"/>
      <c r="BE169" s="236"/>
      <c r="BF169" s="236"/>
      <c r="BG169" s="236"/>
      <c r="BH169" s="236"/>
      <c r="BI169" s="236"/>
      <c r="BJ169" s="236"/>
      <c r="BK169" s="236"/>
      <c r="BL169" s="574"/>
    </row>
    <row r="170" spans="3:64" s="572" customFormat="1">
      <c r="E170" s="580"/>
      <c r="F170" s="575"/>
      <c r="U170" s="575"/>
      <c r="AI170" s="575"/>
      <c r="AJ170" s="573"/>
      <c r="AK170" s="236"/>
      <c r="AL170" s="236"/>
      <c r="AM170" s="236"/>
      <c r="AN170" s="236"/>
      <c r="AO170" s="236"/>
      <c r="AP170" s="236"/>
      <c r="AQ170" s="236"/>
      <c r="AR170" s="236"/>
      <c r="AS170" s="236"/>
      <c r="AT170" s="236"/>
      <c r="AU170" s="236"/>
      <c r="AV170" s="236"/>
      <c r="AW170" s="236"/>
      <c r="AX170" s="236"/>
      <c r="AY170" s="236"/>
      <c r="AZ170" s="236"/>
      <c r="BA170" s="236"/>
      <c r="BB170" s="236"/>
      <c r="BC170" s="236"/>
      <c r="BD170" s="236"/>
      <c r="BE170" s="236"/>
      <c r="BF170" s="236"/>
      <c r="BG170" s="236"/>
      <c r="BH170" s="236"/>
      <c r="BI170" s="236"/>
      <c r="BJ170" s="236"/>
      <c r="BK170" s="236"/>
      <c r="BL170" s="574"/>
    </row>
    <row r="171" spans="3:64" s="572" customFormat="1">
      <c r="E171" s="580"/>
      <c r="F171" s="575"/>
      <c r="U171" s="575"/>
      <c r="AI171" s="575"/>
      <c r="AJ171" s="573"/>
      <c r="AK171" s="236"/>
      <c r="AL171" s="236"/>
      <c r="AM171" s="236"/>
      <c r="AN171" s="236"/>
      <c r="AO171" s="236"/>
      <c r="AP171" s="236"/>
      <c r="AQ171" s="236"/>
      <c r="AR171" s="236"/>
      <c r="AS171" s="236"/>
      <c r="AT171" s="236"/>
      <c r="AU171" s="236"/>
      <c r="AV171" s="236"/>
      <c r="AW171" s="236"/>
      <c r="AX171" s="236"/>
      <c r="AY171" s="236"/>
      <c r="AZ171" s="236"/>
      <c r="BA171" s="236"/>
      <c r="BB171" s="236"/>
      <c r="BC171" s="236"/>
      <c r="BD171" s="236"/>
      <c r="BE171" s="236"/>
      <c r="BF171" s="236"/>
      <c r="BG171" s="236"/>
      <c r="BH171" s="236"/>
      <c r="BI171" s="236"/>
      <c r="BJ171" s="236"/>
      <c r="BK171" s="236"/>
      <c r="BL171" s="574"/>
    </row>
    <row r="172" spans="3:64" s="572" customFormat="1">
      <c r="E172" s="580"/>
      <c r="F172" s="575"/>
      <c r="U172" s="575"/>
      <c r="AI172" s="575"/>
      <c r="AJ172" s="573"/>
      <c r="AK172" s="236"/>
      <c r="AL172" s="236"/>
      <c r="AM172" s="236"/>
      <c r="AN172" s="236"/>
      <c r="AO172" s="236"/>
      <c r="AP172" s="236"/>
      <c r="AQ172" s="236"/>
      <c r="AR172" s="236"/>
      <c r="AS172" s="236"/>
      <c r="AT172" s="236"/>
      <c r="AU172" s="236"/>
      <c r="AV172" s="236"/>
      <c r="AW172" s="236"/>
      <c r="AX172" s="236"/>
      <c r="AY172" s="236"/>
      <c r="AZ172" s="236"/>
      <c r="BA172" s="236"/>
      <c r="BB172" s="236"/>
      <c r="BC172" s="236"/>
      <c r="BD172" s="236"/>
      <c r="BE172" s="236"/>
      <c r="BF172" s="236"/>
      <c r="BG172" s="236"/>
      <c r="BH172" s="236"/>
      <c r="BI172" s="236"/>
      <c r="BJ172" s="236"/>
      <c r="BK172" s="236"/>
      <c r="BL172" s="574"/>
    </row>
    <row r="173" spans="3:64" s="572" customFormat="1">
      <c r="E173" s="580"/>
      <c r="F173" s="575"/>
      <c r="U173" s="575"/>
      <c r="AI173" s="575"/>
      <c r="AJ173" s="573"/>
      <c r="AK173" s="236"/>
      <c r="AL173" s="236"/>
      <c r="AM173" s="236"/>
      <c r="AN173" s="236"/>
      <c r="AO173" s="236"/>
      <c r="AP173" s="236"/>
      <c r="AQ173" s="236"/>
      <c r="AR173" s="236"/>
      <c r="AS173" s="236"/>
      <c r="AT173" s="236"/>
      <c r="AU173" s="236"/>
      <c r="AV173" s="236"/>
      <c r="AW173" s="236"/>
      <c r="AX173" s="236"/>
      <c r="AY173" s="236"/>
      <c r="AZ173" s="236"/>
      <c r="BA173" s="236"/>
      <c r="BB173" s="236"/>
      <c r="BC173" s="236"/>
      <c r="BD173" s="236"/>
      <c r="BE173" s="236"/>
      <c r="BF173" s="236"/>
      <c r="BG173" s="236"/>
      <c r="BH173" s="236"/>
      <c r="BI173" s="236"/>
      <c r="BJ173" s="236"/>
      <c r="BK173" s="236"/>
      <c r="BL173" s="574"/>
    </row>
    <row r="174" spans="3:64" s="572" customFormat="1">
      <c r="E174" s="580"/>
      <c r="F174" s="575"/>
      <c r="U174" s="575"/>
      <c r="AI174" s="575"/>
      <c r="AJ174" s="573"/>
      <c r="AK174" s="236"/>
      <c r="AL174" s="236"/>
      <c r="AM174" s="236"/>
      <c r="AN174" s="236"/>
      <c r="AO174" s="236"/>
      <c r="AP174" s="236"/>
      <c r="AQ174" s="236"/>
      <c r="AR174" s="236"/>
      <c r="AS174" s="236"/>
      <c r="AT174" s="236"/>
      <c r="AU174" s="236"/>
      <c r="AV174" s="236"/>
      <c r="AW174" s="236"/>
      <c r="AX174" s="236"/>
      <c r="AY174" s="236"/>
      <c r="AZ174" s="236"/>
      <c r="BA174" s="236"/>
      <c r="BB174" s="236"/>
      <c r="BC174" s="236"/>
      <c r="BD174" s="236"/>
      <c r="BE174" s="236"/>
      <c r="BF174" s="236"/>
      <c r="BG174" s="236"/>
      <c r="BH174" s="236"/>
      <c r="BI174" s="236"/>
      <c r="BJ174" s="236"/>
      <c r="BK174" s="236"/>
      <c r="BL174" s="574"/>
    </row>
    <row r="175" spans="3:64" s="572" customFormat="1">
      <c r="E175" s="580"/>
      <c r="F175" s="575"/>
      <c r="U175" s="575"/>
      <c r="AI175" s="575"/>
      <c r="AJ175" s="573"/>
      <c r="AK175" s="236"/>
      <c r="AL175" s="236"/>
      <c r="AM175" s="236"/>
      <c r="AN175" s="236"/>
      <c r="AO175" s="236"/>
      <c r="AP175" s="236"/>
      <c r="AQ175" s="236"/>
      <c r="AR175" s="236"/>
      <c r="AS175" s="236"/>
      <c r="AT175" s="236"/>
      <c r="AU175" s="236"/>
      <c r="AV175" s="236"/>
      <c r="AW175" s="236"/>
      <c r="AX175" s="236"/>
      <c r="AY175" s="236"/>
      <c r="AZ175" s="236"/>
      <c r="BA175" s="236"/>
      <c r="BB175" s="236"/>
      <c r="BC175" s="236"/>
      <c r="BD175" s="236"/>
      <c r="BE175" s="236"/>
      <c r="BF175" s="236"/>
      <c r="BG175" s="236"/>
      <c r="BH175" s="236"/>
      <c r="BI175" s="236"/>
      <c r="BJ175" s="236"/>
      <c r="BK175" s="236"/>
      <c r="BL175" s="574"/>
    </row>
    <row r="176" spans="3:64" s="572" customFormat="1">
      <c r="E176" s="580"/>
      <c r="F176" s="575"/>
      <c r="U176" s="575"/>
      <c r="AI176" s="575"/>
      <c r="AJ176" s="573"/>
      <c r="AK176" s="236"/>
      <c r="AL176" s="236"/>
      <c r="AM176" s="236"/>
      <c r="AN176" s="236"/>
      <c r="AO176" s="236"/>
      <c r="AP176" s="236"/>
      <c r="AQ176" s="236"/>
      <c r="AR176" s="236"/>
      <c r="AS176" s="236"/>
      <c r="AT176" s="236"/>
      <c r="AU176" s="236"/>
      <c r="AV176" s="236"/>
      <c r="AW176" s="236"/>
      <c r="AX176" s="236"/>
      <c r="AY176" s="236"/>
      <c r="AZ176" s="236"/>
      <c r="BA176" s="236"/>
      <c r="BB176" s="236"/>
      <c r="BC176" s="236"/>
      <c r="BD176" s="236"/>
      <c r="BE176" s="236"/>
      <c r="BF176" s="236"/>
      <c r="BG176" s="236"/>
      <c r="BH176" s="236"/>
      <c r="BI176" s="236"/>
      <c r="BJ176" s="236"/>
      <c r="BK176" s="236"/>
      <c r="BL176" s="574"/>
    </row>
    <row r="177" spans="5:64" s="572" customFormat="1">
      <c r="E177" s="580"/>
      <c r="F177" s="575"/>
      <c r="U177" s="575"/>
      <c r="AI177" s="575"/>
      <c r="AJ177" s="573"/>
      <c r="AK177" s="236"/>
      <c r="AL177" s="236"/>
      <c r="AM177" s="236"/>
      <c r="AN177" s="236"/>
      <c r="AO177" s="236"/>
      <c r="AP177" s="236"/>
      <c r="AQ177" s="236"/>
      <c r="AR177" s="236"/>
      <c r="AS177" s="236"/>
      <c r="AT177" s="236"/>
      <c r="AU177" s="236"/>
      <c r="AV177" s="236"/>
      <c r="AW177" s="236"/>
      <c r="AX177" s="236"/>
      <c r="AY177" s="236"/>
      <c r="AZ177" s="236"/>
      <c r="BA177" s="236"/>
      <c r="BB177" s="236"/>
      <c r="BC177" s="236"/>
      <c r="BD177" s="236"/>
      <c r="BE177" s="236"/>
      <c r="BF177" s="236"/>
      <c r="BG177" s="236"/>
      <c r="BH177" s="236"/>
      <c r="BI177" s="236"/>
      <c r="BJ177" s="236"/>
      <c r="BK177" s="236"/>
      <c r="BL177" s="574"/>
    </row>
    <row r="178" spans="5:64" s="572" customFormat="1">
      <c r="E178" s="580"/>
      <c r="F178" s="575"/>
      <c r="U178" s="575"/>
      <c r="AI178" s="575"/>
      <c r="AJ178" s="573"/>
      <c r="AK178" s="236"/>
      <c r="AL178" s="236"/>
      <c r="AM178" s="236"/>
      <c r="AN178" s="236"/>
      <c r="AO178" s="236"/>
      <c r="AP178" s="236"/>
      <c r="AQ178" s="236"/>
      <c r="AR178" s="236"/>
      <c r="AS178" s="236"/>
      <c r="AT178" s="236"/>
      <c r="AU178" s="236"/>
      <c r="AV178" s="236"/>
      <c r="AW178" s="236"/>
      <c r="AX178" s="236"/>
      <c r="AY178" s="236"/>
      <c r="AZ178" s="236"/>
      <c r="BA178" s="236"/>
      <c r="BB178" s="236"/>
      <c r="BC178" s="236"/>
      <c r="BD178" s="236"/>
      <c r="BE178" s="236"/>
      <c r="BF178" s="236"/>
      <c r="BG178" s="236"/>
      <c r="BH178" s="236"/>
      <c r="BI178" s="236"/>
      <c r="BJ178" s="236"/>
      <c r="BK178" s="236"/>
      <c r="BL178" s="574"/>
    </row>
    <row r="179" spans="5:64" s="572" customFormat="1">
      <c r="E179" s="580"/>
      <c r="F179" s="575"/>
      <c r="U179" s="575"/>
      <c r="AI179" s="575"/>
      <c r="AJ179" s="573"/>
      <c r="AK179" s="236"/>
      <c r="AL179" s="236"/>
      <c r="AM179" s="236"/>
      <c r="AN179" s="236"/>
      <c r="AO179" s="236"/>
      <c r="AP179" s="236"/>
      <c r="AQ179" s="236"/>
      <c r="AR179" s="236"/>
      <c r="AS179" s="236"/>
      <c r="AT179" s="236"/>
      <c r="AU179" s="236"/>
      <c r="AV179" s="236"/>
      <c r="AW179" s="236"/>
      <c r="AX179" s="236"/>
      <c r="AY179" s="236"/>
      <c r="AZ179" s="236"/>
      <c r="BA179" s="236"/>
      <c r="BB179" s="236"/>
      <c r="BC179" s="236"/>
      <c r="BD179" s="236"/>
      <c r="BE179" s="236"/>
      <c r="BF179" s="236"/>
      <c r="BG179" s="236"/>
      <c r="BH179" s="236"/>
      <c r="BI179" s="236"/>
      <c r="BJ179" s="236"/>
      <c r="BK179" s="236"/>
      <c r="BL179" s="574"/>
    </row>
    <row r="180" spans="5:64" s="572" customFormat="1">
      <c r="E180" s="580"/>
      <c r="F180" s="575"/>
      <c r="U180" s="575"/>
      <c r="AI180" s="575"/>
      <c r="AJ180" s="573"/>
      <c r="AK180" s="236"/>
      <c r="AL180" s="236"/>
      <c r="AM180" s="236"/>
      <c r="AN180" s="236"/>
      <c r="AO180" s="236"/>
      <c r="AP180" s="236"/>
      <c r="AQ180" s="236"/>
      <c r="AR180" s="236"/>
      <c r="AS180" s="236"/>
      <c r="AT180" s="236"/>
      <c r="AU180" s="236"/>
      <c r="AV180" s="236"/>
      <c r="AW180" s="236"/>
      <c r="AX180" s="236"/>
      <c r="AY180" s="236"/>
      <c r="AZ180" s="236"/>
      <c r="BA180" s="236"/>
      <c r="BB180" s="236"/>
      <c r="BC180" s="236"/>
      <c r="BD180" s="236"/>
      <c r="BE180" s="236"/>
      <c r="BF180" s="236"/>
      <c r="BG180" s="236"/>
      <c r="BH180" s="236"/>
      <c r="BI180" s="236"/>
      <c r="BJ180" s="236"/>
      <c r="BK180" s="236"/>
      <c r="BL180" s="574"/>
    </row>
    <row r="181" spans="5:64" s="572" customFormat="1">
      <c r="E181" s="580"/>
      <c r="F181" s="575"/>
      <c r="U181" s="575"/>
      <c r="AI181" s="575"/>
      <c r="AJ181" s="573"/>
      <c r="AK181" s="236"/>
      <c r="AL181" s="236"/>
      <c r="AM181" s="236"/>
      <c r="AN181" s="236"/>
      <c r="AO181" s="236"/>
      <c r="AP181" s="236"/>
      <c r="AQ181" s="236"/>
      <c r="AR181" s="236"/>
      <c r="AS181" s="236"/>
      <c r="AT181" s="236"/>
      <c r="AU181" s="236"/>
      <c r="AV181" s="236"/>
      <c r="AW181" s="236"/>
      <c r="AX181" s="236"/>
      <c r="AY181" s="236"/>
      <c r="AZ181" s="236"/>
      <c r="BA181" s="236"/>
      <c r="BB181" s="236"/>
      <c r="BC181" s="236"/>
      <c r="BD181" s="236"/>
      <c r="BE181" s="236"/>
      <c r="BF181" s="236"/>
      <c r="BG181" s="236"/>
      <c r="BH181" s="236"/>
      <c r="BI181" s="236"/>
      <c r="BJ181" s="236"/>
      <c r="BK181" s="236"/>
      <c r="BL181" s="574"/>
    </row>
    <row r="182" spans="5:64" s="572" customFormat="1">
      <c r="E182" s="580"/>
      <c r="F182" s="575"/>
      <c r="U182" s="575"/>
      <c r="AI182" s="575"/>
      <c r="AJ182" s="573"/>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574"/>
    </row>
    <row r="183" spans="5:64" s="572" customFormat="1">
      <c r="E183" s="580"/>
      <c r="F183" s="575"/>
      <c r="U183" s="575"/>
      <c r="AI183" s="575"/>
      <c r="AJ183" s="573"/>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574"/>
    </row>
    <row r="184" spans="5:64" s="572" customFormat="1">
      <c r="E184" s="580"/>
      <c r="F184" s="575"/>
      <c r="U184" s="575"/>
      <c r="AI184" s="575"/>
      <c r="AJ184" s="573"/>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574"/>
    </row>
    <row r="185" spans="5:64" s="572" customFormat="1">
      <c r="E185" s="580"/>
      <c r="F185" s="575"/>
      <c r="U185" s="575"/>
      <c r="AI185" s="575"/>
      <c r="AJ185" s="573"/>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574"/>
    </row>
    <row r="186" spans="5:64" s="572" customFormat="1">
      <c r="E186" s="580"/>
      <c r="F186" s="575"/>
      <c r="U186" s="575"/>
      <c r="AI186" s="575"/>
      <c r="AJ186" s="573"/>
      <c r="AK186" s="236"/>
      <c r="AL186" s="236"/>
      <c r="AM186" s="236"/>
      <c r="AN186" s="236"/>
      <c r="AO186" s="236"/>
      <c r="AP186" s="236"/>
      <c r="AQ186" s="236"/>
      <c r="AR186" s="236"/>
      <c r="AS186" s="236"/>
      <c r="AT186" s="236"/>
      <c r="AU186" s="236"/>
      <c r="AV186" s="236"/>
      <c r="AW186" s="236"/>
      <c r="AX186" s="236"/>
      <c r="AY186" s="236"/>
      <c r="AZ186" s="236"/>
      <c r="BA186" s="236"/>
      <c r="BB186" s="236"/>
      <c r="BC186" s="236"/>
      <c r="BD186" s="236"/>
      <c r="BE186" s="236"/>
      <c r="BF186" s="236"/>
      <c r="BG186" s="236"/>
      <c r="BH186" s="236"/>
      <c r="BI186" s="236"/>
      <c r="BJ186" s="236"/>
      <c r="BK186" s="236"/>
      <c r="BL186" s="574"/>
    </row>
    <row r="187" spans="5:64" s="572" customFormat="1">
      <c r="E187" s="580"/>
      <c r="F187" s="575"/>
      <c r="U187" s="575"/>
      <c r="AI187" s="575"/>
      <c r="AJ187" s="573"/>
      <c r="AK187" s="236"/>
      <c r="AL187" s="236"/>
      <c r="AM187" s="236"/>
      <c r="AN187" s="236"/>
      <c r="AO187" s="236"/>
      <c r="AP187" s="236"/>
      <c r="AQ187" s="236"/>
      <c r="AR187" s="236"/>
      <c r="AS187" s="236"/>
      <c r="AT187" s="236"/>
      <c r="AU187" s="236"/>
      <c r="AV187" s="236"/>
      <c r="AW187" s="236"/>
      <c r="AX187" s="236"/>
      <c r="AY187" s="236"/>
      <c r="AZ187" s="236"/>
      <c r="BA187" s="236"/>
      <c r="BB187" s="236"/>
      <c r="BC187" s="236"/>
      <c r="BD187" s="236"/>
      <c r="BE187" s="236"/>
      <c r="BF187" s="236"/>
      <c r="BG187" s="236"/>
      <c r="BH187" s="236"/>
      <c r="BI187" s="236"/>
      <c r="BJ187" s="236"/>
      <c r="BK187" s="236"/>
      <c r="BL187" s="574"/>
    </row>
    <row r="188" spans="5:64" s="572" customFormat="1">
      <c r="E188" s="580"/>
      <c r="F188" s="575"/>
      <c r="U188" s="575"/>
      <c r="AI188" s="575"/>
      <c r="AJ188" s="573"/>
      <c r="AK188" s="236"/>
      <c r="AL188" s="236"/>
      <c r="AM188" s="236"/>
      <c r="AN188" s="236"/>
      <c r="AO188" s="236"/>
      <c r="AP188" s="236"/>
      <c r="AQ188" s="236"/>
      <c r="AR188" s="236"/>
      <c r="AS188" s="236"/>
      <c r="AT188" s="236"/>
      <c r="AU188" s="236"/>
      <c r="AV188" s="236"/>
      <c r="AW188" s="236"/>
      <c r="AX188" s="236"/>
      <c r="AY188" s="236"/>
      <c r="AZ188" s="236"/>
      <c r="BA188" s="236"/>
      <c r="BB188" s="236"/>
      <c r="BC188" s="236"/>
      <c r="BD188" s="236"/>
      <c r="BE188" s="236"/>
      <c r="BF188" s="236"/>
      <c r="BG188" s="236"/>
      <c r="BH188" s="236"/>
      <c r="BI188" s="236"/>
      <c r="BJ188" s="236"/>
      <c r="BK188" s="236"/>
      <c r="BL188" s="574"/>
    </row>
    <row r="189" spans="5:64" s="572" customFormat="1">
      <c r="E189" s="580"/>
      <c r="F189" s="575"/>
      <c r="U189" s="575"/>
      <c r="AI189" s="575"/>
      <c r="AJ189" s="573"/>
      <c r="AK189" s="236"/>
      <c r="AL189" s="236"/>
      <c r="AM189" s="236"/>
      <c r="AN189" s="236"/>
      <c r="AO189" s="236"/>
      <c r="AP189" s="236"/>
      <c r="AQ189" s="236"/>
      <c r="AR189" s="236"/>
      <c r="AS189" s="236"/>
      <c r="AT189" s="236"/>
      <c r="AU189" s="236"/>
      <c r="AV189" s="236"/>
      <c r="AW189" s="236"/>
      <c r="AX189" s="236"/>
      <c r="AY189" s="236"/>
      <c r="AZ189" s="236"/>
      <c r="BA189" s="236"/>
      <c r="BB189" s="236"/>
      <c r="BC189" s="236"/>
      <c r="BD189" s="236"/>
      <c r="BE189" s="236"/>
      <c r="BF189" s="236"/>
      <c r="BG189" s="236"/>
      <c r="BH189" s="236"/>
      <c r="BI189" s="236"/>
      <c r="BJ189" s="236"/>
      <c r="BK189" s="236"/>
      <c r="BL189" s="574"/>
    </row>
    <row r="190" spans="5:64" s="572" customFormat="1">
      <c r="E190" s="580"/>
      <c r="F190" s="575"/>
      <c r="U190" s="575"/>
      <c r="AI190" s="575"/>
      <c r="AJ190" s="573"/>
      <c r="AK190" s="236"/>
      <c r="AL190" s="236"/>
      <c r="AM190" s="236"/>
      <c r="AN190" s="236"/>
      <c r="AO190" s="236"/>
      <c r="AP190" s="236"/>
      <c r="AQ190" s="236"/>
      <c r="AR190" s="236"/>
      <c r="AS190" s="236"/>
      <c r="AT190" s="236"/>
      <c r="AU190" s="236"/>
      <c r="AV190" s="236"/>
      <c r="AW190" s="236"/>
      <c r="AX190" s="236"/>
      <c r="AY190" s="236"/>
      <c r="AZ190" s="236"/>
      <c r="BA190" s="236"/>
      <c r="BB190" s="236"/>
      <c r="BC190" s="236"/>
      <c r="BD190" s="236"/>
      <c r="BE190" s="236"/>
      <c r="BF190" s="236"/>
      <c r="BG190" s="236"/>
      <c r="BH190" s="236"/>
      <c r="BI190" s="236"/>
      <c r="BJ190" s="236"/>
      <c r="BK190" s="236"/>
      <c r="BL190" s="574"/>
    </row>
    <row r="191" spans="5:64" s="572" customFormat="1">
      <c r="E191" s="580"/>
      <c r="F191" s="575"/>
      <c r="U191" s="575"/>
      <c r="AI191" s="575"/>
      <c r="AJ191" s="573"/>
      <c r="AK191" s="236"/>
      <c r="AL191" s="236"/>
      <c r="AM191" s="236"/>
      <c r="AN191" s="236"/>
      <c r="AO191" s="236"/>
      <c r="AP191" s="236"/>
      <c r="AQ191" s="236"/>
      <c r="AR191" s="236"/>
      <c r="AS191" s="236"/>
      <c r="AT191" s="236"/>
      <c r="AU191" s="236"/>
      <c r="AV191" s="236"/>
      <c r="AW191" s="236"/>
      <c r="AX191" s="236"/>
      <c r="AY191" s="236"/>
      <c r="AZ191" s="236"/>
      <c r="BA191" s="236"/>
      <c r="BB191" s="236"/>
      <c r="BC191" s="236"/>
      <c r="BD191" s="236"/>
      <c r="BE191" s="236"/>
      <c r="BF191" s="236"/>
      <c r="BG191" s="236"/>
      <c r="BH191" s="236"/>
      <c r="BI191" s="236"/>
      <c r="BJ191" s="236"/>
      <c r="BK191" s="236"/>
      <c r="BL191" s="574"/>
    </row>
    <row r="192" spans="5:64" s="572" customFormat="1">
      <c r="E192" s="580"/>
      <c r="F192" s="575"/>
      <c r="U192" s="575"/>
      <c r="AI192" s="575"/>
      <c r="AJ192" s="573"/>
      <c r="AK192" s="236"/>
      <c r="AL192" s="236"/>
      <c r="AM192" s="236"/>
      <c r="AN192" s="236"/>
      <c r="AO192" s="236"/>
      <c r="AP192" s="236"/>
      <c r="AQ192" s="236"/>
      <c r="AR192" s="236"/>
      <c r="AS192" s="236"/>
      <c r="AT192" s="236"/>
      <c r="AU192" s="236"/>
      <c r="AV192" s="236"/>
      <c r="AW192" s="236"/>
      <c r="AX192" s="236"/>
      <c r="AY192" s="236"/>
      <c r="AZ192" s="236"/>
      <c r="BA192" s="236"/>
      <c r="BB192" s="236"/>
      <c r="BC192" s="236"/>
      <c r="BD192" s="236"/>
      <c r="BE192" s="236"/>
      <c r="BF192" s="236"/>
      <c r="BG192" s="236"/>
      <c r="BH192" s="236"/>
      <c r="BI192" s="236"/>
      <c r="BJ192" s="236"/>
      <c r="BK192" s="236"/>
      <c r="BL192" s="574"/>
    </row>
    <row r="193" spans="5:64" s="572" customFormat="1">
      <c r="E193" s="580"/>
      <c r="F193" s="575"/>
      <c r="U193" s="575"/>
      <c r="AI193" s="575"/>
      <c r="AJ193" s="573"/>
      <c r="AK193" s="236"/>
      <c r="AL193" s="236"/>
      <c r="AM193" s="236"/>
      <c r="AN193" s="236"/>
      <c r="AO193" s="236"/>
      <c r="AP193" s="236"/>
      <c r="AQ193" s="236"/>
      <c r="AR193" s="236"/>
      <c r="AS193" s="236"/>
      <c r="AT193" s="236"/>
      <c r="AU193" s="236"/>
      <c r="AV193" s="236"/>
      <c r="AW193" s="236"/>
      <c r="AX193" s="236"/>
      <c r="AY193" s="236"/>
      <c r="AZ193" s="236"/>
      <c r="BA193" s="236"/>
      <c r="BB193" s="236"/>
      <c r="BC193" s="236"/>
      <c r="BD193" s="236"/>
      <c r="BE193" s="236"/>
      <c r="BF193" s="236"/>
      <c r="BG193" s="236"/>
      <c r="BH193" s="236"/>
      <c r="BI193" s="236"/>
      <c r="BJ193" s="236"/>
      <c r="BK193" s="236"/>
      <c r="BL193" s="574"/>
    </row>
    <row r="194" spans="5:64" s="572" customFormat="1">
      <c r="E194" s="580"/>
      <c r="F194" s="575"/>
      <c r="U194" s="575"/>
      <c r="AI194" s="575"/>
      <c r="AJ194" s="573"/>
      <c r="AK194" s="236"/>
      <c r="AL194" s="236"/>
      <c r="AM194" s="236"/>
      <c r="AN194" s="236"/>
      <c r="AO194" s="236"/>
      <c r="AP194" s="236"/>
      <c r="AQ194" s="236"/>
      <c r="AR194" s="236"/>
      <c r="AS194" s="236"/>
      <c r="AT194" s="236"/>
      <c r="AU194" s="236"/>
      <c r="AV194" s="236"/>
      <c r="AW194" s="236"/>
      <c r="AX194" s="236"/>
      <c r="AY194" s="236"/>
      <c r="AZ194" s="236"/>
      <c r="BA194" s="236"/>
      <c r="BB194" s="236"/>
      <c r="BC194" s="236"/>
      <c r="BD194" s="236"/>
      <c r="BE194" s="236"/>
      <c r="BF194" s="236"/>
      <c r="BG194" s="236"/>
      <c r="BH194" s="236"/>
      <c r="BI194" s="236"/>
      <c r="BJ194" s="236"/>
      <c r="BK194" s="236"/>
      <c r="BL194" s="574"/>
    </row>
    <row r="195" spans="5:64" s="572" customFormat="1">
      <c r="E195" s="580"/>
      <c r="F195" s="575"/>
      <c r="U195" s="575"/>
      <c r="AI195" s="575"/>
      <c r="AJ195" s="573"/>
      <c r="AK195" s="236"/>
      <c r="AL195" s="236"/>
      <c r="AM195" s="236"/>
      <c r="AN195" s="236"/>
      <c r="AO195" s="236"/>
      <c r="AP195" s="236"/>
      <c r="AQ195" s="236"/>
      <c r="AR195" s="236"/>
      <c r="AS195" s="236"/>
      <c r="AT195" s="236"/>
      <c r="AU195" s="236"/>
      <c r="AV195" s="236"/>
      <c r="AW195" s="236"/>
      <c r="AX195" s="236"/>
      <c r="AY195" s="236"/>
      <c r="AZ195" s="236"/>
      <c r="BA195" s="236"/>
      <c r="BB195" s="236"/>
      <c r="BC195" s="236"/>
      <c r="BD195" s="236"/>
      <c r="BE195" s="236"/>
      <c r="BF195" s="236"/>
      <c r="BG195" s="236"/>
      <c r="BH195" s="236"/>
      <c r="BI195" s="236"/>
      <c r="BJ195" s="236"/>
      <c r="BK195" s="236"/>
      <c r="BL195" s="574"/>
    </row>
    <row r="196" spans="5:64" s="572" customFormat="1">
      <c r="E196" s="580"/>
      <c r="F196" s="575"/>
      <c r="U196" s="575"/>
      <c r="AI196" s="575"/>
      <c r="AJ196" s="573"/>
      <c r="AK196" s="236"/>
      <c r="AL196" s="236"/>
      <c r="AM196" s="236"/>
      <c r="AN196" s="236"/>
      <c r="AO196" s="236"/>
      <c r="AP196" s="236"/>
      <c r="AQ196" s="236"/>
      <c r="AR196" s="236"/>
      <c r="AS196" s="236"/>
      <c r="AT196" s="236"/>
      <c r="AU196" s="236"/>
      <c r="AV196" s="236"/>
      <c r="AW196" s="236"/>
      <c r="AX196" s="236"/>
      <c r="AY196" s="236"/>
      <c r="AZ196" s="236"/>
      <c r="BA196" s="236"/>
      <c r="BB196" s="236"/>
      <c r="BC196" s="236"/>
      <c r="BD196" s="236"/>
      <c r="BE196" s="236"/>
      <c r="BF196" s="236"/>
      <c r="BG196" s="236"/>
      <c r="BH196" s="236"/>
      <c r="BI196" s="236"/>
      <c r="BJ196" s="236"/>
      <c r="BK196" s="236"/>
      <c r="BL196" s="574"/>
    </row>
    <row r="197" spans="5:64" s="572" customFormat="1">
      <c r="E197" s="580"/>
      <c r="F197" s="575"/>
      <c r="U197" s="575"/>
      <c r="AI197" s="575"/>
      <c r="AJ197" s="573"/>
      <c r="AK197" s="236"/>
      <c r="AL197" s="236"/>
      <c r="AM197" s="236"/>
      <c r="AN197" s="236"/>
      <c r="AO197" s="236"/>
      <c r="AP197" s="236"/>
      <c r="AQ197" s="236"/>
      <c r="AR197" s="236"/>
      <c r="AS197" s="236"/>
      <c r="AT197" s="236"/>
      <c r="AU197" s="236"/>
      <c r="AV197" s="236"/>
      <c r="AW197" s="236"/>
      <c r="AX197" s="236"/>
      <c r="AY197" s="236"/>
      <c r="AZ197" s="236"/>
      <c r="BA197" s="236"/>
      <c r="BB197" s="236"/>
      <c r="BC197" s="236"/>
      <c r="BD197" s="236"/>
      <c r="BE197" s="236"/>
      <c r="BF197" s="236"/>
      <c r="BG197" s="236"/>
      <c r="BH197" s="236"/>
      <c r="BI197" s="236"/>
      <c r="BJ197" s="236"/>
      <c r="BK197" s="236"/>
      <c r="BL197" s="574"/>
    </row>
    <row r="198" spans="5:64" s="572" customFormat="1">
      <c r="E198" s="580"/>
      <c r="F198" s="575"/>
      <c r="U198" s="575"/>
      <c r="AI198" s="575"/>
      <c r="AJ198" s="573"/>
      <c r="AK198" s="236"/>
      <c r="AL198" s="236"/>
      <c r="AM198" s="236"/>
      <c r="AN198" s="236"/>
      <c r="AO198" s="236"/>
      <c r="AP198" s="236"/>
      <c r="AQ198" s="236"/>
      <c r="AR198" s="236"/>
      <c r="AS198" s="236"/>
      <c r="AT198" s="236"/>
      <c r="AU198" s="236"/>
      <c r="AV198" s="236"/>
      <c r="AW198" s="236"/>
      <c r="AX198" s="236"/>
      <c r="AY198" s="236"/>
      <c r="AZ198" s="236"/>
      <c r="BA198" s="236"/>
      <c r="BB198" s="236"/>
      <c r="BC198" s="236"/>
      <c r="BD198" s="236"/>
      <c r="BE198" s="236"/>
      <c r="BF198" s="236"/>
      <c r="BG198" s="236"/>
      <c r="BH198" s="236"/>
      <c r="BI198" s="236"/>
      <c r="BJ198" s="236"/>
      <c r="BK198" s="236"/>
      <c r="BL198" s="574"/>
    </row>
    <row r="199" spans="5:64" s="572" customFormat="1">
      <c r="E199" s="580"/>
      <c r="F199" s="575"/>
      <c r="U199" s="575"/>
      <c r="AI199" s="575"/>
      <c r="AJ199" s="573"/>
      <c r="AK199" s="236"/>
      <c r="AL199" s="236"/>
      <c r="AM199" s="236"/>
      <c r="AN199" s="236"/>
      <c r="AO199" s="236"/>
      <c r="AP199" s="236"/>
      <c r="AQ199" s="236"/>
      <c r="AR199" s="236"/>
      <c r="AS199" s="236"/>
      <c r="AT199" s="236"/>
      <c r="AU199" s="236"/>
      <c r="AV199" s="236"/>
      <c r="AW199" s="236"/>
      <c r="AX199" s="236"/>
      <c r="AY199" s="236"/>
      <c r="AZ199" s="236"/>
      <c r="BA199" s="236"/>
      <c r="BB199" s="236"/>
      <c r="BC199" s="236"/>
      <c r="BD199" s="236"/>
      <c r="BE199" s="236"/>
      <c r="BF199" s="236"/>
      <c r="BG199" s="236"/>
      <c r="BH199" s="236"/>
      <c r="BI199" s="236"/>
      <c r="BJ199" s="236"/>
      <c r="BK199" s="236"/>
      <c r="BL199" s="574"/>
    </row>
    <row r="200" spans="5:64" s="572" customFormat="1">
      <c r="E200" s="580"/>
      <c r="F200" s="575"/>
      <c r="U200" s="575"/>
      <c r="AI200" s="575"/>
      <c r="AJ200" s="573"/>
      <c r="AK200" s="236"/>
      <c r="AL200" s="236"/>
      <c r="AM200" s="236"/>
      <c r="AN200" s="236"/>
      <c r="AO200" s="236"/>
      <c r="AP200" s="236"/>
      <c r="AQ200" s="236"/>
      <c r="AR200" s="236"/>
      <c r="AS200" s="236"/>
      <c r="AT200" s="236"/>
      <c r="AU200" s="236"/>
      <c r="AV200" s="236"/>
      <c r="AW200" s="236"/>
      <c r="AX200" s="236"/>
      <c r="AY200" s="236"/>
      <c r="AZ200" s="236"/>
      <c r="BA200" s="236"/>
      <c r="BB200" s="236"/>
      <c r="BC200" s="236"/>
      <c r="BD200" s="236"/>
      <c r="BE200" s="236"/>
      <c r="BF200" s="236"/>
      <c r="BG200" s="236"/>
      <c r="BH200" s="236"/>
      <c r="BI200" s="236"/>
      <c r="BJ200" s="236"/>
      <c r="BK200" s="236"/>
      <c r="BL200" s="574"/>
    </row>
    <row r="201" spans="5:64" s="572" customFormat="1">
      <c r="E201" s="580"/>
      <c r="F201" s="575"/>
      <c r="U201" s="575"/>
      <c r="AI201" s="575"/>
      <c r="AJ201" s="573"/>
      <c r="AK201" s="236"/>
      <c r="AL201" s="236"/>
      <c r="AM201" s="236"/>
      <c r="AN201" s="236"/>
      <c r="AO201" s="236"/>
      <c r="AP201" s="236"/>
      <c r="AQ201" s="236"/>
      <c r="AR201" s="236"/>
      <c r="AS201" s="236"/>
      <c r="AT201" s="236"/>
      <c r="AU201" s="236"/>
      <c r="AV201" s="236"/>
      <c r="AW201" s="236"/>
      <c r="AX201" s="236"/>
      <c r="AY201" s="236"/>
      <c r="AZ201" s="236"/>
      <c r="BA201" s="236"/>
      <c r="BB201" s="236"/>
      <c r="BC201" s="236"/>
      <c r="BD201" s="236"/>
      <c r="BE201" s="236"/>
      <c r="BF201" s="236"/>
      <c r="BG201" s="236"/>
      <c r="BH201" s="236"/>
      <c r="BI201" s="236"/>
      <c r="BJ201" s="236"/>
      <c r="BK201" s="236"/>
      <c r="BL201" s="574"/>
    </row>
    <row r="202" spans="5:64" s="572" customFormat="1">
      <c r="E202" s="580"/>
      <c r="F202" s="575"/>
      <c r="U202" s="575"/>
      <c r="AI202" s="575"/>
      <c r="AJ202" s="573"/>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574"/>
    </row>
    <row r="203" spans="5:64" s="572" customFormat="1">
      <c r="E203" s="580"/>
      <c r="F203" s="575"/>
      <c r="U203" s="575"/>
      <c r="AI203" s="575"/>
      <c r="AJ203" s="573"/>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574"/>
    </row>
    <row r="204" spans="5:64" s="572" customFormat="1">
      <c r="E204" s="580"/>
      <c r="F204" s="575"/>
      <c r="U204" s="575"/>
      <c r="AI204" s="575"/>
      <c r="AJ204" s="573"/>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574"/>
    </row>
    <row r="205" spans="5:64" s="572" customFormat="1">
      <c r="E205" s="580"/>
      <c r="F205" s="575"/>
      <c r="U205" s="575"/>
      <c r="AI205" s="575"/>
      <c r="AJ205" s="573"/>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574"/>
    </row>
    <row r="206" spans="5:64" s="572" customFormat="1">
      <c r="E206" s="580"/>
      <c r="F206" s="575"/>
      <c r="U206" s="575"/>
      <c r="AI206" s="575"/>
      <c r="AJ206" s="573"/>
      <c r="AK206" s="236"/>
      <c r="AL206" s="236"/>
      <c r="AM206" s="236"/>
      <c r="AN206" s="236"/>
      <c r="AO206" s="236"/>
      <c r="AP206" s="236"/>
      <c r="AQ206" s="236"/>
      <c r="AR206" s="236"/>
      <c r="AS206" s="236"/>
      <c r="AT206" s="236"/>
      <c r="AU206" s="236"/>
      <c r="AV206" s="236"/>
      <c r="AW206" s="236"/>
      <c r="AX206" s="236"/>
      <c r="AY206" s="236"/>
      <c r="AZ206" s="236"/>
      <c r="BA206" s="236"/>
      <c r="BB206" s="236"/>
      <c r="BC206" s="236"/>
      <c r="BD206" s="236"/>
      <c r="BE206" s="236"/>
      <c r="BF206" s="236"/>
      <c r="BG206" s="236"/>
      <c r="BH206" s="236"/>
      <c r="BI206" s="236"/>
      <c r="BJ206" s="236"/>
      <c r="BK206" s="236"/>
      <c r="BL206" s="574"/>
    </row>
    <row r="207" spans="5:64" s="572" customFormat="1">
      <c r="E207" s="580"/>
      <c r="F207" s="575"/>
      <c r="U207" s="575"/>
      <c r="AI207" s="575"/>
      <c r="AJ207" s="573"/>
      <c r="AK207" s="236"/>
      <c r="AL207" s="236"/>
      <c r="AM207" s="236"/>
      <c r="AN207" s="236"/>
      <c r="AO207" s="236"/>
      <c r="AP207" s="236"/>
      <c r="AQ207" s="236"/>
      <c r="AR207" s="236"/>
      <c r="AS207" s="236"/>
      <c r="AT207" s="236"/>
      <c r="AU207" s="236"/>
      <c r="AV207" s="236"/>
      <c r="AW207" s="236"/>
      <c r="AX207" s="236"/>
      <c r="AY207" s="236"/>
      <c r="AZ207" s="236"/>
      <c r="BA207" s="236"/>
      <c r="BB207" s="236"/>
      <c r="BC207" s="236"/>
      <c r="BD207" s="236"/>
      <c r="BE207" s="236"/>
      <c r="BF207" s="236"/>
      <c r="BG207" s="236"/>
      <c r="BH207" s="236"/>
      <c r="BI207" s="236"/>
      <c r="BJ207" s="236"/>
      <c r="BK207" s="236"/>
      <c r="BL207" s="574"/>
    </row>
    <row r="208" spans="5:64" s="572" customFormat="1">
      <c r="E208" s="580"/>
      <c r="F208" s="575"/>
      <c r="U208" s="575"/>
      <c r="AI208" s="575"/>
      <c r="AJ208" s="573"/>
      <c r="AK208" s="236"/>
      <c r="AL208" s="236"/>
      <c r="AM208" s="236"/>
      <c r="AN208" s="236"/>
      <c r="AO208" s="236"/>
      <c r="AP208" s="236"/>
      <c r="AQ208" s="236"/>
      <c r="AR208" s="236"/>
      <c r="AS208" s="236"/>
      <c r="AT208" s="236"/>
      <c r="AU208" s="236"/>
      <c r="AV208" s="236"/>
      <c r="AW208" s="236"/>
      <c r="AX208" s="236"/>
      <c r="AY208" s="236"/>
      <c r="AZ208" s="236"/>
      <c r="BA208" s="236"/>
      <c r="BB208" s="236"/>
      <c r="BC208" s="236"/>
      <c r="BD208" s="236"/>
      <c r="BE208" s="236"/>
      <c r="BF208" s="236"/>
      <c r="BG208" s="236"/>
      <c r="BH208" s="236"/>
      <c r="BI208" s="236"/>
      <c r="BJ208" s="236"/>
      <c r="BK208" s="236"/>
      <c r="BL208" s="574"/>
    </row>
    <row r="209" spans="5:64" s="572" customFormat="1">
      <c r="E209" s="580"/>
      <c r="F209" s="575"/>
      <c r="U209" s="575"/>
      <c r="AI209" s="575"/>
      <c r="AJ209" s="573"/>
      <c r="AK209" s="236"/>
      <c r="AL209" s="236"/>
      <c r="AM209" s="236"/>
      <c r="AN209" s="236"/>
      <c r="AO209" s="236"/>
      <c r="AP209" s="236"/>
      <c r="AQ209" s="236"/>
      <c r="AR209" s="236"/>
      <c r="AS209" s="236"/>
      <c r="AT209" s="236"/>
      <c r="AU209" s="236"/>
      <c r="AV209" s="236"/>
      <c r="AW209" s="236"/>
      <c r="AX209" s="236"/>
      <c r="AY209" s="236"/>
      <c r="AZ209" s="236"/>
      <c r="BA209" s="236"/>
      <c r="BB209" s="236"/>
      <c r="BC209" s="236"/>
      <c r="BD209" s="236"/>
      <c r="BE209" s="236"/>
      <c r="BF209" s="236"/>
      <c r="BG209" s="236"/>
      <c r="BH209" s="236"/>
      <c r="BI209" s="236"/>
      <c r="BJ209" s="236"/>
      <c r="BK209" s="236"/>
      <c r="BL209" s="574"/>
    </row>
    <row r="210" spans="5:64" s="572" customFormat="1">
      <c r="E210" s="580"/>
      <c r="F210" s="575"/>
      <c r="U210" s="575"/>
      <c r="AI210" s="575"/>
      <c r="AJ210" s="573"/>
      <c r="AK210" s="236"/>
      <c r="AL210" s="236"/>
      <c r="AM210" s="236"/>
      <c r="AN210" s="236"/>
      <c r="AO210" s="236"/>
      <c r="AP210" s="236"/>
      <c r="AQ210" s="236"/>
      <c r="AR210" s="236"/>
      <c r="AS210" s="236"/>
      <c r="AT210" s="236"/>
      <c r="AU210" s="236"/>
      <c r="AV210" s="236"/>
      <c r="AW210" s="236"/>
      <c r="AX210" s="236"/>
      <c r="AY210" s="236"/>
      <c r="AZ210" s="236"/>
      <c r="BA210" s="236"/>
      <c r="BB210" s="236"/>
      <c r="BC210" s="236"/>
      <c r="BD210" s="236"/>
      <c r="BE210" s="236"/>
      <c r="BF210" s="236"/>
      <c r="BG210" s="236"/>
      <c r="BH210" s="236"/>
      <c r="BI210" s="236"/>
      <c r="BJ210" s="236"/>
      <c r="BK210" s="236"/>
      <c r="BL210" s="574"/>
    </row>
    <row r="211" spans="5:64" s="572" customFormat="1">
      <c r="E211" s="580"/>
      <c r="F211" s="575"/>
      <c r="U211" s="575"/>
      <c r="AI211" s="575"/>
      <c r="AJ211" s="573"/>
      <c r="AK211" s="236"/>
      <c r="AL211" s="236"/>
      <c r="AM211" s="236"/>
      <c r="AN211" s="236"/>
      <c r="AO211" s="236"/>
      <c r="AP211" s="236"/>
      <c r="AQ211" s="236"/>
      <c r="AR211" s="236"/>
      <c r="AS211" s="236"/>
      <c r="AT211" s="236"/>
      <c r="AU211" s="236"/>
      <c r="AV211" s="236"/>
      <c r="AW211" s="236"/>
      <c r="AX211" s="236"/>
      <c r="AY211" s="236"/>
      <c r="AZ211" s="236"/>
      <c r="BA211" s="236"/>
      <c r="BB211" s="236"/>
      <c r="BC211" s="236"/>
      <c r="BD211" s="236"/>
      <c r="BE211" s="236"/>
      <c r="BF211" s="236"/>
      <c r="BG211" s="236"/>
      <c r="BH211" s="236"/>
      <c r="BI211" s="236"/>
      <c r="BJ211" s="236"/>
      <c r="BK211" s="236"/>
      <c r="BL211" s="574"/>
    </row>
    <row r="212" spans="5:64" s="572" customFormat="1">
      <c r="E212" s="580"/>
      <c r="F212" s="575"/>
      <c r="U212" s="575"/>
      <c r="AI212" s="575"/>
      <c r="AJ212" s="573"/>
      <c r="AK212" s="236"/>
      <c r="AL212" s="236"/>
      <c r="AM212" s="236"/>
      <c r="AN212" s="236"/>
      <c r="AO212" s="236"/>
      <c r="AP212" s="236"/>
      <c r="AQ212" s="236"/>
      <c r="AR212" s="236"/>
      <c r="AS212" s="236"/>
      <c r="AT212" s="236"/>
      <c r="AU212" s="236"/>
      <c r="AV212" s="236"/>
      <c r="AW212" s="236"/>
      <c r="AX212" s="236"/>
      <c r="AY212" s="236"/>
      <c r="AZ212" s="236"/>
      <c r="BA212" s="236"/>
      <c r="BB212" s="236"/>
      <c r="BC212" s="236"/>
      <c r="BD212" s="236"/>
      <c r="BE212" s="236"/>
      <c r="BF212" s="236"/>
      <c r="BG212" s="236"/>
      <c r="BH212" s="236"/>
      <c r="BI212" s="236"/>
      <c r="BJ212" s="236"/>
      <c r="BK212" s="236"/>
      <c r="BL212" s="574"/>
    </row>
    <row r="213" spans="5:64" s="572" customFormat="1">
      <c r="E213" s="580"/>
      <c r="F213" s="575"/>
      <c r="U213" s="575"/>
      <c r="AI213" s="575"/>
      <c r="AJ213" s="573"/>
      <c r="AK213" s="236"/>
      <c r="AL213" s="236"/>
      <c r="AM213" s="236"/>
      <c r="AN213" s="236"/>
      <c r="AO213" s="236"/>
      <c r="AP213" s="236"/>
      <c r="AQ213" s="236"/>
      <c r="AR213" s="236"/>
      <c r="AS213" s="236"/>
      <c r="AT213" s="236"/>
      <c r="AU213" s="236"/>
      <c r="AV213" s="236"/>
      <c r="AW213" s="236"/>
      <c r="AX213" s="236"/>
      <c r="AY213" s="236"/>
      <c r="AZ213" s="236"/>
      <c r="BA213" s="236"/>
      <c r="BB213" s="236"/>
      <c r="BC213" s="236"/>
      <c r="BD213" s="236"/>
      <c r="BE213" s="236"/>
      <c r="BF213" s="236"/>
      <c r="BG213" s="236"/>
      <c r="BH213" s="236"/>
      <c r="BI213" s="236"/>
      <c r="BJ213" s="236"/>
      <c r="BK213" s="236"/>
      <c r="BL213" s="574"/>
    </row>
    <row r="214" spans="5:64" s="572" customFormat="1">
      <c r="E214" s="580"/>
      <c r="F214" s="575"/>
      <c r="U214" s="575"/>
      <c r="AI214" s="575"/>
      <c r="AJ214" s="573"/>
      <c r="AK214" s="236"/>
      <c r="AL214" s="236"/>
      <c r="AM214" s="236"/>
      <c r="AN214" s="236"/>
      <c r="AO214" s="236"/>
      <c r="AP214" s="236"/>
      <c r="AQ214" s="236"/>
      <c r="AR214" s="236"/>
      <c r="AS214" s="236"/>
      <c r="AT214" s="236"/>
      <c r="AU214" s="236"/>
      <c r="AV214" s="236"/>
      <c r="AW214" s="236"/>
      <c r="AX214" s="236"/>
      <c r="AY214" s="236"/>
      <c r="AZ214" s="236"/>
      <c r="BA214" s="236"/>
      <c r="BB214" s="236"/>
      <c r="BC214" s="236"/>
      <c r="BD214" s="236"/>
      <c r="BE214" s="236"/>
      <c r="BF214" s="236"/>
      <c r="BG214" s="236"/>
      <c r="BH214" s="236"/>
      <c r="BI214" s="236"/>
      <c r="BJ214" s="236"/>
      <c r="BK214" s="236"/>
      <c r="BL214" s="574"/>
    </row>
    <row r="215" spans="5:64">
      <c r="AI215" s="96"/>
      <c r="AJ215" s="237"/>
    </row>
    <row r="216" spans="5:64">
      <c r="AI216" s="96"/>
      <c r="AJ216" s="237"/>
    </row>
    <row r="217" spans="5:64">
      <c r="AI217" s="96"/>
      <c r="AJ217" s="237"/>
    </row>
    <row r="218" spans="5:64">
      <c r="AI218" s="96"/>
      <c r="AJ218" s="237"/>
    </row>
    <row r="219" spans="5:64">
      <c r="AI219" s="96"/>
      <c r="AJ219" s="237"/>
    </row>
    <row r="220" spans="5:64">
      <c r="AI220" s="96"/>
      <c r="AJ220" s="237"/>
    </row>
    <row r="221" spans="5:64">
      <c r="AI221" s="96"/>
      <c r="AJ221" s="237"/>
    </row>
    <row r="222" spans="5:64">
      <c r="AI222" s="96"/>
      <c r="AJ222" s="237"/>
    </row>
    <row r="223" spans="5:64">
      <c r="AI223" s="96"/>
      <c r="AJ223" s="237"/>
    </row>
    <row r="224" spans="5:64">
      <c r="AI224" s="96"/>
      <c r="AJ224" s="237"/>
    </row>
    <row r="225" spans="35:36">
      <c r="AI225" s="96"/>
      <c r="AJ225" s="237"/>
    </row>
    <row r="226" spans="35:36">
      <c r="AI226" s="96"/>
      <c r="AJ226" s="237"/>
    </row>
    <row r="227" spans="35:36">
      <c r="AI227" s="96"/>
      <c r="AJ227" s="237"/>
    </row>
    <row r="228" spans="35:36">
      <c r="AI228" s="96"/>
      <c r="AJ228" s="237"/>
    </row>
    <row r="229" spans="35:36">
      <c r="AI229" s="96"/>
      <c r="AJ229" s="237"/>
    </row>
    <row r="230" spans="35:36">
      <c r="AI230" s="96"/>
      <c r="AJ230" s="237"/>
    </row>
    <row r="231" spans="35:36">
      <c r="AI231" s="96"/>
      <c r="AJ231" s="237"/>
    </row>
    <row r="232" spans="35:36">
      <c r="AI232" s="96"/>
      <c r="AJ232" s="237"/>
    </row>
    <row r="233" spans="35:36">
      <c r="AI233" s="96"/>
      <c r="AJ233" s="237"/>
    </row>
    <row r="234" spans="35:36">
      <c r="AI234" s="96"/>
      <c r="AJ234" s="237"/>
    </row>
    <row r="235" spans="35:36">
      <c r="AI235" s="96"/>
      <c r="AJ235" s="237"/>
    </row>
    <row r="236" spans="35:36">
      <c r="AI236" s="96"/>
      <c r="AJ236" s="237"/>
    </row>
    <row r="237" spans="35:36">
      <c r="AI237" s="96"/>
      <c r="AJ237" s="237"/>
    </row>
    <row r="238" spans="35:36">
      <c r="AI238" s="96"/>
      <c r="AJ238" s="237"/>
    </row>
    <row r="239" spans="35:36">
      <c r="AI239" s="96"/>
      <c r="AJ239" s="237"/>
    </row>
    <row r="240" spans="35:36">
      <c r="AI240" s="96"/>
      <c r="AJ240" s="237"/>
    </row>
    <row r="241" spans="35:36">
      <c r="AI241" s="96"/>
      <c r="AJ241" s="237"/>
    </row>
  </sheetData>
  <mergeCells count="5">
    <mergeCell ref="G5:T5"/>
    <mergeCell ref="V5:AH5"/>
    <mergeCell ref="G53:T53"/>
    <mergeCell ref="V53:AH53"/>
    <mergeCell ref="C88:AH88"/>
  </mergeCells>
  <conditionalFormatting sqref="K8:K11 K13:K15 K17">
    <cfRule type="cellIs" dxfId="110" priority="97" operator="equal">
      <formula>0</formula>
    </cfRule>
  </conditionalFormatting>
  <conditionalFormatting sqref="K24 K26:K28 K30:K35 K37:K39">
    <cfRule type="cellIs" dxfId="109" priority="98" operator="equal">
      <formula>0</formula>
    </cfRule>
  </conditionalFormatting>
  <conditionalFormatting sqref="K25">
    <cfRule type="cellIs" dxfId="108" priority="96" operator="equal">
      <formula>0</formula>
    </cfRule>
  </conditionalFormatting>
  <conditionalFormatting sqref="L24 L26:L28 L30:L35 L37:L39">
    <cfRule type="cellIs" dxfId="107" priority="95" operator="equal">
      <formula>0</formula>
    </cfRule>
  </conditionalFormatting>
  <conditionalFormatting sqref="L8:L11 L13:L15 L17">
    <cfRule type="cellIs" dxfId="106" priority="94" operator="equal">
      <formula>0</formula>
    </cfRule>
  </conditionalFormatting>
  <conditionalFormatting sqref="L25">
    <cfRule type="cellIs" dxfId="105" priority="93" operator="equal">
      <formula>0</formula>
    </cfRule>
  </conditionalFormatting>
  <conditionalFormatting sqref="N25">
    <cfRule type="cellIs" dxfId="104" priority="87" operator="equal">
      <formula>0</formula>
    </cfRule>
  </conditionalFormatting>
  <conditionalFormatting sqref="G55:T55">
    <cfRule type="cellIs" dxfId="103" priority="86" operator="equal">
      <formula>0</formula>
    </cfRule>
  </conditionalFormatting>
  <conditionalFormatting sqref="G12:R12 T12">
    <cfRule type="cellIs" dxfId="102" priority="84" operator="equal">
      <formula>0</formula>
    </cfRule>
  </conditionalFormatting>
  <conditionalFormatting sqref="O8">
    <cfRule type="cellIs" dxfId="101" priority="85" operator="equal">
      <formula>0</formula>
    </cfRule>
  </conditionalFormatting>
  <conditionalFormatting sqref="G16:R16 T16">
    <cfRule type="cellIs" dxfId="100" priority="83" operator="equal">
      <formula>0</formula>
    </cfRule>
  </conditionalFormatting>
  <conditionalFormatting sqref="L47:L48">
    <cfRule type="cellIs" dxfId="99" priority="74" operator="equal">
      <formula>0</formula>
    </cfRule>
  </conditionalFormatting>
  <conditionalFormatting sqref="N47:N48">
    <cfRule type="cellIs" dxfId="98" priority="72" operator="equal">
      <formula>0</formula>
    </cfRule>
  </conditionalFormatting>
  <conditionalFormatting sqref="G19:N23 O19:R22 T19:T22">
    <cfRule type="cellIs" dxfId="97" priority="118" operator="equal">
      <formula>0</formula>
    </cfRule>
  </conditionalFormatting>
  <conditionalFormatting sqref="O23:Q23 G24:J24 G8:H11 G25:H25 G26:J28 G13:H15 G17:H17 G30:J35 G37:J39">
    <cfRule type="cellIs" dxfId="96" priority="117" operator="equal">
      <formula>0</formula>
    </cfRule>
  </conditionalFormatting>
  <conditionalFormatting sqref="R23">
    <cfRule type="cellIs" dxfId="95" priority="108" operator="equal">
      <formula>0</formula>
    </cfRule>
  </conditionalFormatting>
  <conditionalFormatting sqref="I8:J11 I13:J15 I17:J17">
    <cfRule type="cellIs" dxfId="94" priority="116" operator="equal">
      <formula>0</formula>
    </cfRule>
  </conditionalFormatting>
  <conditionalFormatting sqref="O26:Q28 O30:Q35 O37:Q39">
    <cfRule type="cellIs" dxfId="93" priority="115" operator="equal">
      <formula>0</formula>
    </cfRule>
  </conditionalFormatting>
  <conditionalFormatting sqref="O24:Q24">
    <cfRule type="cellIs" dxfId="92" priority="114" operator="equal">
      <formula>0</formula>
    </cfRule>
  </conditionalFormatting>
  <conditionalFormatting sqref="O9:Q11 P8:Q8 O13:Q15 O17:Q17">
    <cfRule type="cellIs" dxfId="91" priority="113" operator="equal">
      <formula>0</formula>
    </cfRule>
  </conditionalFormatting>
  <conditionalFormatting sqref="I25:J25">
    <cfRule type="cellIs" dxfId="90" priority="112" operator="equal">
      <formula>0</formula>
    </cfRule>
  </conditionalFormatting>
  <conditionalFormatting sqref="O25:Q25">
    <cfRule type="cellIs" dxfId="89" priority="111" operator="equal">
      <formula>0</formula>
    </cfRule>
  </conditionalFormatting>
  <conditionalFormatting sqref="T25">
    <cfRule type="cellIs" dxfId="88" priority="99" operator="equal">
      <formula>0</formula>
    </cfRule>
  </conditionalFormatting>
  <conditionalFormatting sqref="T26:T28 T30:T35 T37:T39">
    <cfRule type="cellIs" dxfId="87" priority="102" operator="equal">
      <formula>0</formula>
    </cfRule>
  </conditionalFormatting>
  <conditionalFormatting sqref="T24">
    <cfRule type="cellIs" dxfId="86" priority="101" operator="equal">
      <formula>0</formula>
    </cfRule>
  </conditionalFormatting>
  <conditionalFormatting sqref="T8:T11 T13:T15 T17">
    <cfRule type="cellIs" dxfId="85" priority="100" operator="equal">
      <formula>0</formula>
    </cfRule>
  </conditionalFormatting>
  <conditionalFormatting sqref="R26:R28 R30:R35 R37:R39">
    <cfRule type="cellIs" dxfId="84" priority="107" operator="equal">
      <formula>0</formula>
    </cfRule>
  </conditionalFormatting>
  <conditionalFormatting sqref="R24">
    <cfRule type="cellIs" dxfId="83" priority="106" operator="equal">
      <formula>0</formula>
    </cfRule>
  </conditionalFormatting>
  <conditionalFormatting sqref="R8:R11 R13:R15 R17">
    <cfRule type="cellIs" dxfId="82" priority="105" operator="equal">
      <formula>0</formula>
    </cfRule>
  </conditionalFormatting>
  <conditionalFormatting sqref="R25">
    <cfRule type="cellIs" dxfId="81" priority="104" operator="equal">
      <formula>0</formula>
    </cfRule>
  </conditionalFormatting>
  <conditionalFormatting sqref="T23">
    <cfRule type="cellIs" dxfId="80" priority="103" operator="equal">
      <formula>0</formula>
    </cfRule>
  </conditionalFormatting>
  <conditionalFormatting sqref="N8:N11 N13:N15 N17">
    <cfRule type="cellIs" dxfId="79" priority="88" operator="equal">
      <formula>0</formula>
    </cfRule>
  </conditionalFormatting>
  <conditionalFormatting sqref="M8:M11 M13:M15 M17">
    <cfRule type="cellIs" dxfId="78" priority="91" operator="equal">
      <formula>0</formula>
    </cfRule>
  </conditionalFormatting>
  <conditionalFormatting sqref="M24 M26:M28 M30:M35 M37:M39">
    <cfRule type="cellIs" dxfId="77" priority="92" operator="equal">
      <formula>0</formula>
    </cfRule>
  </conditionalFormatting>
  <conditionalFormatting sqref="M25">
    <cfRule type="cellIs" dxfId="76" priority="90" operator="equal">
      <formula>0</formula>
    </cfRule>
  </conditionalFormatting>
  <conditionalFormatting sqref="N24 N26:N28 N30:N35 N37:N39">
    <cfRule type="cellIs" dxfId="75" priority="89" operator="equal">
      <formula>0</formula>
    </cfRule>
  </conditionalFormatting>
  <conditionalFormatting sqref="G18:R18 T18">
    <cfRule type="cellIs" dxfId="74" priority="82" operator="equal">
      <formula>0</formula>
    </cfRule>
  </conditionalFormatting>
  <conditionalFormatting sqref="G29:R29 T29">
    <cfRule type="cellIs" dxfId="73" priority="81" operator="equal">
      <formula>0</formula>
    </cfRule>
  </conditionalFormatting>
  <conditionalFormatting sqref="G36:R36 T36">
    <cfRule type="cellIs" dxfId="72" priority="80" operator="equal">
      <formula>0</formula>
    </cfRule>
  </conditionalFormatting>
  <conditionalFormatting sqref="G47:J48">
    <cfRule type="cellIs" dxfId="71" priority="79" operator="equal">
      <formula>0</formula>
    </cfRule>
  </conditionalFormatting>
  <conditionalFormatting sqref="O47:Q48">
    <cfRule type="cellIs" dxfId="70" priority="78" operator="equal">
      <formula>0</formula>
    </cfRule>
  </conditionalFormatting>
  <conditionalFormatting sqref="T47:T48">
    <cfRule type="cellIs" dxfId="69" priority="76" operator="equal">
      <formula>0</formula>
    </cfRule>
  </conditionalFormatting>
  <conditionalFormatting sqref="R47:R48">
    <cfRule type="cellIs" dxfId="68" priority="77" operator="equal">
      <formula>0</formula>
    </cfRule>
  </conditionalFormatting>
  <conditionalFormatting sqref="M47:M48">
    <cfRule type="cellIs" dxfId="67" priority="73" operator="equal">
      <formula>0</formula>
    </cfRule>
  </conditionalFormatting>
  <conditionalFormatting sqref="K47:K48">
    <cfRule type="cellIs" dxfId="66" priority="75" operator="equal">
      <formula>0</formula>
    </cfRule>
  </conditionalFormatting>
  <conditionalFormatting sqref="S19:S22">
    <cfRule type="cellIs" dxfId="65" priority="71" operator="equal">
      <formula>0</formula>
    </cfRule>
  </conditionalFormatting>
  <conditionalFormatting sqref="S16">
    <cfRule type="cellIs" dxfId="64" priority="63" operator="equal">
      <formula>0</formula>
    </cfRule>
  </conditionalFormatting>
  <conditionalFormatting sqref="S18">
    <cfRule type="cellIs" dxfId="63" priority="62" operator="equal">
      <formula>0</formula>
    </cfRule>
  </conditionalFormatting>
  <conditionalFormatting sqref="S29">
    <cfRule type="cellIs" dxfId="62" priority="61" operator="equal">
      <formula>0</formula>
    </cfRule>
  </conditionalFormatting>
  <conditionalFormatting sqref="S12">
    <cfRule type="cellIs" dxfId="61" priority="64" operator="equal">
      <formula>0</formula>
    </cfRule>
  </conditionalFormatting>
  <conditionalFormatting sqref="S36">
    <cfRule type="cellIs" dxfId="60" priority="60" operator="equal">
      <formula>0</formula>
    </cfRule>
  </conditionalFormatting>
  <conditionalFormatting sqref="S23">
    <cfRule type="cellIs" dxfId="59" priority="70" operator="equal">
      <formula>0</formula>
    </cfRule>
  </conditionalFormatting>
  <conditionalFormatting sqref="S26:S28 S30:S35 S37:S39">
    <cfRule type="cellIs" dxfId="58" priority="69" operator="equal">
      <formula>0</formula>
    </cfRule>
  </conditionalFormatting>
  <conditionalFormatting sqref="S24">
    <cfRule type="cellIs" dxfId="57" priority="68" operator="equal">
      <formula>0</formula>
    </cfRule>
  </conditionalFormatting>
  <conditionalFormatting sqref="S8:S11 S13:S15 S17">
    <cfRule type="cellIs" dxfId="56" priority="67" operator="equal">
      <formula>0</formula>
    </cfRule>
  </conditionalFormatting>
  <conditionalFormatting sqref="S25">
    <cfRule type="cellIs" dxfId="55" priority="66" operator="equal">
      <formula>0</formula>
    </cfRule>
  </conditionalFormatting>
  <conditionalFormatting sqref="S47:S48">
    <cfRule type="cellIs" dxfId="54" priority="59" operator="equal">
      <formula>0</formula>
    </cfRule>
  </conditionalFormatting>
  <conditionalFormatting sqref="Z8:Z11 Z13:Z15 Z17">
    <cfRule type="cellIs" dxfId="53" priority="37" operator="equal">
      <formula>0</formula>
    </cfRule>
  </conditionalFormatting>
  <conditionalFormatting sqref="Z24 Z26:Z28 Z30:Z35 Z37:Z39">
    <cfRule type="cellIs" dxfId="52" priority="38" operator="equal">
      <formula>0</formula>
    </cfRule>
  </conditionalFormatting>
  <conditionalFormatting sqref="Z25">
    <cfRule type="cellIs" dxfId="51" priority="36" operator="equal">
      <formula>0</formula>
    </cfRule>
  </conditionalFormatting>
  <conditionalFormatting sqref="AA24 AA26:AA28 AA30:AA35 AA37:AA39">
    <cfRule type="cellIs" dxfId="50" priority="35" operator="equal">
      <formula>0</formula>
    </cfRule>
  </conditionalFormatting>
  <conditionalFormatting sqref="AA8:AA11 AA13:AA15 AA17">
    <cfRule type="cellIs" dxfId="49" priority="34" operator="equal">
      <formula>0</formula>
    </cfRule>
  </conditionalFormatting>
  <conditionalFormatting sqref="AA25">
    <cfRule type="cellIs" dxfId="48" priority="33" operator="equal">
      <formula>0</formula>
    </cfRule>
  </conditionalFormatting>
  <conditionalFormatting sqref="AC25">
    <cfRule type="cellIs" dxfId="47" priority="27" operator="equal">
      <formula>0</formula>
    </cfRule>
  </conditionalFormatting>
  <conditionalFormatting sqref="Z55:AG55">
    <cfRule type="cellIs" dxfId="46" priority="26" operator="equal">
      <formula>0</formula>
    </cfRule>
  </conditionalFormatting>
  <conditionalFormatting sqref="V12:AH12">
    <cfRule type="cellIs" dxfId="45" priority="24" operator="equal">
      <formula>0</formula>
    </cfRule>
  </conditionalFormatting>
  <conditionalFormatting sqref="AD8">
    <cfRule type="cellIs" dxfId="44" priority="25" operator="equal">
      <formula>0</formula>
    </cfRule>
  </conditionalFormatting>
  <conditionalFormatting sqref="V16:AH16">
    <cfRule type="cellIs" dxfId="43" priority="23" operator="equal">
      <formula>0</formula>
    </cfRule>
  </conditionalFormatting>
  <conditionalFormatting sqref="AA47:AA48">
    <cfRule type="cellIs" dxfId="42" priority="14" operator="equal">
      <formula>0</formula>
    </cfRule>
  </conditionalFormatting>
  <conditionalFormatting sqref="AC47:AC48">
    <cfRule type="cellIs" dxfId="41" priority="12" operator="equal">
      <formula>0</formula>
    </cfRule>
  </conditionalFormatting>
  <conditionalFormatting sqref="V19:AC23 AD19:AH22">
    <cfRule type="cellIs" dxfId="40" priority="58" operator="equal">
      <formula>0</formula>
    </cfRule>
  </conditionalFormatting>
  <conditionalFormatting sqref="AD23:AF23 V24:Y24 V8:W11 V25:W25 V26:Y28 V13:W15 V17:W17 V30:Y35 V37:Y39">
    <cfRule type="cellIs" dxfId="39" priority="57" operator="equal">
      <formula>0</formula>
    </cfRule>
  </conditionalFormatting>
  <conditionalFormatting sqref="AG23">
    <cfRule type="cellIs" dxfId="38" priority="48" operator="equal">
      <formula>0</formula>
    </cfRule>
  </conditionalFormatting>
  <conditionalFormatting sqref="X8:Y11 X13:Y15 X17:Y17">
    <cfRule type="cellIs" dxfId="37" priority="56" operator="equal">
      <formula>0</formula>
    </cfRule>
  </conditionalFormatting>
  <conditionalFormatting sqref="AD26:AF28 AD30:AF35 AD37:AF39">
    <cfRule type="cellIs" dxfId="36" priority="55" operator="equal">
      <formula>0</formula>
    </cfRule>
  </conditionalFormatting>
  <conditionalFormatting sqref="AD24:AF24">
    <cfRule type="cellIs" dxfId="35" priority="54" operator="equal">
      <formula>0</formula>
    </cfRule>
  </conditionalFormatting>
  <conditionalFormatting sqref="AD9:AF11 AE8:AF8 AD13:AF15 AD17:AF17">
    <cfRule type="cellIs" dxfId="34" priority="53" operator="equal">
      <formula>0</formula>
    </cfRule>
  </conditionalFormatting>
  <conditionalFormatting sqref="X25:Y25">
    <cfRule type="cellIs" dxfId="33" priority="52" operator="equal">
      <formula>0</formula>
    </cfRule>
  </conditionalFormatting>
  <conditionalFormatting sqref="AD25:AF25">
    <cfRule type="cellIs" dxfId="32" priority="51" operator="equal">
      <formula>0</formula>
    </cfRule>
  </conditionalFormatting>
  <conditionalFormatting sqref="V55:Y55">
    <cfRule type="cellIs" dxfId="31" priority="50" operator="equal">
      <formula>0</formula>
    </cfRule>
  </conditionalFormatting>
  <conditionalFormatting sqref="AH55">
    <cfRule type="cellIs" dxfId="30" priority="49" operator="equal">
      <formula>0</formula>
    </cfRule>
  </conditionalFormatting>
  <conditionalFormatting sqref="AH25">
    <cfRule type="cellIs" dxfId="29" priority="39" operator="equal">
      <formula>0</formula>
    </cfRule>
  </conditionalFormatting>
  <conditionalFormatting sqref="AH26:AH28 AH30:AH35 AH37:AH39">
    <cfRule type="cellIs" dxfId="28" priority="42" operator="equal">
      <formula>0</formula>
    </cfRule>
  </conditionalFormatting>
  <conditionalFormatting sqref="AH24">
    <cfRule type="cellIs" dxfId="27" priority="41" operator="equal">
      <formula>0</formula>
    </cfRule>
  </conditionalFormatting>
  <conditionalFormatting sqref="AH8:AH11 AH13:AH15 AH17">
    <cfRule type="cellIs" dxfId="26" priority="40" operator="equal">
      <formula>0</formula>
    </cfRule>
  </conditionalFormatting>
  <conditionalFormatting sqref="AG26:AG28 AG30:AG35 AG37:AG39">
    <cfRule type="cellIs" dxfId="25" priority="47" operator="equal">
      <formula>0</formula>
    </cfRule>
  </conditionalFormatting>
  <conditionalFormatting sqref="AG24">
    <cfRule type="cellIs" dxfId="24" priority="46" operator="equal">
      <formula>0</formula>
    </cfRule>
  </conditionalFormatting>
  <conditionalFormatting sqref="AG8:AG11 AG13:AG15 AG17">
    <cfRule type="cellIs" dxfId="23" priority="45" operator="equal">
      <formula>0</formula>
    </cfRule>
  </conditionalFormatting>
  <conditionalFormatting sqref="AG25">
    <cfRule type="cellIs" dxfId="22" priority="44" operator="equal">
      <formula>0</formula>
    </cfRule>
  </conditionalFormatting>
  <conditionalFormatting sqref="AH23">
    <cfRule type="cellIs" dxfId="21" priority="43" operator="equal">
      <formula>0</formula>
    </cfRule>
  </conditionalFormatting>
  <conditionalFormatting sqref="AC8:AC11 AC13:AC15 AC17">
    <cfRule type="cellIs" dxfId="20" priority="28" operator="equal">
      <formula>0</formula>
    </cfRule>
  </conditionalFormatting>
  <conditionalFormatting sqref="AB8:AB11 AB13:AB15 AB17">
    <cfRule type="cellIs" dxfId="19" priority="31" operator="equal">
      <formula>0</formula>
    </cfRule>
  </conditionalFormatting>
  <conditionalFormatting sqref="AB24 AB26:AB28 AB30:AB35 AB37:AB39">
    <cfRule type="cellIs" dxfId="18" priority="32" operator="equal">
      <formula>0</formula>
    </cfRule>
  </conditionalFormatting>
  <conditionalFormatting sqref="AB25">
    <cfRule type="cellIs" dxfId="17" priority="30" operator="equal">
      <formula>0</formula>
    </cfRule>
  </conditionalFormatting>
  <conditionalFormatting sqref="AC24 AC26:AC28 AC30:AC35 AC37:AC39">
    <cfRule type="cellIs" dxfId="16" priority="29" operator="equal">
      <formula>0</formula>
    </cfRule>
  </conditionalFormatting>
  <conditionalFormatting sqref="V18:AH18">
    <cfRule type="cellIs" dxfId="15" priority="22" operator="equal">
      <formula>0</formula>
    </cfRule>
  </conditionalFormatting>
  <conditionalFormatting sqref="V29:AH29">
    <cfRule type="cellIs" dxfId="14" priority="21" operator="equal">
      <formula>0</formula>
    </cfRule>
  </conditionalFormatting>
  <conditionalFormatting sqref="V36:AH36">
    <cfRule type="cellIs" dxfId="13" priority="20" operator="equal">
      <formula>0</formula>
    </cfRule>
  </conditionalFormatting>
  <conditionalFormatting sqref="V47:Y48">
    <cfRule type="cellIs" dxfId="12" priority="19" operator="equal">
      <formula>0</formula>
    </cfRule>
  </conditionalFormatting>
  <conditionalFormatting sqref="AD47:AF48">
    <cfRule type="cellIs" dxfId="11" priority="18" operator="equal">
      <formula>0</formula>
    </cfRule>
  </conditionalFormatting>
  <conditionalFormatting sqref="AH47:AH48">
    <cfRule type="cellIs" dxfId="10" priority="16" operator="equal">
      <formula>0</formula>
    </cfRule>
  </conditionalFormatting>
  <conditionalFormatting sqref="AG47:AG48">
    <cfRule type="cellIs" dxfId="9" priority="17" operator="equal">
      <formula>0</formula>
    </cfRule>
  </conditionalFormatting>
  <conditionalFormatting sqref="AB47:AB48">
    <cfRule type="cellIs" dxfId="8" priority="13" operator="equal">
      <formula>0</formula>
    </cfRule>
  </conditionalFormatting>
  <conditionalFormatting sqref="Z47:Z48">
    <cfRule type="cellIs" dxfId="7" priority="15" operator="equal">
      <formula>0</formula>
    </cfRule>
  </conditionalFormatting>
  <conditionalFormatting sqref="E24 E34">
    <cfRule type="cellIs" dxfId="6" priority="10" operator="equal">
      <formula>0</formula>
    </cfRule>
  </conditionalFormatting>
  <conditionalFormatting sqref="E8">
    <cfRule type="cellIs" dxfId="5" priority="9" operator="equal">
      <formula>0</formula>
    </cfRule>
  </conditionalFormatting>
  <conditionalFormatting sqref="E25">
    <cfRule type="cellIs" dxfId="4" priority="8" operator="equal">
      <formula>0</formula>
    </cfRule>
  </conditionalFormatting>
  <conditionalFormatting sqref="E16">
    <cfRule type="cellIs" dxfId="3" priority="6" operator="equal">
      <formula>0</formula>
    </cfRule>
  </conditionalFormatting>
  <conditionalFormatting sqref="E22:E23">
    <cfRule type="cellIs" dxfId="2" priority="11" operator="equal">
      <formula>0</formula>
    </cfRule>
  </conditionalFormatting>
  <conditionalFormatting sqref="E47:E48">
    <cfRule type="cellIs" dxfId="1" priority="2" operator="equal">
      <formula>0</formula>
    </cfRule>
  </conditionalFormatting>
  <conditionalFormatting sqref="E55">
    <cfRule type="cellIs" dxfId="0" priority="1" operator="equal">
      <formula>0</formula>
    </cfRule>
  </conditionalFormatting>
  <dataValidations count="1">
    <dataValidation type="list" allowBlank="1" showInputMessage="1" showErrorMessage="1" sqref="C103:C127 E17:E21 E26:E33 E35:E39 E9:E15 E56:E87" xr:uid="{00000000-0002-0000-1800-000000000000}">
      <formula1>$C$103:$C$127</formula1>
    </dataValidation>
  </dataValidations>
  <printOptions horizontalCentered="1"/>
  <pageMargins left="0.70866141732283472" right="0.70866141732283472" top="0.74803149606299213" bottom="0.74803149606299213" header="0.74803149606299213" footer="0.35433070866141736"/>
  <pageSetup paperSize="9" scale="46" fitToHeight="2" orientation="portrait" r:id="rId1"/>
  <headerFooter differentOddEven="1">
    <oddFooter>&amp;R&amp;G</oddFooter>
    <evenFooter>&amp;L&amp;G</evenFooter>
  </headerFooter>
  <rowBreaks count="1" manualBreakCount="1">
    <brk id="50" max="34" man="1"/>
  </rowBreaks>
  <ignoredErrors>
    <ignoredError sqref="L16:AA16 L18:AA18 L34:AA34 L36:AA36 G12:AA12 G16:J16 G18:J18 K16:K18 G29:AA29 G34:K36 T66 AH73:AH74 T58 AC16:AH16 AC18:AH18 AC34:AH34 AC36:AH36 AC12:AH12 AC29:AH29 AB12:AB24 AB26:AB36" formula="1"/>
    <ignoredError sqref="G98:V99 H100 X100 S87 S56:S86" formulaRange="1"/>
  </ignoredErrors>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5"/>
  <dimension ref="B1:Q228"/>
  <sheetViews>
    <sheetView showGridLines="0" zoomScaleNormal="100" zoomScaleSheetLayoutView="100" workbookViewId="0">
      <selection activeCell="B2" sqref="B2"/>
    </sheetView>
  </sheetViews>
  <sheetFormatPr defaultColWidth="9.1796875" defaultRowHeight="10.5"/>
  <cols>
    <col min="1" max="1" width="2.453125" style="184" customWidth="1"/>
    <col min="2" max="2" width="4.453125" style="184" customWidth="1"/>
    <col min="3" max="3" width="43.54296875" style="184" customWidth="1"/>
    <col min="4" max="4" width="14.453125" style="184" customWidth="1"/>
    <col min="5" max="8" width="13.81640625" style="184" customWidth="1"/>
    <col min="9" max="9" width="2.54296875" style="184" customWidth="1"/>
    <col min="10" max="16384" width="9.1796875" style="184"/>
  </cols>
  <sheetData>
    <row r="1" spans="2:12" s="50" customFormat="1" ht="15" customHeight="1">
      <c r="B1" s="49"/>
      <c r="I1" s="183"/>
    </row>
    <row r="2" spans="2:12" ht="24" customHeight="1">
      <c r="B2" s="8"/>
      <c r="C2" s="51" t="str">
        <f>IF(Indice_index!$Z$1=1,"21 - Estimativas de execução consideradas na conta da Administração Central","21 - Estimated amounts in Central Government Account")</f>
        <v>21 - Estimated amounts in Central Government Account</v>
      </c>
      <c r="D2" s="51"/>
      <c r="E2" s="51"/>
      <c r="F2" s="51"/>
      <c r="G2" s="51"/>
      <c r="H2" s="51"/>
      <c r="I2" s="51"/>
    </row>
    <row r="3" spans="2:12" s="186" customFormat="1" ht="15" customHeight="1">
      <c r="B3" s="183"/>
      <c r="C3" s="185"/>
      <c r="I3" s="183"/>
    </row>
    <row r="4" spans="2:12" s="186" customFormat="1" ht="15" customHeight="1">
      <c r="B4" s="183"/>
      <c r="C4" s="187"/>
      <c r="I4" s="183"/>
    </row>
    <row r="5" spans="2:12" s="186" customFormat="1" ht="15" customHeight="1">
      <c r="B5" s="183"/>
      <c r="C5" s="1403" t="str">
        <f>+'5 - Conta AC + SS'!C5</f>
        <v>Period: January to November</v>
      </c>
      <c r="D5" s="1404"/>
      <c r="G5" s="730"/>
      <c r="H5" s="730" t="str">
        <f>IF(Indice_index!$Z$1=1,"€ Milhões","€ Millions")</f>
        <v>€ Millions</v>
      </c>
      <c r="I5" s="1404"/>
    </row>
    <row r="6" spans="2:12" s="186" customFormat="1" ht="79.5" customHeight="1">
      <c r="B6" s="183"/>
      <c r="C6" s="1405"/>
      <c r="D6" s="1406" t="s">
        <v>76</v>
      </c>
      <c r="E6" s="1406" t="s">
        <v>501</v>
      </c>
      <c r="G6" s="1406" t="s">
        <v>593</v>
      </c>
      <c r="H6" s="1406" t="s">
        <v>612</v>
      </c>
      <c r="I6" s="1407"/>
    </row>
    <row r="7" spans="2:12" s="186" customFormat="1" ht="15" customHeight="1">
      <c r="B7" s="183"/>
      <c r="C7" s="1408" t="str">
        <f>IF(Indice_index!$Z$1=1,"Receita corrente","Current revenue")</f>
        <v>Current revenue</v>
      </c>
      <c r="D7" s="1409">
        <f>+D8+D9+D10+D12</f>
        <v>0</v>
      </c>
      <c r="E7" s="1409">
        <f>+E8+E9+E10+E12</f>
        <v>3.6499999999999998E-2</v>
      </c>
      <c r="G7" s="1409">
        <f>+G8+G9+G10+G12</f>
        <v>0</v>
      </c>
      <c r="H7" s="1409">
        <f>+H8+H9+H10+H12</f>
        <v>0</v>
      </c>
      <c r="I7" s="1409"/>
    </row>
    <row r="8" spans="2:12" s="186" customFormat="1" ht="15" customHeight="1">
      <c r="B8" s="183"/>
      <c r="C8" s="851" t="str">
        <f>IF(Indice_index!$Z$1=1,"Receita fiscal","Tax")</f>
        <v>Tax</v>
      </c>
      <c r="D8" s="1410">
        <v>0</v>
      </c>
      <c r="E8" s="1410">
        <v>0</v>
      </c>
      <c r="G8" s="1410">
        <v>0</v>
      </c>
      <c r="H8" s="1410">
        <v>0</v>
      </c>
      <c r="I8" s="1410"/>
      <c r="L8" s="186" t="s">
        <v>39</v>
      </c>
    </row>
    <row r="9" spans="2:12" s="186" customFormat="1" ht="15" customHeight="1">
      <c r="B9" s="183"/>
      <c r="C9" s="697" t="str">
        <f>IF(Indice_index!$Z$1=1,"Contribuições para Segurança Social, CGA e ADSE","Social security, CGA and ADSE contributions")</f>
        <v>Social security, CGA and ADSE contributions</v>
      </c>
      <c r="D9" s="1410">
        <v>0</v>
      </c>
      <c r="E9" s="1410">
        <v>0</v>
      </c>
      <c r="G9" s="1410">
        <v>0</v>
      </c>
      <c r="H9" s="1410">
        <v>0</v>
      </c>
      <c r="I9" s="1410"/>
    </row>
    <row r="10" spans="2:12" s="186" customFormat="1" ht="15" customHeight="1">
      <c r="B10" s="183"/>
      <c r="C10" s="697" t="str">
        <f>IF(Indice_index!$Z$1=1,"Transferências correntes","Current transfers")</f>
        <v>Current transfers</v>
      </c>
      <c r="D10" s="1410">
        <v>0</v>
      </c>
      <c r="E10" s="1410">
        <v>3.6499999999999998E-2</v>
      </c>
      <c r="G10" s="1410">
        <v>0</v>
      </c>
      <c r="H10" s="1410">
        <v>0</v>
      </c>
      <c r="I10" s="1410"/>
    </row>
    <row r="11" spans="2:12" s="186" customFormat="1" ht="15" customHeight="1">
      <c r="B11" s="183"/>
      <c r="C11" s="698" t="str">
        <f>IF(Indice_index!$Z$1=1,"das quais: Administração Central","of which: Central Administration")</f>
        <v>of which: Central Administration</v>
      </c>
      <c r="D11" s="1410">
        <v>0</v>
      </c>
      <c r="E11" s="1410">
        <v>0</v>
      </c>
      <c r="G11" s="1410">
        <v>0</v>
      </c>
      <c r="H11" s="1410">
        <v>0</v>
      </c>
      <c r="I11" s="1410"/>
    </row>
    <row r="12" spans="2:12" s="186" customFormat="1" ht="15" customHeight="1">
      <c r="B12" s="183"/>
      <c r="C12" s="697" t="str">
        <f>IF(Indice_index!$Z$1=1,"Outras receitas correntes","Other current revenue")</f>
        <v>Other current revenue</v>
      </c>
      <c r="D12" s="1410">
        <v>0</v>
      </c>
      <c r="E12" s="1410">
        <v>0</v>
      </c>
      <c r="G12" s="1410">
        <v>0</v>
      </c>
      <c r="H12" s="1410">
        <v>0</v>
      </c>
      <c r="I12" s="1410"/>
    </row>
    <row r="13" spans="2:12" s="186" customFormat="1" ht="15" customHeight="1">
      <c r="B13" s="183"/>
      <c r="C13" s="698" t="str">
        <f>IF(Indice_index!$Z$1=1,"das quais: Administração Central","of which: Central Administration")</f>
        <v>of which: Central Administration</v>
      </c>
      <c r="D13" s="1410">
        <v>0</v>
      </c>
      <c r="E13" s="1410">
        <v>0</v>
      </c>
      <c r="G13" s="1410">
        <v>0</v>
      </c>
      <c r="H13" s="1410">
        <v>0</v>
      </c>
      <c r="I13" s="1410"/>
    </row>
    <row r="14" spans="2:12" s="186" customFormat="1" ht="15" customHeight="1">
      <c r="B14" s="183"/>
      <c r="C14" s="698" t="str">
        <f>IF(Indice_index!$Z$1=1,"das quais: das quais: Vendas de bens e serviços / Saúde","of which: Sales of goods and services / Health sector")</f>
        <v>of which: Sales of goods and services / Health sector</v>
      </c>
      <c r="D14" s="1410">
        <v>0</v>
      </c>
      <c r="E14" s="1410">
        <v>0</v>
      </c>
      <c r="G14" s="1410">
        <v>0</v>
      </c>
      <c r="H14" s="1410">
        <v>0</v>
      </c>
      <c r="I14" s="1410"/>
    </row>
    <row r="15" spans="2:12" s="186" customFormat="1" ht="15" customHeight="1">
      <c r="B15" s="183"/>
      <c r="C15" s="1408" t="str">
        <f>IF(Indice_index!$Z$1=1,"Receita de capital","Capital revenue")</f>
        <v>Capital revenue</v>
      </c>
      <c r="D15" s="1409">
        <f>+D16+D17+D19</f>
        <v>0</v>
      </c>
      <c r="E15" s="1409">
        <f>+E16+E17+E19</f>
        <v>0</v>
      </c>
      <c r="G15" s="1409">
        <f>+G16+G17+G19</f>
        <v>0</v>
      </c>
      <c r="H15" s="1409">
        <f>+H16+H17+H19</f>
        <v>0</v>
      </c>
      <c r="I15" s="1409"/>
    </row>
    <row r="16" spans="2:12" s="186" customFormat="1" ht="15" customHeight="1">
      <c r="B16" s="183"/>
      <c r="C16" s="697" t="str">
        <f>IF(Indice_index!$Z$1=1,"Venda de bens de investimento","Sale of investment goods")</f>
        <v>Sale of investment goods</v>
      </c>
      <c r="D16" s="1410">
        <v>0</v>
      </c>
      <c r="E16" s="1410">
        <v>0</v>
      </c>
      <c r="G16" s="1410">
        <v>0</v>
      </c>
      <c r="H16" s="1410">
        <v>0</v>
      </c>
      <c r="I16" s="1410"/>
    </row>
    <row r="17" spans="2:9" s="186" customFormat="1" ht="15" customHeight="1">
      <c r="B17" s="183"/>
      <c r="C17" s="697" t="str">
        <f>IF(Indice_index!$Z$1=1,"Transferências de capital","Capital transfers")</f>
        <v>Capital transfers</v>
      </c>
      <c r="D17" s="1410">
        <v>0</v>
      </c>
      <c r="E17" s="1410">
        <v>0</v>
      </c>
      <c r="G17" s="1410">
        <v>0</v>
      </c>
      <c r="H17" s="1410">
        <v>0</v>
      </c>
      <c r="I17" s="1410"/>
    </row>
    <row r="18" spans="2:9" s="186" customFormat="1" ht="15" customHeight="1">
      <c r="B18" s="183"/>
      <c r="C18" s="698" t="str">
        <f>IF(Indice_index!$Z$1=1,"das quais: Administração Central","of which: Central Administration")</f>
        <v>of which: Central Administration</v>
      </c>
      <c r="D18" s="1410">
        <v>0</v>
      </c>
      <c r="E18" s="1410">
        <v>0</v>
      </c>
      <c r="G18" s="1410">
        <v>0</v>
      </c>
      <c r="H18" s="1410">
        <v>0</v>
      </c>
      <c r="I18" s="1410"/>
    </row>
    <row r="19" spans="2:9" s="186" customFormat="1" ht="15" customHeight="1">
      <c r="B19" s="183"/>
      <c r="C19" s="697" t="str">
        <f>IF(Indice_index!$Z$1=1,"Outras receitas de capital","Other capital revenue")</f>
        <v>Other capital revenue</v>
      </c>
      <c r="D19" s="1410">
        <v>0</v>
      </c>
      <c r="E19" s="1410">
        <v>0</v>
      </c>
      <c r="G19" s="1410">
        <v>0</v>
      </c>
      <c r="H19" s="1410">
        <v>0</v>
      </c>
      <c r="I19" s="1410"/>
    </row>
    <row r="20" spans="2:9" s="186" customFormat="1" ht="15" customHeight="1">
      <c r="B20" s="183"/>
      <c r="C20" s="1408" t="str">
        <f>IF(Indice_index!$Z$1=1,"Receita efetiva","Effective revenue")</f>
        <v>Effective revenue</v>
      </c>
      <c r="D20" s="1409">
        <f>+D7+D15</f>
        <v>0</v>
      </c>
      <c r="E20" s="1409">
        <f>+E7+E15</f>
        <v>3.6499999999999998E-2</v>
      </c>
      <c r="G20" s="1409">
        <f>+G7+G15</f>
        <v>0</v>
      </c>
      <c r="H20" s="1409">
        <f>+H7+H15</f>
        <v>0</v>
      </c>
      <c r="I20" s="1409"/>
    </row>
    <row r="21" spans="2:9" s="186" customFormat="1" ht="4.5" customHeight="1">
      <c r="B21" s="183"/>
      <c r="C21" s="1408"/>
      <c r="D21" s="1409"/>
      <c r="E21" s="1409"/>
      <c r="G21" s="1409"/>
      <c r="H21" s="1409"/>
      <c r="I21" s="1409"/>
    </row>
    <row r="22" spans="2:9" s="186" customFormat="1" ht="15" customHeight="1">
      <c r="B22" s="183"/>
      <c r="C22" s="1408" t="str">
        <f>IF(Indice_index!$Z$1=1,"Despesa corrente","Current expenditure")</f>
        <v>Current expenditure</v>
      </c>
      <c r="D22" s="1409">
        <f>+D23+D24+D26+D28+D30+D32</f>
        <v>8.2699999999999996E-2</v>
      </c>
      <c r="E22" s="1409">
        <f>+E23+E24+E26+E28+E30+E32</f>
        <v>3.8042999999999993E-2</v>
      </c>
      <c r="G22" s="1409">
        <f>+G23+G24+G26+G28+G30+G32</f>
        <v>24.273183689999993</v>
      </c>
      <c r="H22" s="1409">
        <f>+H23+H24+H26+H28+H30+H32</f>
        <v>85.361485000000002</v>
      </c>
      <c r="I22" s="1409"/>
    </row>
    <row r="23" spans="2:9" s="186" customFormat="1" ht="15" customHeight="1">
      <c r="B23" s="183"/>
      <c r="C23" s="697" t="str">
        <f>IF(Indice_index!$Z$1=1,"Despesas com o pessoal","Employees")</f>
        <v>Employees</v>
      </c>
      <c r="D23" s="1410">
        <v>4.9810000000000002E-3</v>
      </c>
      <c r="E23" s="1410">
        <v>0</v>
      </c>
      <c r="G23" s="1410">
        <v>24.269737579999994</v>
      </c>
      <c r="H23" s="1410">
        <v>0</v>
      </c>
      <c r="I23" s="1410"/>
    </row>
    <row r="24" spans="2:9" s="186" customFormat="1" ht="15" customHeight="1">
      <c r="B24" s="183"/>
      <c r="C24" s="697" t="str">
        <f>IF(Indice_index!$Z$1=1,"Aquisição de bens e serviços","Purchase of goods and services")</f>
        <v>Purchase of goods and services</v>
      </c>
      <c r="D24" s="1410">
        <v>7.7718999999999996E-2</v>
      </c>
      <c r="E24" s="1410">
        <v>1.5980999999999999E-2</v>
      </c>
      <c r="G24" s="1410">
        <v>3.4461100000000105E-3</v>
      </c>
      <c r="H24" s="1410">
        <v>0</v>
      </c>
      <c r="I24" s="1410"/>
    </row>
    <row r="25" spans="2:9" s="186" customFormat="1" ht="15" customHeight="1">
      <c r="B25" s="183"/>
      <c r="C25" s="698" t="str">
        <f>IF(Indice_index!$Z$1=1,"das quais: das quais: Aquisição de bens e serviços / Saúde","of which: Purchase of goods and services / Health sector")</f>
        <v>of which: Purchase of goods and services / Health sector</v>
      </c>
      <c r="D25" s="1411">
        <v>0</v>
      </c>
      <c r="E25" s="1411">
        <v>0</v>
      </c>
      <c r="G25" s="1411">
        <v>0</v>
      </c>
      <c r="H25" s="1411">
        <v>0</v>
      </c>
      <c r="I25" s="1411"/>
    </row>
    <row r="26" spans="2:9" s="186" customFormat="1" ht="15" customHeight="1">
      <c r="B26" s="183"/>
      <c r="C26" s="697" t="str">
        <f>IF(Indice_index!$Z$1=1,"Juros e outros encargos","Interests and other charges")</f>
        <v>Interests and other charges</v>
      </c>
      <c r="D26" s="1410">
        <v>0</v>
      </c>
      <c r="E26" s="1410">
        <v>0</v>
      </c>
      <c r="G26" s="1410">
        <v>0</v>
      </c>
      <c r="H26" s="1410">
        <v>0</v>
      </c>
      <c r="I26" s="1410"/>
    </row>
    <row r="27" spans="2:9" s="186" customFormat="1" ht="15" customHeight="1">
      <c r="B27" s="183"/>
      <c r="C27" s="698" t="str">
        <f>IF(Indice_index!$Z$1=1,"dos quais: Administração Central","of which: Central Administration")</f>
        <v>of which: Central Administration</v>
      </c>
      <c r="D27" s="1410">
        <v>0</v>
      </c>
      <c r="E27" s="1410">
        <v>0</v>
      </c>
      <c r="G27" s="1410">
        <v>0</v>
      </c>
      <c r="H27" s="1410">
        <v>0</v>
      </c>
      <c r="I27" s="1410"/>
    </row>
    <row r="28" spans="2:9" s="186" customFormat="1" ht="15" customHeight="1">
      <c r="B28" s="183"/>
      <c r="C28" s="697" t="str">
        <f>IF(Indice_index!$Z$1=1,"Transferências correntes","Current transfers")</f>
        <v>Current transfers</v>
      </c>
      <c r="D28" s="1410">
        <v>0</v>
      </c>
      <c r="E28" s="1410">
        <v>2.1912000000000001E-2</v>
      </c>
      <c r="G28" s="1410">
        <v>0</v>
      </c>
      <c r="H28" s="1410">
        <v>0</v>
      </c>
      <c r="I28" s="1410"/>
    </row>
    <row r="29" spans="2:9" s="186" customFormat="1" ht="15" customHeight="1">
      <c r="B29" s="183"/>
      <c r="C29" s="698" t="str">
        <f>IF(Indice_index!$Z$1=1,"das quais: Administração Central","of which: Central Administration")</f>
        <v>of which: Central Administration</v>
      </c>
      <c r="D29" s="1411">
        <v>0</v>
      </c>
      <c r="E29" s="1411">
        <v>0</v>
      </c>
      <c r="G29" s="1411">
        <v>0</v>
      </c>
      <c r="H29" s="1411">
        <v>0</v>
      </c>
      <c r="I29" s="1411"/>
    </row>
    <row r="30" spans="2:9" s="186" customFormat="1" ht="15" customHeight="1">
      <c r="B30" s="183"/>
      <c r="C30" s="697" t="str">
        <f>IF(Indice_index!$Z$1=1,"Subsídios","Subsidies")</f>
        <v>Subsidies</v>
      </c>
      <c r="D30" s="1410">
        <v>0</v>
      </c>
      <c r="E30" s="1410">
        <v>0</v>
      </c>
      <c r="G30" s="1410">
        <v>0</v>
      </c>
      <c r="H30" s="1410">
        <v>85.361485000000002</v>
      </c>
      <c r="I30" s="1410"/>
    </row>
    <row r="31" spans="2:9" s="186" customFormat="1" ht="15" customHeight="1">
      <c r="B31" s="183"/>
      <c r="C31" s="698" t="str">
        <f>IF(Indice_index!$Z$1=1,"dos quais: Administração Central","of which: Central Administration")</f>
        <v>of which: Central Administration</v>
      </c>
      <c r="D31" s="1411">
        <v>0</v>
      </c>
      <c r="E31" s="1411">
        <v>0</v>
      </c>
      <c r="G31" s="1411">
        <v>0</v>
      </c>
      <c r="H31" s="1411">
        <v>0</v>
      </c>
      <c r="I31" s="1411"/>
    </row>
    <row r="32" spans="2:9" s="186" customFormat="1" ht="15" customHeight="1">
      <c r="B32" s="183"/>
      <c r="C32" s="697" t="str">
        <f>IF(Indice_index!$Z$1=1,"Outras despesas correntes","Other current expenditure")</f>
        <v>Other current expenditure</v>
      </c>
      <c r="D32" s="1410">
        <v>0</v>
      </c>
      <c r="E32" s="1410">
        <v>1.4999999999999999E-4</v>
      </c>
      <c r="G32" s="1410">
        <v>0</v>
      </c>
      <c r="H32" s="1410">
        <v>0</v>
      </c>
      <c r="I32" s="1410"/>
    </row>
    <row r="33" spans="2:17" s="186" customFormat="1" ht="15" customHeight="1">
      <c r="B33" s="183"/>
      <c r="C33" s="1408" t="str">
        <f>IF(Indice_index!$Z$1=1,"Despesa de capital","Capital expenditure")</f>
        <v>Capital expenditure</v>
      </c>
      <c r="D33" s="1412">
        <f>+D34+D35+D37</f>
        <v>0</v>
      </c>
      <c r="E33" s="1412">
        <f>+E34+E35+E37</f>
        <v>0</v>
      </c>
      <c r="G33" s="1412">
        <f>+G34+G35+G37</f>
        <v>0</v>
      </c>
      <c r="H33" s="1412">
        <f>+H34+H35+H37</f>
        <v>0</v>
      </c>
      <c r="I33" s="1412"/>
    </row>
    <row r="34" spans="2:17" s="186" customFormat="1" ht="15" customHeight="1">
      <c r="B34" s="183"/>
      <c r="C34" s="697" t="str">
        <f>IF(Indice_index!$Z$1=1,"Investimento","Investment")</f>
        <v>Investment</v>
      </c>
      <c r="D34" s="1410">
        <v>0</v>
      </c>
      <c r="E34" s="1410">
        <v>0</v>
      </c>
      <c r="G34" s="1410">
        <v>0</v>
      </c>
      <c r="H34" s="1410">
        <v>0</v>
      </c>
      <c r="I34" s="1410"/>
    </row>
    <row r="35" spans="2:17" s="186" customFormat="1" ht="15" customHeight="1">
      <c r="B35" s="183"/>
      <c r="C35" s="697" t="str">
        <f>IF(Indice_index!$Z$1=1,"Transferências de capital","Capital transfers")</f>
        <v>Capital transfers</v>
      </c>
      <c r="D35" s="1410">
        <v>0</v>
      </c>
      <c r="E35" s="1410">
        <v>0</v>
      </c>
      <c r="G35" s="1410">
        <v>0</v>
      </c>
      <c r="H35" s="1410">
        <v>0</v>
      </c>
      <c r="I35" s="1410"/>
    </row>
    <row r="36" spans="2:17" s="186" customFormat="1" ht="15" customHeight="1">
      <c r="B36" s="183"/>
      <c r="C36" s="698" t="str">
        <f>IF(Indice_index!$Z$1=1,"das quais: Administração Central","of which: Central Administration")</f>
        <v>of which: Central Administration</v>
      </c>
      <c r="D36" s="1411">
        <v>0</v>
      </c>
      <c r="E36" s="1411">
        <v>0</v>
      </c>
      <c r="G36" s="1411">
        <v>0</v>
      </c>
      <c r="H36" s="1411">
        <v>0</v>
      </c>
      <c r="I36" s="1411"/>
    </row>
    <row r="37" spans="2:17" s="186" customFormat="1" ht="15" customHeight="1">
      <c r="B37" s="183"/>
      <c r="C37" s="697" t="str">
        <f>IF(Indice_index!$Z$1=1,"Outras despesas de capital","Other capital expenditure")</f>
        <v>Other capital expenditure</v>
      </c>
      <c r="D37" s="1410">
        <v>0</v>
      </c>
      <c r="E37" s="1410">
        <v>0</v>
      </c>
      <c r="G37" s="1410">
        <v>0</v>
      </c>
      <c r="H37" s="1410">
        <v>0</v>
      </c>
      <c r="I37" s="1410"/>
    </row>
    <row r="38" spans="2:17" s="186" customFormat="1" ht="15" customHeight="1">
      <c r="B38" s="183"/>
      <c r="C38" s="1408" t="str">
        <f>IF(Indice_index!$Z$1=1,"Despesa efetiva","Effective expenditure")</f>
        <v>Effective expenditure</v>
      </c>
      <c r="D38" s="1412">
        <f>+D22+D33</f>
        <v>8.2699999999999996E-2</v>
      </c>
      <c r="E38" s="1412">
        <f t="shared" ref="E38" si="0">+E22+E33</f>
        <v>3.8042999999999993E-2</v>
      </c>
      <c r="G38" s="1412">
        <f>+G22+G33</f>
        <v>24.273183689999993</v>
      </c>
      <c r="H38" s="1412">
        <f>+H22+H33</f>
        <v>85.361485000000002</v>
      </c>
      <c r="I38" s="1412"/>
    </row>
    <row r="39" spans="2:17" s="186" customFormat="1" ht="4.5" customHeight="1">
      <c r="B39" s="183"/>
      <c r="C39" s="1413"/>
      <c r="D39" s="1412"/>
      <c r="E39" s="1412"/>
      <c r="G39" s="1412"/>
      <c r="H39" s="1412"/>
      <c r="I39" s="1412"/>
    </row>
    <row r="40" spans="2:17" s="186" customFormat="1" ht="15" customHeight="1">
      <c r="B40" s="183"/>
      <c r="C40" s="1414" t="str">
        <f>IF(Indice_index!$Z$1=1,"Saldo global","Overall balance")</f>
        <v>Overall balance</v>
      </c>
      <c r="D40" s="1415">
        <f>+D20-D38</f>
        <v>-8.2699999999999996E-2</v>
      </c>
      <c r="E40" s="1415">
        <f>+E20-E38</f>
        <v>-1.5429999999999958E-3</v>
      </c>
      <c r="G40" s="1415">
        <f>+G20-G38</f>
        <v>-24.273183689999993</v>
      </c>
      <c r="H40" s="1415">
        <f>+H20-H38</f>
        <v>-85.361485000000002</v>
      </c>
      <c r="I40" s="1416"/>
    </row>
    <row r="41" spans="2:17" s="96" customFormat="1" ht="4.5" customHeight="1">
      <c r="D41" s="1417"/>
      <c r="E41" s="1417"/>
      <c r="G41" s="1417"/>
      <c r="H41" s="1417"/>
      <c r="I41" s="1417"/>
      <c r="O41" s="50"/>
      <c r="P41" s="50"/>
      <c r="Q41" s="50"/>
    </row>
    <row r="42" spans="2:17" s="186" customFormat="1" ht="57" customHeight="1">
      <c r="C42" s="1414" t="str">
        <f>IF(Indice_index!$Z$1=1,"Períodos com ausência de reporte","Months without report")</f>
        <v>Months without report</v>
      </c>
      <c r="D42" s="1418" t="str">
        <f>IF(Indice_index!$Z$1=1,"novembro","November")</f>
        <v>November</v>
      </c>
      <c r="E42" s="1418" t="str">
        <f>IF(Indice_index!$Z$1=1,"novembro; outubro; setembro; agosto; julho; junho; maio; ; abril; março","November; October;September; August; July; June; May; ; April; March")</f>
        <v>November; October;September; August; July; June; May; ; April; March</v>
      </c>
      <c r="G42" s="1418" t="str">
        <f>IF(Indice_index!$Z$1=1,"novembro","November")</f>
        <v>November</v>
      </c>
      <c r="H42" s="1418" t="str">
        <f>IF(Indice_index!$Z$1=1,"novembro","November")</f>
        <v>November</v>
      </c>
      <c r="I42" s="1419"/>
    </row>
    <row r="43" spans="2:17" s="186" customFormat="1" ht="3" customHeight="1">
      <c r="C43" s="1403"/>
    </row>
    <row r="44" spans="2:17" s="186" customFormat="1" ht="4.5" customHeight="1">
      <c r="C44" s="1403"/>
    </row>
    <row r="45" spans="2:17" s="53" customFormat="1" ht="15" customHeight="1">
      <c r="C45" s="839" t="str">
        <f>IF(Indice_index!$Z$1=1,"Notas:","Notes:")</f>
        <v>Notes:</v>
      </c>
      <c r="D45" s="58"/>
      <c r="E45" s="1420"/>
      <c r="F45" s="1420"/>
      <c r="G45" s="1420"/>
      <c r="H45" s="1420"/>
      <c r="I45" s="1420"/>
      <c r="N45" s="50"/>
      <c r="O45" s="50"/>
      <c r="P45" s="50"/>
    </row>
    <row r="46" spans="2:17" s="186" customFormat="1" ht="39" customHeight="1">
      <c r="C46" s="1793" t="str">
        <f>IF(Indice_index!$Z$1=1,C96,C97)</f>
        <v xml:space="preserve"> Estimated amounts correspond to the 2022 monthly budget implementation prediction. These estimates are added to the Central Government account in order to minimize the impacts of missing information in the report of implementation. Only includes information of the entities that provided implementation prediction for the respective months.</v>
      </c>
      <c r="D46" s="1793"/>
      <c r="E46" s="1793"/>
      <c r="F46" s="1793"/>
      <c r="G46" s="1793"/>
      <c r="H46" s="1793"/>
      <c r="I46" s="1793"/>
    </row>
    <row r="47" spans="2:17" s="186" customFormat="1" ht="25.5" customHeight="1">
      <c r="C47" s="1793" t="str">
        <f>+'10 - EPR'!C86:J86</f>
        <v>This estimate is used only in months in which there is a lack of report. In other months, the information considered is that effectively reported by the entities.</v>
      </c>
      <c r="D47" s="1793"/>
      <c r="E47" s="1793"/>
      <c r="F47" s="1793"/>
      <c r="G47" s="1793"/>
      <c r="H47" s="1793"/>
      <c r="I47" s="1793"/>
    </row>
    <row r="48" spans="2:17" s="186" customFormat="1" ht="23.25" customHeight="1">
      <c r="C48" s="1793" t="str">
        <f>IF(Indice_index!$Z$1=1,"a) Dados disponibilizados pela entidade em causa de modo a suprir faltas de informação respeitantes à execução orçamental de novembro de 2021 devido a motivos de ordem técnica na transposição dos sistemas orçamentais locais para os centrais.","a) Additional 2022 budget implementation data sent by the entities to complete missing information that, due to technical reasons, was not fully transposed from the local to the central budget information systems")</f>
        <v>a) Additional 2022 budget implementation data sent by the entities to complete missing information that, due to technical reasons, was not fully transposed from the local to the central budget information systems</v>
      </c>
      <c r="D48" s="1793"/>
      <c r="E48" s="1793"/>
      <c r="F48" s="1793"/>
      <c r="G48" s="1793"/>
      <c r="H48" s="1793"/>
    </row>
    <row r="49" spans="3:9" s="186" customFormat="1" ht="47.25" customHeight="1">
      <c r="C49" s="1793" t="str">
        <f>IF(Indice_index!$Z$1=1,C70,C71)</f>
        <v>b) The November 2022 period is adjusted for payments made by the Directorate-General of the Treasury and Finance relating to the AUTOvoucher programme. In order to include this expense in measure 103 "Impact of the geopolitical shock", it was necessary to carry out a reversal procedure which, for technical reasons, it was not possible to complete before the end of the period, making it impossible to re-register this expense in the budget systems.</v>
      </c>
      <c r="D49" s="1793"/>
      <c r="E49" s="1793"/>
      <c r="F49" s="1793"/>
      <c r="G49" s="1793"/>
      <c r="H49" s="1793"/>
    </row>
    <row r="50" spans="3:9" s="186" customFormat="1" ht="4.5" customHeight="1">
      <c r="C50" s="1793"/>
      <c r="D50" s="1793"/>
      <c r="E50" s="1793"/>
      <c r="F50" s="1793"/>
      <c r="G50" s="1793"/>
      <c r="H50" s="1421"/>
      <c r="I50" s="1421"/>
    </row>
    <row r="51" spans="3:9" s="186" customFormat="1" ht="15" customHeight="1">
      <c r="C51" s="1365" t="str">
        <f>IF(Indice_index!$Z$1=1,"Fonte: Direção-Geral do Orçamento","Source: Budget General Directorate")</f>
        <v>Source: Budget General Directorate</v>
      </c>
      <c r="D51" s="1365"/>
      <c r="E51" s="1365"/>
      <c r="F51" s="1365"/>
      <c r="G51" s="1365"/>
      <c r="H51" s="1365"/>
      <c r="I51" s="1365"/>
    </row>
    <row r="52" spans="3:9" s="186" customFormat="1"/>
    <row r="53" spans="3:9" s="186" customFormat="1"/>
    <row r="54" spans="3:9" s="498" customFormat="1"/>
    <row r="55" spans="3:9" s="423" customFormat="1">
      <c r="C55" s="462"/>
    </row>
    <row r="56" spans="3:9" s="423" customFormat="1">
      <c r="C56" s="462"/>
    </row>
    <row r="57" spans="3:9" s="498" customFormat="1">
      <c r="C57" s="462"/>
    </row>
    <row r="58" spans="3:9" s="186" customFormat="1">
      <c r="C58" s="423"/>
    </row>
    <row r="59" spans="3:9" s="186" customFormat="1"/>
    <row r="60" spans="3:9" s="186" customFormat="1"/>
    <row r="61" spans="3:9" s="186" customFormat="1"/>
    <row r="62" spans="3:9" s="186" customFormat="1"/>
    <row r="63" spans="3:9" s="186" customFormat="1"/>
    <row r="64" spans="3:9" s="186" customFormat="1"/>
    <row r="65" spans="3:3" s="186" customFormat="1"/>
    <row r="66" spans="3:3" s="186" customFormat="1"/>
    <row r="67" spans="3:3" s="186" customFormat="1"/>
    <row r="68" spans="3:3" s="186" customFormat="1"/>
    <row r="69" spans="3:3" s="186" customFormat="1"/>
    <row r="70" spans="3:3" s="423" customFormat="1">
      <c r="C70" s="423" t="s">
        <v>610</v>
      </c>
    </row>
    <row r="71" spans="3:3" s="423" customFormat="1">
      <c r="C71" s="423" t="s">
        <v>611</v>
      </c>
    </row>
    <row r="72" spans="3:3" s="186" customFormat="1"/>
    <row r="73" spans="3:3" s="186" customFormat="1" ht="12" customHeight="1"/>
    <row r="74" spans="3:3" s="186" customFormat="1"/>
    <row r="75" spans="3:3" s="186" customFormat="1"/>
    <row r="76" spans="3:3" s="186" customFormat="1"/>
    <row r="77" spans="3:3" s="186" customFormat="1"/>
    <row r="78" spans="3:3" s="186" customFormat="1"/>
    <row r="79" spans="3:3" s="186" customFormat="1"/>
    <row r="80" spans="3:3" s="186" customFormat="1"/>
    <row r="81" spans="3:3" s="186" customFormat="1"/>
    <row r="82" spans="3:3" s="186" customFormat="1"/>
    <row r="83" spans="3:3" s="186" customFormat="1"/>
    <row r="84" spans="3:3" s="186" customFormat="1"/>
    <row r="85" spans="3:3" s="186" customFormat="1"/>
    <row r="86" spans="3:3" s="186" customFormat="1"/>
    <row r="87" spans="3:3" s="186" customFormat="1"/>
    <row r="88" spans="3:3" s="186" customFormat="1"/>
    <row r="89" spans="3:3" s="186" customFormat="1"/>
    <row r="90" spans="3:3" s="186" customFormat="1"/>
    <row r="91" spans="3:3" s="186" customFormat="1"/>
    <row r="92" spans="3:3" s="186" customFormat="1"/>
    <row r="93" spans="3:3" s="186" customFormat="1"/>
    <row r="94" spans="3:3" s="186" customFormat="1"/>
    <row r="95" spans="3:3" s="186" customFormat="1"/>
    <row r="96" spans="3:3" s="186" customFormat="1">
      <c r="C96" s="423" t="s">
        <v>77</v>
      </c>
    </row>
    <row r="97" spans="3:3" s="186" customFormat="1">
      <c r="C97" s="423" t="s">
        <v>78</v>
      </c>
    </row>
    <row r="98" spans="3:3" s="186" customFormat="1"/>
    <row r="99" spans="3:3" s="186" customFormat="1"/>
    <row r="100" spans="3:3" s="186" customFormat="1"/>
    <row r="101" spans="3:3" s="186" customFormat="1"/>
    <row r="102" spans="3:3" s="186" customFormat="1"/>
    <row r="103" spans="3:3" s="186" customFormat="1"/>
    <row r="104" spans="3:3" s="186" customFormat="1"/>
    <row r="105" spans="3:3" s="186" customFormat="1"/>
    <row r="106" spans="3:3" s="186" customFormat="1"/>
    <row r="107" spans="3:3" s="186" customFormat="1"/>
    <row r="108" spans="3:3" s="186" customFormat="1"/>
    <row r="109" spans="3:3" s="186" customFormat="1"/>
    <row r="110" spans="3:3" s="186" customFormat="1"/>
    <row r="111" spans="3:3" s="186" customFormat="1"/>
    <row r="112" spans="3:3" s="186" customFormat="1"/>
    <row r="113" s="186" customFormat="1"/>
    <row r="114" s="186" customFormat="1"/>
    <row r="115" s="186" customFormat="1"/>
    <row r="116" s="186" customFormat="1"/>
    <row r="117" s="186" customFormat="1"/>
    <row r="118" s="186" customFormat="1"/>
    <row r="119" s="186" customFormat="1"/>
    <row r="120" s="186" customFormat="1"/>
    <row r="121" s="186" customFormat="1"/>
    <row r="122" s="186" customFormat="1"/>
    <row r="123" s="186" customFormat="1"/>
    <row r="124" s="186" customFormat="1"/>
    <row r="125" s="186" customFormat="1"/>
    <row r="126" s="186" customFormat="1"/>
    <row r="127" s="186" customFormat="1"/>
    <row r="128" s="186" customFormat="1"/>
    <row r="129" s="186" customFormat="1"/>
    <row r="130" s="186" customFormat="1"/>
    <row r="131" s="186" customFormat="1"/>
    <row r="132" s="186" customFormat="1"/>
    <row r="133" s="186" customFormat="1"/>
    <row r="134" s="186" customFormat="1"/>
    <row r="135" s="186" customFormat="1"/>
    <row r="136" s="186" customFormat="1"/>
    <row r="137" s="186" customFormat="1"/>
    <row r="138" s="186" customFormat="1"/>
    <row r="139" s="186" customFormat="1"/>
    <row r="140" s="186" customFormat="1"/>
    <row r="141" s="186" customFormat="1"/>
    <row r="142" s="186" customFormat="1"/>
    <row r="143" s="186" customFormat="1"/>
    <row r="144" s="186" customFormat="1"/>
    <row r="145" s="186" customFormat="1"/>
    <row r="146" s="186" customFormat="1"/>
    <row r="147" s="186" customFormat="1"/>
    <row r="148" s="186" customFormat="1"/>
    <row r="149" s="186" customFormat="1"/>
    <row r="150" s="186" customFormat="1"/>
    <row r="151" s="186" customFormat="1"/>
    <row r="152" s="186" customFormat="1"/>
    <row r="153" s="186" customFormat="1"/>
    <row r="154" s="186" customFormat="1"/>
    <row r="155" s="186" customFormat="1"/>
    <row r="156" s="186" customFormat="1"/>
    <row r="157" s="186" customFormat="1"/>
    <row r="158" s="186" customFormat="1"/>
    <row r="159" s="186" customFormat="1"/>
    <row r="160" s="186" customFormat="1"/>
    <row r="161" s="186" customFormat="1"/>
    <row r="162" s="186" customFormat="1"/>
    <row r="163" s="186" customFormat="1"/>
    <row r="164" s="186" customFormat="1"/>
    <row r="165" s="186" customFormat="1"/>
    <row r="166" s="186" customFormat="1"/>
    <row r="167" s="186" customFormat="1"/>
    <row r="168" s="186" customFormat="1"/>
    <row r="169" s="186" customFormat="1"/>
    <row r="170" s="186" customFormat="1"/>
    <row r="171" s="186" customFormat="1"/>
    <row r="172" s="186" customFormat="1"/>
    <row r="173" s="186" customFormat="1"/>
    <row r="174" s="186" customFormat="1"/>
    <row r="175" s="186" customFormat="1"/>
    <row r="176" s="186" customFormat="1"/>
    <row r="177" s="186" customFormat="1"/>
    <row r="178" s="186" customFormat="1"/>
    <row r="179" s="186" customFormat="1"/>
    <row r="180" s="186" customFormat="1"/>
    <row r="181" s="186" customFormat="1"/>
    <row r="182" s="186" customFormat="1"/>
    <row r="183" s="186" customFormat="1"/>
    <row r="184" s="186" customFormat="1"/>
    <row r="185" s="186" customFormat="1"/>
    <row r="186" s="186" customFormat="1"/>
    <row r="187" s="186" customFormat="1"/>
    <row r="188" s="186" customFormat="1"/>
    <row r="189" s="186" customFormat="1"/>
    <row r="190" s="186" customFormat="1"/>
    <row r="191" s="186" customFormat="1"/>
    <row r="192" s="186" customFormat="1"/>
    <row r="193" s="186" customFormat="1"/>
    <row r="194" s="186" customFormat="1"/>
    <row r="195" s="186" customFormat="1"/>
    <row r="196" s="186" customFormat="1"/>
    <row r="197" s="186" customFormat="1"/>
    <row r="198" s="186" customFormat="1"/>
    <row r="199" s="186" customFormat="1"/>
    <row r="200" s="186" customFormat="1"/>
    <row r="201" s="186" customFormat="1"/>
    <row r="202" s="186" customFormat="1"/>
    <row r="203" s="186" customFormat="1"/>
    <row r="204" s="186" customFormat="1"/>
    <row r="205" s="186" customFormat="1"/>
    <row r="206" s="186" customFormat="1"/>
    <row r="207" s="186" customFormat="1"/>
    <row r="208" s="186" customFormat="1"/>
    <row r="209" s="186" customFormat="1"/>
    <row r="210" s="186" customFormat="1"/>
    <row r="211" s="186" customFormat="1"/>
    <row r="212" s="186" customFormat="1"/>
    <row r="213" s="186" customFormat="1"/>
    <row r="214" s="186" customFormat="1"/>
    <row r="215" s="186" customFormat="1"/>
    <row r="216" s="186" customFormat="1"/>
    <row r="217" s="186" customFormat="1"/>
    <row r="218" s="186" customFormat="1"/>
    <row r="219" s="186" customFormat="1"/>
    <row r="220" s="186" customFormat="1"/>
    <row r="221" s="186" customFormat="1"/>
    <row r="222" s="186" customFormat="1"/>
    <row r="223" s="186" customFormat="1"/>
    <row r="224" s="186" customFormat="1"/>
    <row r="225" s="186" customFormat="1"/>
    <row r="226" s="186" customFormat="1"/>
    <row r="227" s="186" customFormat="1"/>
    <row r="228" s="186" customFormat="1"/>
  </sheetData>
  <mergeCells count="5">
    <mergeCell ref="C50:G50"/>
    <mergeCell ref="C46:I46"/>
    <mergeCell ref="C47:I47"/>
    <mergeCell ref="C48:H48"/>
    <mergeCell ref="C49:H49"/>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12" formula="1"/>
  </ignoredErrors>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2CBCD-19CF-484E-B100-BECC95C65E46}">
  <dimension ref="B1:L181"/>
  <sheetViews>
    <sheetView showGridLines="0" zoomScaleNormal="100" zoomScaleSheetLayoutView="100" workbookViewId="0">
      <selection activeCell="B2" sqref="B2"/>
    </sheetView>
  </sheetViews>
  <sheetFormatPr defaultColWidth="9.1796875" defaultRowHeight="14.5"/>
  <cols>
    <col min="1" max="1" width="2.453125" style="184" customWidth="1"/>
    <col min="2" max="2" width="3.54296875" style="184" customWidth="1"/>
    <col min="3" max="3" width="9.81640625" style="184" customWidth="1"/>
    <col min="4" max="4" width="33.1796875" style="184" customWidth="1"/>
    <col min="5" max="5" width="70.1796875" style="184" bestFit="1" customWidth="1"/>
    <col min="6" max="6" width="12.54296875" style="184" customWidth="1"/>
    <col min="7" max="7" width="11.54296875" style="184" customWidth="1"/>
    <col min="8" max="8" width="13.453125" bestFit="1" customWidth="1"/>
    <col min="9" max="9" width="10.453125" bestFit="1" customWidth="1"/>
    <col min="11" max="16384" width="9.1796875" style="184"/>
  </cols>
  <sheetData>
    <row r="1" spans="2:12" s="50" customFormat="1" ht="15" customHeight="1">
      <c r="B1" s="49"/>
      <c r="H1"/>
      <c r="I1"/>
      <c r="J1"/>
      <c r="K1"/>
    </row>
    <row r="2" spans="2:12" ht="24" customHeight="1">
      <c r="B2" s="8"/>
      <c r="C2" s="51" t="str">
        <f>IF(Indice_index!$Z$1=1,"22 - Utilização condicionada das dotações orçamentais do OE 2022","22 - Frozen allocations from the 2022 State Budget")</f>
        <v>22 - Frozen allocations from the 2022 State Budget</v>
      </c>
      <c r="D2" s="51"/>
      <c r="E2" s="51"/>
      <c r="F2" s="51"/>
      <c r="K2"/>
    </row>
    <row r="3" spans="2:12" s="186" customFormat="1" ht="30" customHeight="1">
      <c r="B3" s="183"/>
      <c r="C3" s="185"/>
      <c r="D3" s="185"/>
      <c r="H3"/>
      <c r="I3"/>
      <c r="J3"/>
      <c r="K3"/>
    </row>
    <row r="4" spans="2:12" s="186" customFormat="1" ht="15" customHeight="1">
      <c r="B4" s="183"/>
      <c r="C4" s="754" t="str">
        <f>IF(Indice_index!$Z$1=1,"Período: outubro","Period: October")</f>
        <v>Period: October</v>
      </c>
      <c r="D4" s="755"/>
      <c r="E4" s="756"/>
      <c r="F4" s="757"/>
      <c r="G4" s="757" t="str">
        <f>IF(Indice_index!$Z$1=1,"€ Milhões","€ Millions")</f>
        <v>€ Millions</v>
      </c>
      <c r="H4"/>
      <c r="I4"/>
      <c r="J4"/>
      <c r="K4"/>
    </row>
    <row r="5" spans="2:12" s="186" customFormat="1">
      <c r="C5" s="1801" t="str">
        <f>IF(Indice_index!$Z$1=1,"Ministério","Ministry")</f>
        <v>Ministry</v>
      </c>
      <c r="D5" s="1801" t="str">
        <f>IF(Indice_index!$Z$1=1,"Programa Orçamental","Budgetary program")</f>
        <v>Budgetary program</v>
      </c>
      <c r="E5" s="1801" t="str">
        <f>IF(Indice_index!$Z$1=1,"Medida","Measure")</f>
        <v>Measure</v>
      </c>
      <c r="F5" s="1797">
        <v>2022</v>
      </c>
      <c r="G5" s="1797"/>
      <c r="H5"/>
      <c r="I5"/>
      <c r="J5"/>
      <c r="K5"/>
    </row>
    <row r="6" spans="2:12" s="186" customFormat="1" ht="30" customHeight="1">
      <c r="C6" s="1802"/>
      <c r="D6" s="1802"/>
      <c r="E6" s="1802"/>
      <c r="F6" s="758" t="str">
        <f>IF(Indice_index!$Z$1=1,"Cativos iniciais","Initial frozen allocations")</f>
        <v>Initial frozen allocations</v>
      </c>
      <c r="G6" s="759" t="str">
        <f>IF(Indice_index!$Z$1=1,"Cativos atuais","Current frozen allocations")</f>
        <v>Current frozen allocations</v>
      </c>
      <c r="H6"/>
      <c r="I6"/>
      <c r="J6"/>
      <c r="K6"/>
    </row>
    <row r="7" spans="2:12" s="186" customFormat="1">
      <c r="C7" s="1803"/>
      <c r="D7" s="1803"/>
      <c r="E7" s="1803"/>
      <c r="F7" s="760" t="s">
        <v>65</v>
      </c>
      <c r="G7" s="761" t="s">
        <v>64</v>
      </c>
      <c r="H7"/>
      <c r="I7"/>
      <c r="J7"/>
      <c r="K7"/>
    </row>
    <row r="8" spans="2:12" s="186" customFormat="1" ht="15" customHeight="1">
      <c r="C8" s="762" t="str">
        <f>IF(Indice_index!$Z$1=1,"EGE","GCS")</f>
        <v>GCS</v>
      </c>
      <c r="D8" s="762" t="str">
        <f>IF(Indice_index!$Z$1=1,"P001 - Órgãos de Soberania","P001 - Sovereignty Entities")</f>
        <v>P001 - Sovereignty Entities</v>
      </c>
      <c r="E8" s="763" t="str">
        <f>IF(Indice_index!$Z$1=1,"001 - Serv. Gerais da A.P. - Administração geral","001 - General public services - General Administration")</f>
        <v>001 - General public services - General Administration</v>
      </c>
      <c r="F8" s="764">
        <v>9.0237379999999998</v>
      </c>
      <c r="G8" s="764">
        <v>0.36294500000000002</v>
      </c>
      <c r="H8"/>
      <c r="I8"/>
      <c r="J8"/>
      <c r="K8" s="438"/>
      <c r="L8" s="438"/>
    </row>
    <row r="9" spans="2:12" s="186" customFormat="1" ht="15" customHeight="1">
      <c r="C9" s="762"/>
      <c r="D9" s="762"/>
      <c r="E9" s="763" t="str">
        <f>IF(Indice_index!$Z$1=1,"012 - Segurança e ordem públicas - Sistema judiciário","012 - Public safety and order - Judicial system")</f>
        <v>012 - Public safety and order - Judicial system</v>
      </c>
      <c r="F9" s="765">
        <v>2.5152519999999998</v>
      </c>
      <c r="G9" s="765">
        <v>0.75676399999999999</v>
      </c>
      <c r="H9"/>
      <c r="I9"/>
      <c r="J9"/>
      <c r="K9" s="438"/>
      <c r="L9" s="438"/>
    </row>
    <row r="10" spans="2:12" s="186" customFormat="1" ht="15" customHeight="1">
      <c r="C10" s="762"/>
      <c r="D10" s="766"/>
      <c r="E10" s="763" t="str">
        <f>IF(Indice_index!$Z$1=1,"038 - Serviços culturais, recreativos e religiosos - Comunicação social","038 - Cultural, recreational and religious services - Media")</f>
        <v>038 - Cultural, recreational and religious services - Media</v>
      </c>
      <c r="F10" s="765">
        <v>0.31443700000000002</v>
      </c>
      <c r="G10" s="765">
        <v>0</v>
      </c>
      <c r="H10"/>
      <c r="I10"/>
      <c r="J10"/>
      <c r="K10" s="438"/>
      <c r="L10" s="438"/>
    </row>
    <row r="11" spans="2:12" s="186" customFormat="1" ht="15" customHeight="1">
      <c r="C11" s="766"/>
      <c r="D11" s="767"/>
      <c r="E11" s="768" t="str">
        <f>D8</f>
        <v>P001 - Sovereignty Entities</v>
      </c>
      <c r="F11" s="769">
        <f>SUM(F8:F10)</f>
        <v>11.853427</v>
      </c>
      <c r="G11" s="769">
        <f>SUM(G8:G10)</f>
        <v>1.1197090000000001</v>
      </c>
      <c r="H11"/>
      <c r="I11"/>
      <c r="J11"/>
      <c r="K11" s="438"/>
      <c r="L11" s="438"/>
    </row>
    <row r="12" spans="2:12" s="186" customFormat="1" ht="15" customHeight="1">
      <c r="C12" s="762" t="str">
        <f>IF(Indice_index!$Z$1=1,"PCM","PRP")</f>
        <v>PRP</v>
      </c>
      <c r="D12" s="762" t="str">
        <f>IF(Indice_index!$Z$1=1,"P002 - Governação","P002 - Government")</f>
        <v>P002 - Government</v>
      </c>
      <c r="E12" s="763" t="str">
        <f>IF(Indice_index!$Z$1=1,"001 - Serv. Gerais da A.P. - Administração geral","001 - General public services - General Administration")</f>
        <v>001 - General public services - General Administration</v>
      </c>
      <c r="F12" s="764">
        <v>10.137259</v>
      </c>
      <c r="G12" s="764">
        <v>10.061446</v>
      </c>
      <c r="H12"/>
      <c r="I12"/>
      <c r="J12"/>
      <c r="K12" s="438"/>
      <c r="L12" s="438"/>
    </row>
    <row r="13" spans="2:12" s="186" customFormat="1" ht="15" customHeight="1">
      <c r="C13" s="762"/>
      <c r="D13" s="762"/>
      <c r="E13" s="763" t="str">
        <f>IF(Indice_index!$Z$1=1,"011 - Segurança e ordem públicas - Forças de segurança","011 - Public safety and order - Security forces")</f>
        <v>011 - Public safety and order - Security forces</v>
      </c>
      <c r="F13" s="765">
        <v>1.2654069999999999</v>
      </c>
      <c r="G13" s="765">
        <v>0</v>
      </c>
      <c r="H13"/>
      <c r="I13"/>
      <c r="J13"/>
      <c r="K13" s="438"/>
      <c r="L13" s="438"/>
    </row>
    <row r="14" spans="2:12" s="186" customFormat="1" ht="15" customHeight="1">
      <c r="C14" s="762"/>
      <c r="D14" s="762"/>
      <c r="E14" s="763" t="str">
        <f>IF(Indice_index!$Z$1=1,"015 - Educação - Administração e regulamentação","015 - Education - Administration and regulations")</f>
        <v>015 - Education - Administration and regulations</v>
      </c>
      <c r="F14" s="765">
        <v>3.8328000000000001E-2</v>
      </c>
      <c r="G14" s="765">
        <v>3.8328000000000001E-2</v>
      </c>
      <c r="H14"/>
      <c r="I14"/>
      <c r="J14"/>
      <c r="K14" s="438"/>
      <c r="L14" s="438"/>
    </row>
    <row r="15" spans="2:12" s="186" customFormat="1" ht="15" customHeight="1">
      <c r="C15" s="762"/>
      <c r="D15" s="762"/>
      <c r="E15" s="763" t="str">
        <f>IF(Indice_index!$Z$1=1,"024 - Segurança e acção social - Administração e regulamentação","024 - Social Security and Action - Administration and regulations")</f>
        <v>024 - Social Security and Action - Administration and regulations</v>
      </c>
      <c r="F15" s="765">
        <v>2.5396999999999999E-2</v>
      </c>
      <c r="G15" s="765">
        <v>2.5396999999999999E-2</v>
      </c>
      <c r="H15"/>
      <c r="I15"/>
      <c r="J15"/>
      <c r="K15" s="438"/>
      <c r="L15" s="438"/>
    </row>
    <row r="16" spans="2:12" s="186" customFormat="1" ht="15" customHeight="1">
      <c r="C16" s="762"/>
      <c r="D16" s="762"/>
      <c r="E16" s="763" t="str">
        <f>IF(Indice_index!$Z$1=1,"027 - Segurança e acção social - Acção social","027 - Social Security and Action - Social Action")</f>
        <v>027 - Social Security and Action - Social Action</v>
      </c>
      <c r="F16" s="765">
        <v>4.1508580000000004</v>
      </c>
      <c r="G16" s="765">
        <v>1.291582</v>
      </c>
      <c r="H16"/>
      <c r="I16"/>
      <c r="J16"/>
      <c r="K16" s="438"/>
      <c r="L16" s="438"/>
    </row>
    <row r="17" spans="3:12" s="186" customFormat="1" ht="15" customHeight="1">
      <c r="C17" s="762"/>
      <c r="D17" s="762"/>
      <c r="E17" s="763" t="str">
        <f>IF(Indice_index!$Z$1=1,"037 - Serviços Culturais, Recreativos E Religiosos - Desporto, Recreio e Lazer","037 - Cultural, recreational and religious services - Sports, recreation and leisure")</f>
        <v>037 - Cultural, recreational and religious services - Sports, recreation and leisure</v>
      </c>
      <c r="F17" s="765">
        <v>0.74811000000000005</v>
      </c>
      <c r="G17" s="765">
        <v>0.77173000000000003</v>
      </c>
      <c r="H17"/>
      <c r="I17"/>
      <c r="J17"/>
      <c r="K17" s="438"/>
      <c r="L17" s="438"/>
    </row>
    <row r="18" spans="3:12" s="186" customFormat="1" ht="15" customHeight="1">
      <c r="C18" s="762"/>
      <c r="D18" s="762"/>
      <c r="E18" s="763" t="str">
        <f>IF(Indice_index!$Z$1=1,"063 - Outras funções económicas - Administração e regulamentação","063 - Outher economic functions - Administration e regulation")</f>
        <v>063 - Outher economic functions - Administration e regulation</v>
      </c>
      <c r="F18" s="765">
        <v>1.869996</v>
      </c>
      <c r="G18" s="765">
        <v>0.464528</v>
      </c>
      <c r="H18"/>
      <c r="I18"/>
      <c r="J18"/>
      <c r="K18" s="438"/>
      <c r="L18" s="438"/>
    </row>
    <row r="19" spans="3:12" s="186" customFormat="1" ht="15" customHeight="1">
      <c r="C19" s="762"/>
      <c r="D19" s="762"/>
      <c r="E19" s="763" t="str">
        <f>IF(Indice_index!$Z$1=1,"101 - Plano Nacional de Gestão Integrada de Fogos Rurais","101 - National Plan on Integrated Rural Fire Management")</f>
        <v>101 - National Plan on Integrated Rural Fire Management</v>
      </c>
      <c r="F19" s="765">
        <v>2.6169519999999999</v>
      </c>
      <c r="G19" s="765">
        <v>2.6169519999999999</v>
      </c>
      <c r="H19"/>
      <c r="I19"/>
      <c r="J19"/>
      <c r="K19" s="438"/>
      <c r="L19" s="438"/>
    </row>
    <row r="20" spans="3:12" s="186" customFormat="1" ht="15" customHeight="1">
      <c r="C20" s="766"/>
      <c r="D20" s="767"/>
      <c r="E20" s="770" t="str">
        <f>C12</f>
        <v>PRP</v>
      </c>
      <c r="F20" s="769">
        <f>SUM(F12:F19)</f>
        <v>20.852307000000003</v>
      </c>
      <c r="G20" s="769">
        <f>SUM(G12:G19)</f>
        <v>15.269962999999999</v>
      </c>
      <c r="H20"/>
      <c r="I20"/>
      <c r="J20"/>
      <c r="K20" s="438"/>
      <c r="L20" s="438"/>
    </row>
    <row r="21" spans="3:12" s="186" customFormat="1" ht="15" customHeight="1">
      <c r="C21" s="766" t="str">
        <f>IF(Indice_index!$Z$1=1,"MCT","MTC")</f>
        <v>MTC</v>
      </c>
      <c r="D21" s="762" t="str">
        <f>IF(Indice_index!$Z$1=1,"P002 - Governação","P002 - Government")</f>
        <v>P002 - Government</v>
      </c>
      <c r="E21" s="763" t="str">
        <f>IF(Indice_index!$Z$1=1,"001 - Serv. Gerais da A.P. - Administração geral","001 - General public services - General Administration")</f>
        <v>001 - General public services - General Administration</v>
      </c>
      <c r="F21" s="765">
        <v>0.69631500000000002</v>
      </c>
      <c r="G21" s="765">
        <v>0.41497299999999998</v>
      </c>
      <c r="H21"/>
      <c r="I21"/>
      <c r="J21"/>
      <c r="K21" s="438"/>
      <c r="L21" s="438"/>
    </row>
    <row r="22" spans="3:12" s="186" customFormat="1" ht="15" customHeight="1">
      <c r="C22" s="766"/>
      <c r="D22" s="762"/>
      <c r="E22" s="771" t="str">
        <f>IF(Indice_index!$Z$1=1,"028 - Habitação e serv. Colectivos - Administração e regulamentação","028 - Housing and Common services - Administration and regulations")</f>
        <v>028 - Housing and Common services - Administration and regulations</v>
      </c>
      <c r="F22" s="765">
        <v>3.157985</v>
      </c>
      <c r="G22" s="765">
        <v>2.941535</v>
      </c>
      <c r="H22"/>
      <c r="I22"/>
      <c r="J22"/>
      <c r="K22" s="438"/>
      <c r="L22" s="438"/>
    </row>
    <row r="23" spans="3:12" s="186" customFormat="1" ht="15" customHeight="1">
      <c r="C23" s="766"/>
      <c r="D23" s="762"/>
      <c r="E23" s="771" t="str">
        <f>IF(Indice_index!$Z$1=1,"031 - Habitação e serv. Colectivos - Ordenamento do território","031 - Housing and Common services - Land-use")</f>
        <v>031 - Housing and Common services - Land-use</v>
      </c>
      <c r="F23" s="765">
        <v>0.95013700000000001</v>
      </c>
      <c r="G23" s="765">
        <v>0.95013700000000001</v>
      </c>
      <c r="H23"/>
      <c r="I23"/>
      <c r="J23"/>
      <c r="K23" s="438"/>
      <c r="L23" s="438"/>
    </row>
    <row r="24" spans="3:12" s="186" customFormat="1" ht="15" customHeight="1">
      <c r="C24" s="766"/>
      <c r="D24" s="762"/>
      <c r="E24" s="771" t="str">
        <f>IF(Indice_index!$Z$1=1,"033 - Habitação e serv. Colectivos - Protecção do meio ambiente e conservação da natureza","033 - Housing and Common services - Protection of the Environment and conservation of nature")</f>
        <v>033 - Housing and Common services - Protection of the Environment and conservation of nature</v>
      </c>
      <c r="F24" s="765">
        <v>7.8246999999999997E-2</v>
      </c>
      <c r="G24" s="765">
        <v>7.8246999999999997E-2</v>
      </c>
      <c r="H24"/>
      <c r="I24"/>
      <c r="J24"/>
      <c r="K24" s="438"/>
      <c r="L24" s="438"/>
    </row>
    <row r="25" spans="3:12" s="186" customFormat="1" ht="15" customHeight="1">
      <c r="C25" s="766"/>
      <c r="D25" s="762"/>
      <c r="E25" s="771" t="str">
        <f>IF(Indice_index!$Z$1=1,"063 - Outras funções económicas - Administração e regulamentação","063 - Outher economic functions - Administration e regulation")</f>
        <v>063 - Outher economic functions - Administration e regulation</v>
      </c>
      <c r="F25" s="765">
        <v>0.27668999999999999</v>
      </c>
      <c r="G25" s="765">
        <v>0.27668999999999999</v>
      </c>
      <c r="H25"/>
      <c r="I25"/>
      <c r="J25"/>
      <c r="K25" s="438"/>
      <c r="L25" s="438"/>
    </row>
    <row r="26" spans="3:12" s="186" customFormat="1" ht="15" customHeight="1">
      <c r="C26" s="766"/>
      <c r="D26" s="772"/>
      <c r="E26" s="770" t="str">
        <f>C21</f>
        <v>MTC</v>
      </c>
      <c r="F26" s="769">
        <f>SUM(F21:F25)</f>
        <v>5.1593740000000006</v>
      </c>
      <c r="G26" s="769">
        <f>SUM(G21:G25)</f>
        <v>4.6615820000000001</v>
      </c>
      <c r="H26"/>
      <c r="I26"/>
      <c r="J26"/>
      <c r="K26" s="438"/>
      <c r="L26" s="438"/>
    </row>
    <row r="27" spans="3:12" s="186" customFormat="1" ht="15" customHeight="1">
      <c r="C27" s="766"/>
      <c r="D27" s="767"/>
      <c r="E27" s="773" t="str">
        <f>D21</f>
        <v>P002 - Government</v>
      </c>
      <c r="F27" s="769">
        <f>SUM(F20,F26)</f>
        <v>26.011681000000003</v>
      </c>
      <c r="G27" s="769">
        <f>SUM(G20,G26)</f>
        <v>19.931545</v>
      </c>
      <c r="H27"/>
      <c r="I27"/>
      <c r="J27"/>
      <c r="K27" s="438"/>
      <c r="L27" s="438"/>
    </row>
    <row r="28" spans="3:12" s="186" customFormat="1" ht="15" customHeight="1">
      <c r="C28" s="766" t="str">
        <f>IF(Indice_index!$Z$1=1,"MNE","MFA")</f>
        <v>MFA</v>
      </c>
      <c r="D28" s="762" t="str">
        <f>IF(Indice_index!$Z$1=1,"P003 - Representação Externa","P003 - Foreign Affairs")</f>
        <v>P003 - Foreign Affairs</v>
      </c>
      <c r="E28" s="763" t="str">
        <f>IF(Indice_index!$Z$1=1,"002 - Serv. Gerais da A.P. - Negócios estrangeiros","002 - General public services - Foreign affairs")</f>
        <v>002 - General public services - Foreign affairs</v>
      </c>
      <c r="F28" s="764">
        <v>22.226942000000001</v>
      </c>
      <c r="G28" s="764">
        <v>20.249148999999999</v>
      </c>
      <c r="H28"/>
      <c r="I28"/>
      <c r="J28"/>
      <c r="K28" s="438"/>
      <c r="L28" s="438"/>
    </row>
    <row r="29" spans="3:12" s="186" customFormat="1" ht="15" customHeight="1">
      <c r="C29" s="766"/>
      <c r="D29" s="762"/>
      <c r="E29" s="763" t="str">
        <f>IF(Indice_index!$Z$1=1,"003 - Serv. Gerais da A.P. - Cooperação económica externa","003 - General public services - External economic cooperation")</f>
        <v>003 - General public services - External economic cooperation</v>
      </c>
      <c r="F29" s="765">
        <v>9.4118999999999994E-2</v>
      </c>
      <c r="G29" s="765">
        <v>9.4118999999999994E-2</v>
      </c>
      <c r="H29"/>
      <c r="I29"/>
      <c r="J29"/>
      <c r="K29" s="438"/>
      <c r="L29" s="438"/>
    </row>
    <row r="30" spans="3:12" s="186" customFormat="1" ht="15" customHeight="1">
      <c r="C30" s="766"/>
      <c r="D30" s="762"/>
      <c r="E30" s="763" t="str">
        <f>IF(Indice_index!$Z$1=1,"065 - Outras funções económicas - Diversas não especificadas","065 - Other economic functions - Various unspecified")</f>
        <v>065 - Other economic functions - Various unspecified</v>
      </c>
      <c r="F30" s="765">
        <v>7.2282529999999996</v>
      </c>
      <c r="G30" s="765">
        <v>7.2282529999999996</v>
      </c>
      <c r="H30"/>
      <c r="I30"/>
      <c r="J30"/>
      <c r="K30" s="438"/>
      <c r="L30" s="438"/>
    </row>
    <row r="31" spans="3:12" s="186" customFormat="1" ht="15" customHeight="1">
      <c r="C31" s="766"/>
      <c r="D31" s="767"/>
      <c r="E31" s="773" t="str">
        <f>D28</f>
        <v>P003 - Foreign Affairs</v>
      </c>
      <c r="F31" s="769">
        <f>SUM(F28:F30)</f>
        <v>29.549313999999999</v>
      </c>
      <c r="G31" s="769">
        <f>SUM(G28:G30)</f>
        <v>27.571520999999997</v>
      </c>
      <c r="H31"/>
      <c r="I31"/>
      <c r="J31"/>
      <c r="K31" s="438"/>
      <c r="L31" s="438"/>
    </row>
    <row r="32" spans="3:12" s="186" customFormat="1" ht="15" customHeight="1">
      <c r="C32" s="766" t="str">
        <f>IF(Indice_index!$Z$1=1,"MDN","MND")</f>
        <v>MND</v>
      </c>
      <c r="D32" s="762" t="str">
        <f>IF(Indice_index!$Z$1=1,"P004 - Defesa","P004 - Defence")</f>
        <v>P004 - Defence</v>
      </c>
      <c r="E32" s="763" t="str">
        <f>IF(Indice_index!$Z$1=1,"004 - Serv. Gerais da A.P. - Investigação científica de carácter geral","004 - General public services - General scientific research")</f>
        <v>004 - General public services - General scientific research</v>
      </c>
      <c r="F32" s="764">
        <v>1.0714E-2</v>
      </c>
      <c r="G32" s="764">
        <v>1.0715000000000001E-2</v>
      </c>
      <c r="H32"/>
      <c r="I32"/>
      <c r="J32"/>
      <c r="K32" s="438"/>
      <c r="L32" s="438"/>
    </row>
    <row r="33" spans="3:12" s="186" customFormat="1" ht="15" customHeight="1">
      <c r="C33" s="766"/>
      <c r="D33" s="762"/>
      <c r="E33" s="763" t="str">
        <f>IF(Indice_index!$Z$1=1,"005 - Defesa Nacional - Administração e regulamentação","005 - National Defence - Administration and regulations")</f>
        <v>005 - National Defence - Administration and regulations</v>
      </c>
      <c r="F33" s="765">
        <v>6.2403370000000002</v>
      </c>
      <c r="G33" s="765">
        <v>6.6163660000000002</v>
      </c>
      <c r="H33"/>
      <c r="I33"/>
      <c r="J33"/>
      <c r="K33" s="438"/>
      <c r="L33" s="438"/>
    </row>
    <row r="34" spans="3:12" s="186" customFormat="1" ht="15" customHeight="1">
      <c r="C34" s="766"/>
      <c r="D34" s="762"/>
      <c r="E34" s="763" t="str">
        <f>IF(Indice_index!$Z$1=1,"006 - Defesa Nacional - Investigação","006 - National Defence - Research")</f>
        <v>006 - National Defence - Research</v>
      </c>
      <c r="F34" s="765">
        <v>0.130353</v>
      </c>
      <c r="G34" s="765">
        <v>0.13964599999999999</v>
      </c>
      <c r="H34"/>
      <c r="I34"/>
      <c r="J34"/>
      <c r="K34" s="438"/>
      <c r="L34" s="438"/>
    </row>
    <row r="35" spans="3:12" s="186" customFormat="1" ht="15" customHeight="1">
      <c r="C35" s="766"/>
      <c r="D35" s="762"/>
      <c r="E35" s="763" t="str">
        <f>IF(Indice_index!$Z$1=1,"007 - Defesa Nacional - Forças Armadas","007 - National Defence - Armed Forces")</f>
        <v>007 - National Defence - Armed Forces</v>
      </c>
      <c r="F35" s="765">
        <v>48.405886000000002</v>
      </c>
      <c r="G35" s="765">
        <v>24.362169649999998</v>
      </c>
      <c r="H35"/>
      <c r="I35"/>
      <c r="J35"/>
      <c r="K35" s="438"/>
      <c r="L35" s="438"/>
    </row>
    <row r="36" spans="3:12" s="186" customFormat="1" ht="15" customHeight="1">
      <c r="C36" s="766"/>
      <c r="D36" s="762"/>
      <c r="E36" s="763" t="str">
        <f>IF(Indice_index!$Z$1=1,"008 - Defesa Nacional - Cooperação militar externa","008 - National Defence - Foreign military cooperation")</f>
        <v>008 - National Defence - Foreign military cooperation</v>
      </c>
      <c r="F36" s="765">
        <v>1.2456970000000001</v>
      </c>
      <c r="G36" s="765">
        <v>1.290608</v>
      </c>
      <c r="H36"/>
      <c r="I36"/>
      <c r="J36"/>
      <c r="K36" s="438"/>
      <c r="L36" s="438"/>
    </row>
    <row r="37" spans="3:12" s="186" customFormat="1" ht="15" customHeight="1">
      <c r="C37" s="766"/>
      <c r="D37" s="762"/>
      <c r="E37" s="763" t="str">
        <f>IF(Indice_index!$Z$1=1,"014 - Segurança e ordem públicas - Protecção civil e luta contra incêndios","014 - Public safety and order - Civil Protection and  fire fighting")</f>
        <v>014 - Public safety and order - Civil Protection and  fire fighting</v>
      </c>
      <c r="F37" s="765">
        <v>14.449267000000001</v>
      </c>
      <c r="G37" s="765">
        <v>4.710731</v>
      </c>
      <c r="H37"/>
      <c r="I37"/>
      <c r="J37"/>
      <c r="K37" s="438"/>
      <c r="L37" s="438"/>
    </row>
    <row r="38" spans="3:12" s="186" customFormat="1" ht="15" customHeight="1">
      <c r="C38" s="766"/>
      <c r="D38" s="762"/>
      <c r="E38" s="763" t="str">
        <f>IF(Indice_index!$Z$1=1,"017 - Educação - Estabelecimentos de ensino não superior","017 - Education - Non higher educations institutions")</f>
        <v>017 - Education - Non higher educations institutions</v>
      </c>
      <c r="F38" s="765">
        <v>0.14027500000000001</v>
      </c>
      <c r="G38" s="765">
        <v>1.5275E-2</v>
      </c>
      <c r="H38"/>
      <c r="I38"/>
      <c r="J38"/>
      <c r="K38" s="438"/>
      <c r="L38" s="438"/>
    </row>
    <row r="39" spans="3:12" s="186" customFormat="1" ht="15" customHeight="1">
      <c r="C39" s="766"/>
      <c r="D39" s="762"/>
      <c r="E39" s="763" t="str">
        <f>IF(Indice_index!$Z$1=1,"018 - Educação - Estabelecimentos de ensino superior","018 - Education - Higher educations institutions")</f>
        <v>018 - Education - Higher educations institutions</v>
      </c>
      <c r="F39" s="765">
        <v>1.5900000000000001E-2</v>
      </c>
      <c r="G39" s="765">
        <v>1.5900000000000001E-2</v>
      </c>
      <c r="H39"/>
      <c r="I39"/>
      <c r="J39"/>
      <c r="K39" s="438"/>
      <c r="L39" s="438"/>
    </row>
    <row r="40" spans="3:12" s="186" customFormat="1" ht="15" customHeight="1">
      <c r="C40" s="766"/>
      <c r="D40" s="762"/>
      <c r="E40" s="763" t="str">
        <f>IF(Indice_index!$Z$1=1,"022 - Saúde - Hospitais e clínicas","022 - Health - Hospitals and clinics")</f>
        <v>022 - Health - Hospitals and clinics</v>
      </c>
      <c r="F40" s="765">
        <v>0.205013</v>
      </c>
      <c r="G40" s="765">
        <v>0.205013</v>
      </c>
      <c r="H40"/>
      <c r="I40"/>
      <c r="J40"/>
      <c r="K40" s="438"/>
      <c r="L40" s="438"/>
    </row>
    <row r="41" spans="3:12" s="186" customFormat="1" ht="15" customHeight="1">
      <c r="C41" s="766"/>
      <c r="D41" s="762"/>
      <c r="E41" s="771" t="str">
        <f>IF(Indice_index!$Z$1=1,"027 - Segurança e acção social - Acção social","027 - Social Security and Action - Social Action")</f>
        <v>027 - Social Security and Action - Social Action</v>
      </c>
      <c r="F41" s="765">
        <v>1.487079</v>
      </c>
      <c r="G41" s="765">
        <v>0.1</v>
      </c>
      <c r="H41"/>
      <c r="I41"/>
      <c r="J41"/>
      <c r="K41" s="438"/>
      <c r="L41" s="438"/>
    </row>
    <row r="42" spans="3:12" s="186" customFormat="1" ht="15" customHeight="1">
      <c r="C42" s="766"/>
      <c r="D42" s="762"/>
      <c r="E42" s="763" t="str">
        <f>IF(Indice_index!$Z$1=1,"049 - Industria e energia - Indústrias transformadoras","049 - Industry and energy - Manufacturing industries")</f>
        <v>049 - Industry and energy - Manufacturing industries</v>
      </c>
      <c r="F42" s="765">
        <v>7.4807269999999999</v>
      </c>
      <c r="G42" s="765">
        <v>0.13500000000000001</v>
      </c>
      <c r="H42"/>
      <c r="I42"/>
      <c r="J42"/>
      <c r="K42" s="438"/>
      <c r="L42" s="438"/>
    </row>
    <row r="43" spans="3:12" s="186" customFormat="1" ht="15" customHeight="1">
      <c r="C43" s="766"/>
      <c r="D43" s="767"/>
      <c r="E43" s="773" t="str">
        <f>D32</f>
        <v>P004 - Defence</v>
      </c>
      <c r="F43" s="774">
        <f>SUM(F32:F42)</f>
        <v>79.811248000000006</v>
      </c>
      <c r="G43" s="774">
        <f>SUM(G32:G42)</f>
        <v>37.601423650000008</v>
      </c>
      <c r="H43"/>
      <c r="I43"/>
      <c r="J43"/>
      <c r="K43" s="438"/>
      <c r="L43" s="438"/>
    </row>
    <row r="44" spans="3:12" s="186" customFormat="1" ht="15" customHeight="1">
      <c r="C44" s="766" t="str">
        <f>IF(Indice_index!$Z$1=1,"MAI","MIA")</f>
        <v>MIA</v>
      </c>
      <c r="D44" s="762" t="str">
        <f>IF(Indice_index!$Z$1=1,"P005 - Segurança Interna","P005 - Internal Security")</f>
        <v>P005 - Internal Security</v>
      </c>
      <c r="E44" s="771" t="str">
        <f>IF(Indice_index!$Z$1=1,"009 - Segurança e ordem públicas - Administração e regulamentação","009 - Public safety and order - Administration and regulations")</f>
        <v>009 - Public safety and order - Administration and regulations</v>
      </c>
      <c r="F44" s="765">
        <v>13.230888</v>
      </c>
      <c r="G44" s="765">
        <v>13.700751500000001</v>
      </c>
      <c r="H44"/>
      <c r="I44"/>
      <c r="J44"/>
      <c r="K44" s="438"/>
      <c r="L44" s="438"/>
    </row>
    <row r="45" spans="3:12" s="186" customFormat="1" ht="15" customHeight="1">
      <c r="C45" s="766"/>
      <c r="D45" s="762"/>
      <c r="E45" s="775" t="str">
        <f>IF(Indice_index!$Z$1=1,"011 - Segurança e ordem públicas - Forças de segurança","011 - Public safety and order - Security forces")</f>
        <v>011 - Public safety and order - Security forces</v>
      </c>
      <c r="F45" s="776">
        <v>24.482011</v>
      </c>
      <c r="G45" s="776">
        <v>20.84263</v>
      </c>
      <c r="H45"/>
      <c r="I45"/>
      <c r="J45"/>
      <c r="K45" s="438"/>
      <c r="L45" s="438"/>
    </row>
    <row r="46" spans="3:12" s="186" customFormat="1" ht="15" customHeight="1">
      <c r="C46" s="766"/>
      <c r="D46" s="762"/>
      <c r="E46" s="775" t="str">
        <f>IF(Indice_index!$Z$1=1,"014 - Segurança e ordem públicas - Protecção civil e luta contra incêndios","014 - Public safety and order - Civil Protection and  fire fighting")</f>
        <v>014 - Public safety and order - Civil Protection and  fire fighting</v>
      </c>
      <c r="F46" s="776">
        <v>2.0393129999999999</v>
      </c>
      <c r="G46" s="776">
        <v>0.34813300000000003</v>
      </c>
      <c r="H46"/>
      <c r="I46"/>
      <c r="J46"/>
      <c r="K46" s="438"/>
      <c r="L46" s="438"/>
    </row>
    <row r="47" spans="3:12" s="186" customFormat="1" ht="15" customHeight="1">
      <c r="C47" s="766"/>
      <c r="D47" s="762"/>
      <c r="E47" s="771" t="str">
        <f>IF(Indice_index!$Z$1=1,"017 - Educação - Estabelecimentos de ensino não superior","017 - Education - Non higher educations institutions")</f>
        <v>017 - Education - Non higher educations institutions</v>
      </c>
      <c r="F47" s="765">
        <v>1.343429</v>
      </c>
      <c r="G47" s="765">
        <v>1.353065</v>
      </c>
      <c r="H47"/>
      <c r="I47"/>
      <c r="J47"/>
      <c r="K47" s="438"/>
      <c r="L47" s="438"/>
    </row>
    <row r="48" spans="3:12" s="186" customFormat="1" ht="15" customHeight="1">
      <c r="C48" s="766"/>
      <c r="D48" s="762"/>
      <c r="E48" s="771" t="str">
        <f>IF(Indice_index!$Z$1=1,"018 - Educação - Estabelecimentos de ensino superior","018 - Education - Higher educations institutions")</f>
        <v>018 - Education - Higher educations institutions</v>
      </c>
      <c r="F48" s="765">
        <v>0.397063</v>
      </c>
      <c r="G48" s="765">
        <v>0.397063</v>
      </c>
      <c r="H48"/>
      <c r="I48"/>
      <c r="J48"/>
      <c r="K48" s="438"/>
      <c r="L48" s="438"/>
    </row>
    <row r="49" spans="3:12" s="186" customFormat="1" ht="15" customHeight="1">
      <c r="C49" s="766"/>
      <c r="D49" s="762"/>
      <c r="E49" s="771" t="str">
        <f>IF(Indice_index!$Z$1=1,"027 - Segurança e acção social - Acção social","027 - Social Security and Action - Social Action")</f>
        <v>027 - Social Security and Action - Social Action</v>
      </c>
      <c r="F49" s="765">
        <v>2.3443960000000001</v>
      </c>
      <c r="G49" s="765">
        <v>2.4661</v>
      </c>
      <c r="H49"/>
      <c r="I49"/>
      <c r="J49"/>
      <c r="K49" s="438"/>
      <c r="L49" s="438"/>
    </row>
    <row r="50" spans="3:12" s="186" customFormat="1">
      <c r="C50" s="766"/>
      <c r="D50" s="762"/>
      <c r="E50" s="777" t="str">
        <f>IF(Indice_index!$Z$1=1,"087 - Segurança e ordem públicas - LPIEFSS - Sistemas de Tecnologia de Informação e Comunicação","087 - Public safety and order - Infrastructure and equipment planning law for security forces and services - Information and Communication Technology systems")</f>
        <v>087 - Public safety and order - Infrastructure and equipment planning law for security forces and services - Information and Communication Technology systems</v>
      </c>
      <c r="F50" s="765">
        <v>6.4373500000000003</v>
      </c>
      <c r="G50" s="765">
        <v>6.4373500000000003</v>
      </c>
      <c r="H50"/>
      <c r="I50"/>
      <c r="J50"/>
      <c r="K50" s="438"/>
      <c r="L50" s="438"/>
    </row>
    <row r="51" spans="3:12" s="186" customFormat="1" ht="15" customHeight="1">
      <c r="C51" s="766"/>
      <c r="D51" s="762"/>
      <c r="E51" s="778" t="str">
        <f>IF(Indice_index!$Z$1=1,"089 - Segurança e ordem públicas - LPIEFSS - Veículos","089 - Public safety and order - Infrastructure and equipment planning law for security forces and services - Vehicles")</f>
        <v>089 - Public safety and order - Infrastructure and equipment planning law for security forces and services - Vehicles</v>
      </c>
      <c r="F51" s="765">
        <v>0.51937500000000003</v>
      </c>
      <c r="G51" s="765">
        <v>0.51937500000000003</v>
      </c>
      <c r="H51"/>
      <c r="I51"/>
      <c r="J51"/>
      <c r="K51" s="438"/>
      <c r="L51" s="438"/>
    </row>
    <row r="52" spans="3:12" s="186" customFormat="1" ht="15" customHeight="1">
      <c r="C52" s="766"/>
      <c r="D52" s="762"/>
      <c r="E52" s="778" t="str">
        <f>IF(Indice_index!$Z$1=1,"092 - Segurança e ordem públicas - LPIEFSS - Equipamentomde Apoio Atividade Operacional","092 - Public safety and order - Infrastructure and equipment planning law for security forces and services - Support equipment to Operational Activity")</f>
        <v>092 - Public safety and order - Infrastructure and equipment planning law for security forces and services - Support equipment to Operational Activity</v>
      </c>
      <c r="F52" s="765">
        <v>0.157857</v>
      </c>
      <c r="G52" s="765">
        <v>0.157857</v>
      </c>
      <c r="H52"/>
      <c r="I52"/>
      <c r="J52"/>
      <c r="K52" s="438"/>
      <c r="L52" s="438"/>
    </row>
    <row r="53" spans="3:12" s="186" customFormat="1" ht="15" customHeight="1">
      <c r="C53" s="766"/>
      <c r="D53" s="762"/>
      <c r="E53" s="778" t="str">
        <f>IF(Indice_index!$Z$1=1,"093 - Segurança e ordem públicas - LPIEFSS - Equipamento para funções Especializadas","093 - Public safety and order - Infrastructure and equipment planning law for security forces and services - Specialised function equipment")</f>
        <v>093 - Public safety and order - Infrastructure and equipment planning law for security forces and services - Specialised function equipment</v>
      </c>
      <c r="F53" s="765">
        <v>0.383463</v>
      </c>
      <c r="G53" s="765">
        <v>0.383463</v>
      </c>
      <c r="H53"/>
      <c r="I53"/>
      <c r="J53"/>
      <c r="K53" s="438"/>
      <c r="L53" s="438"/>
    </row>
    <row r="54" spans="3:12" s="186" customFormat="1" ht="15" customHeight="1">
      <c r="C54" s="766"/>
      <c r="D54" s="762"/>
      <c r="E54" s="771" t="str">
        <f>IF(Indice_index!$Z$1=1,"100 - Iniciativas de  Ação Climática","100 - Climate Action Iniciatives")</f>
        <v>100 - Climate Action Iniciatives</v>
      </c>
      <c r="F54" s="765">
        <v>0.03</v>
      </c>
      <c r="G54" s="765">
        <v>0.03</v>
      </c>
      <c r="H54"/>
      <c r="I54"/>
      <c r="J54"/>
      <c r="K54" s="438"/>
      <c r="L54" s="438"/>
    </row>
    <row r="55" spans="3:12" s="186" customFormat="1" ht="15" customHeight="1">
      <c r="C55" s="766"/>
      <c r="D55" s="762"/>
      <c r="E55" s="771" t="str">
        <f>IF(Indice_index!$Z$1=1,"101 - Plano Nacional de Gestão Integrada de Fogos Rurais","101 - National Plan on Integrated Rural Fire Management")</f>
        <v>101 - National Plan on Integrated Rural Fire Management</v>
      </c>
      <c r="F55" s="765">
        <v>0.35473700000000002</v>
      </c>
      <c r="G55" s="765">
        <v>0.35473700000000002</v>
      </c>
      <c r="H55"/>
      <c r="I55"/>
      <c r="J55"/>
      <c r="K55" s="438"/>
      <c r="L55" s="438"/>
    </row>
    <row r="56" spans="3:12" s="186" customFormat="1" ht="15" customHeight="1">
      <c r="C56" s="766"/>
      <c r="D56" s="767"/>
      <c r="E56" s="773" t="str">
        <f>D44</f>
        <v>P005 - Internal Security</v>
      </c>
      <c r="F56" s="769">
        <f>SUM(F44:F55)</f>
        <v>51.719882000000005</v>
      </c>
      <c r="G56" s="769">
        <f>SUM(G44:G55)</f>
        <v>46.990524499999999</v>
      </c>
      <c r="H56"/>
      <c r="I56"/>
      <c r="J56"/>
      <c r="K56" s="438"/>
      <c r="L56" s="438"/>
    </row>
    <row r="57" spans="3:12" s="186" customFormat="1" ht="15" customHeight="1">
      <c r="C57" s="766" t="str">
        <f>IF(Indice_index!$Z$1=1,"MJ","MJ")</f>
        <v>MJ</v>
      </c>
      <c r="D57" s="762" t="str">
        <f>IF(Indice_index!$Z$1=1,"P006 - Justiça","P006 - Justice")</f>
        <v>P006 - Justice</v>
      </c>
      <c r="E57" s="763" t="str">
        <f>IF(Indice_index!$Z$1=1,"001 - Serv. Gerais da A.P. - Administração geral","001 - General public services - General Administration")</f>
        <v>001 - General public services - General Administration</v>
      </c>
      <c r="F57" s="764">
        <v>0.59579599999999999</v>
      </c>
      <c r="G57" s="764">
        <v>0.59579599999999999</v>
      </c>
      <c r="H57"/>
      <c r="I57"/>
      <c r="J57"/>
      <c r="K57" s="438"/>
      <c r="L57" s="438"/>
    </row>
    <row r="58" spans="3:12" s="186" customFormat="1" ht="15" customHeight="1">
      <c r="C58" s="766"/>
      <c r="D58" s="762"/>
      <c r="E58" s="771" t="str">
        <f>IF(Indice_index!$Z$1=1,"009 - Segurança e ordem públicas - Administração e regulamentação","009 - Public safety and order - Administration and regulations")</f>
        <v>009 - Public safety and order - Administration and regulations</v>
      </c>
      <c r="F58" s="765">
        <v>22.532354999999999</v>
      </c>
      <c r="G58" s="765">
        <v>23.397573999999999</v>
      </c>
      <c r="H58"/>
      <c r="I58"/>
      <c r="J58"/>
      <c r="K58" s="438"/>
      <c r="L58" s="438"/>
    </row>
    <row r="59" spans="3:12" s="186" customFormat="1" ht="15" customHeight="1">
      <c r="C59" s="766"/>
      <c r="D59" s="762"/>
      <c r="E59" s="771" t="str">
        <f>IF(Indice_index!$Z$1=1,"010 - Segurança e ordem públicas - Investigação","010 - Public safety and order - Research")</f>
        <v>010 - Public safety and order - Research</v>
      </c>
      <c r="F59" s="765">
        <v>2.1893850000000001</v>
      </c>
      <c r="G59" s="765">
        <v>2.592311</v>
      </c>
      <c r="H59"/>
      <c r="I59"/>
      <c r="J59"/>
      <c r="K59" s="438"/>
      <c r="L59" s="438"/>
    </row>
    <row r="60" spans="3:12" s="186" customFormat="1" ht="15" customHeight="1">
      <c r="C60" s="766"/>
      <c r="D60" s="762"/>
      <c r="E60" s="771" t="str">
        <f>IF(Indice_index!$Z$1=1,"012 - Segurança e ordem públicas - Sistema judiciário","012 - Public safety and order - Judicial system")</f>
        <v>012 - Public safety and order - Judicial system</v>
      </c>
      <c r="F60" s="765">
        <v>13.326938999999999</v>
      </c>
      <c r="G60" s="765">
        <v>13.397612000000001</v>
      </c>
      <c r="H60"/>
      <c r="I60"/>
      <c r="J60"/>
      <c r="K60" s="438"/>
      <c r="L60" s="438"/>
    </row>
    <row r="61" spans="3:12" s="186" customFormat="1" ht="15" customHeight="1">
      <c r="C61" s="766"/>
      <c r="D61" s="762"/>
      <c r="E61" s="771" t="str">
        <f>IF(Indice_index!$Z$1=1,"013 - Segurança e ordem públicas - Sistema prisional, de reinserção social e de menores","013 - Public safety and order - Prison, social reintegration and of minors system")</f>
        <v>013 - Public safety and order - Prison, social reintegration and of minors system</v>
      </c>
      <c r="F61" s="765">
        <v>12.256631</v>
      </c>
      <c r="G61" s="765">
        <v>1.189689</v>
      </c>
      <c r="H61"/>
      <c r="I61"/>
      <c r="J61"/>
      <c r="K61" s="438"/>
      <c r="L61" s="438"/>
    </row>
    <row r="62" spans="3:12" s="186" customFormat="1" ht="15" customHeight="1">
      <c r="C62" s="766"/>
      <c r="D62" s="762"/>
      <c r="E62" s="771" t="str">
        <f>IF(Indice_index!$Z$1=1,"063 - Outras funções económicas - Administração e regulamentação","063 - Outher economic functions - Administration e regulation")</f>
        <v>063 - Outher economic functions - Administration e regulation</v>
      </c>
      <c r="F62" s="765">
        <v>1.4080090000000001</v>
      </c>
      <c r="G62" s="765">
        <v>1.4081589999999999</v>
      </c>
      <c r="H62"/>
      <c r="I62"/>
      <c r="J62"/>
      <c r="K62" s="438"/>
      <c r="L62" s="438"/>
    </row>
    <row r="63" spans="3:12" s="186" customFormat="1" ht="15" customHeight="1">
      <c r="C63" s="766"/>
      <c r="D63" s="762"/>
      <c r="E63" s="771" t="str">
        <f>IF(Indice_index!$Z$1=1,"065 - Outras funções económicas - Diversas não especificadas","065 - Other economic functions - Various unspecified")</f>
        <v>065 - Other economic functions - Various unspecified</v>
      </c>
      <c r="F63" s="765">
        <v>0.72763800000000001</v>
      </c>
      <c r="G63" s="765">
        <v>0.76109400000000005</v>
      </c>
      <c r="H63"/>
      <c r="I63"/>
      <c r="J63"/>
      <c r="K63" s="438"/>
      <c r="L63" s="438"/>
    </row>
    <row r="64" spans="3:12" s="186" customFormat="1" ht="15" customHeight="1">
      <c r="C64" s="766"/>
      <c r="D64" s="762"/>
      <c r="E64" s="771" t="str">
        <f>IF(Indice_index!$Z$1=1,"068 - Outras funções - Diversas não especificadas","068 - Other functions - Various unspecified")</f>
        <v>068 - Other functions - Various unspecified</v>
      </c>
      <c r="F64" s="765">
        <v>3.5666999999999997E-2</v>
      </c>
      <c r="G64" s="765">
        <v>3.5666999999999997E-2</v>
      </c>
      <c r="H64"/>
      <c r="I64"/>
      <c r="J64"/>
      <c r="K64" s="438"/>
      <c r="L64" s="438"/>
    </row>
    <row r="65" spans="3:12" s="186" customFormat="1" ht="15" customHeight="1">
      <c r="C65" s="766"/>
      <c r="D65" s="767"/>
      <c r="E65" s="773" t="str">
        <f>D57</f>
        <v>P006 - Justice</v>
      </c>
      <c r="F65" s="774">
        <f>SUM(F57:F64)</f>
        <v>53.072419999999994</v>
      </c>
      <c r="G65" s="774">
        <f>SUM(G57:G64)</f>
        <v>43.377901999999992</v>
      </c>
      <c r="H65"/>
      <c r="I65"/>
      <c r="J65"/>
      <c r="K65" s="438"/>
      <c r="L65" s="438"/>
    </row>
    <row r="66" spans="3:12" s="186" customFormat="1" ht="15" customHeight="1">
      <c r="C66" s="766" t="str">
        <f>IF(Indice_index!$Z$1=1,"MF","MF")</f>
        <v>MF</v>
      </c>
      <c r="D66" s="762" t="str">
        <f>IF(Indice_index!$Z$1=1,"P007 - Finanças","P007 - Finance and Public Administration")</f>
        <v>P007 - Finance and Public Administration</v>
      </c>
      <c r="E66" s="763" t="str">
        <f>IF(Indice_index!$Z$1=1,"001 - Serv. Gerais da A.P. - Administração geral","001 - General public services - General Administration")</f>
        <v>001 - General public services - General Administration</v>
      </c>
      <c r="F66" s="764">
        <v>42.404663999999997</v>
      </c>
      <c r="G66" s="764">
        <v>21.637460999999998</v>
      </c>
      <c r="H66"/>
      <c r="I66"/>
      <c r="J66"/>
      <c r="K66" s="438"/>
      <c r="L66" s="438"/>
    </row>
    <row r="67" spans="3:12" s="186" customFormat="1" ht="15" customHeight="1">
      <c r="C67" s="766"/>
      <c r="D67" s="762"/>
      <c r="E67" s="763" t="str">
        <f>IF(Indice_index!$Z$1=1,"003 - Serv. Gerais da A.P. - Cooperação económica externa","003 - General public services - External economic cooperation")</f>
        <v>003 - General public services - External economic cooperation</v>
      </c>
      <c r="F67" s="765">
        <v>7.4005000000000001E-2</v>
      </c>
      <c r="G67" s="765">
        <v>6.5216999999999997E-2</v>
      </c>
      <c r="H67"/>
      <c r="I67"/>
      <c r="J67"/>
      <c r="K67" s="438"/>
      <c r="L67" s="438"/>
    </row>
    <row r="68" spans="3:12" s="186" customFormat="1" ht="15" customHeight="1">
      <c r="C68" s="766"/>
      <c r="D68" s="762"/>
      <c r="E68" s="763" t="str">
        <f>IF(Indice_index!$Z$1=1,"065 - Outras funções económicas - Diversas não especificadas","065 - Other economic functions - Various unspecified")</f>
        <v>065 - Other economic functions - Various unspecified</v>
      </c>
      <c r="F68" s="765">
        <v>21.052610000000001</v>
      </c>
      <c r="G68" s="765">
        <v>21.160549</v>
      </c>
      <c r="H68"/>
      <c r="I68"/>
      <c r="J68"/>
      <c r="K68" s="438"/>
      <c r="L68" s="438"/>
    </row>
    <row r="69" spans="3:12" s="186" customFormat="1" ht="15" customHeight="1">
      <c r="C69" s="766"/>
      <c r="D69" s="767"/>
      <c r="E69" s="773" t="str">
        <f>D66</f>
        <v>P007 - Finance and Public Administration</v>
      </c>
      <c r="F69" s="769">
        <f>SUM(F66:F68)</f>
        <v>63.531278999999998</v>
      </c>
      <c r="G69" s="769">
        <f>SUM(G66:G68)</f>
        <v>42.863226999999995</v>
      </c>
      <c r="H69"/>
      <c r="I69"/>
      <c r="J69"/>
      <c r="K69" s="438"/>
      <c r="L69" s="438"/>
    </row>
    <row r="70" spans="3:12" s="186" customFormat="1" ht="15" customHeight="1">
      <c r="C70" s="766"/>
      <c r="D70" s="779" t="str">
        <f>IF(Indice_index!$Z$1=1,"P008 - Gestão da Dívida Pública","P008 - Public Debt Management")</f>
        <v>P008 - Public Debt Management</v>
      </c>
      <c r="E70" s="780" t="str">
        <f>IF(Indice_index!$Z$1=1,"066 - Outras funções - Operações da dívida pública","066 - Other functions - Public debt operations")</f>
        <v>066 - Other functions - Public debt operations</v>
      </c>
      <c r="F70" s="765">
        <v>0.13</v>
      </c>
      <c r="G70" s="765">
        <v>0.13</v>
      </c>
      <c r="H70"/>
      <c r="I70"/>
      <c r="J70"/>
      <c r="K70" s="438"/>
      <c r="L70" s="438"/>
    </row>
    <row r="71" spans="3:12" s="186" customFormat="1" ht="15" customHeight="1">
      <c r="C71" s="766" t="str">
        <f>IF(Indice_index!$Z$1=1,"MEM","MEM")</f>
        <v>MEM</v>
      </c>
      <c r="D71" s="762" t="str">
        <f>IF(Indice_index!$Z$1=1,"P009 - Economia e Mar","P009 - Economy and Sea")</f>
        <v>P009 - Economy and Sea</v>
      </c>
      <c r="E71" s="771" t="str">
        <f>IF(Indice_index!$Z$1=1,"040 - Agricultura, pecuária, silv, caça, pesca - Administração e regulamentação","040 - Crops, livestock, forestry, fisheries - Administration and regulations")</f>
        <v>040 - Crops, livestock, forestry, fisheries - Administration and regulations</v>
      </c>
      <c r="F71" s="765">
        <v>5.1156920000000001</v>
      </c>
      <c r="G71" s="765">
        <v>0.30045699999999997</v>
      </c>
      <c r="H71"/>
      <c r="I71"/>
      <c r="J71"/>
      <c r="K71" s="438"/>
      <c r="L71" s="438"/>
    </row>
    <row r="72" spans="3:12" s="186" customFormat="1" ht="15" customHeight="1">
      <c r="C72" s="766"/>
      <c r="D72" s="762"/>
      <c r="E72" s="771" t="str">
        <f>IF(Indice_index!$Z$1=1,"061 - Comércio e turismo - Comércio","061 - Trade and tourism - Trade")</f>
        <v>061 - Trade and tourism - Trade</v>
      </c>
      <c r="F72" s="765">
        <v>8.8450000000000004E-3</v>
      </c>
      <c r="G72" s="765">
        <v>8.8450000000000004E-3</v>
      </c>
      <c r="H72"/>
      <c r="I72"/>
      <c r="J72"/>
      <c r="K72" s="438"/>
      <c r="L72" s="438"/>
    </row>
    <row r="73" spans="3:12" s="186" customFormat="1" ht="15" customHeight="1">
      <c r="C73" s="766"/>
      <c r="D73" s="762"/>
      <c r="E73" s="771" t="str">
        <f>IF(Indice_index!$Z$1=1,"062 - Comércio e turismo - Turismo","062 - Trade and tourism - Tourism")</f>
        <v>062 - Trade and tourism - Tourism</v>
      </c>
      <c r="F73" s="765">
        <v>4.3912319999999996</v>
      </c>
      <c r="G73" s="765">
        <v>1.8658980000000001</v>
      </c>
      <c r="H73"/>
      <c r="I73"/>
      <c r="J73"/>
      <c r="K73" s="438"/>
      <c r="L73" s="438"/>
    </row>
    <row r="74" spans="3:12" s="186" customFormat="1" ht="15" customHeight="1">
      <c r="C74" s="766"/>
      <c r="D74" s="762"/>
      <c r="E74" s="771" t="str">
        <f>IF(Indice_index!$Z$1=1,"063 - Outras funções económicas - Administração e regulamentação","063 - Outher economic functions - Administration e regulation")</f>
        <v>063 - Outher economic functions - Administration e regulation</v>
      </c>
      <c r="F74" s="765">
        <v>3.3004570000000002</v>
      </c>
      <c r="G74" s="765">
        <v>2.805914</v>
      </c>
      <c r="H74"/>
      <c r="I74"/>
      <c r="J74"/>
      <c r="K74" s="438"/>
      <c r="L74" s="438"/>
    </row>
    <row r="75" spans="3:12" s="186" customFormat="1" ht="15" customHeight="1">
      <c r="C75" s="766"/>
      <c r="D75" s="762"/>
      <c r="E75" s="771" t="str">
        <f>IF(Indice_index!$Z$1=1,"065 - Outras funções económicas - Diversas não especificadas","065 - Other economic functions - Various unspecified")</f>
        <v>065 - Other economic functions - Various unspecified</v>
      </c>
      <c r="F75" s="765">
        <v>12.732498</v>
      </c>
      <c r="G75" s="765">
        <v>12.732498</v>
      </c>
      <c r="H75"/>
      <c r="I75"/>
      <c r="J75"/>
      <c r="K75" s="438"/>
      <c r="L75" s="438"/>
    </row>
    <row r="76" spans="3:12" s="186" customFormat="1" ht="15" customHeight="1">
      <c r="C76" s="766"/>
      <c r="D76" s="762"/>
      <c r="E76" s="771" t="str">
        <f>IF(Indice_index!$Z$1=1,"083 - Segurança e Ação Social - Integração da pessoa com deficiência","083 - Social Security and Action - Integration of the handicapped person")</f>
        <v>083 - Social Security and Action - Integration of the handicapped person</v>
      </c>
      <c r="F76" s="765">
        <v>1.0859999999999999E-3</v>
      </c>
      <c r="G76" s="765">
        <v>1.0859999999999999E-3</v>
      </c>
      <c r="H76"/>
      <c r="I76"/>
      <c r="J76"/>
      <c r="K76" s="438"/>
      <c r="L76" s="438"/>
    </row>
    <row r="77" spans="3:12" s="186" customFormat="1" ht="15" customHeight="1">
      <c r="C77" s="766"/>
      <c r="D77" s="762"/>
      <c r="E77" s="771" t="str">
        <f>IF(Indice_index!$Z$1=1,"086 - Comércio e Turismo - Imposto especial de jogo","086 - Trade and tourism - Special gambling tax")</f>
        <v>086 - Trade and tourism - Special gambling tax</v>
      </c>
      <c r="F77" s="765">
        <v>9.0105819999999994</v>
      </c>
      <c r="G77" s="765">
        <v>0</v>
      </c>
      <c r="H77"/>
      <c r="I77"/>
      <c r="J77"/>
      <c r="K77" s="438"/>
      <c r="L77" s="438"/>
    </row>
    <row r="78" spans="3:12" s="186" customFormat="1" ht="15" customHeight="1">
      <c r="C78" s="766"/>
      <c r="D78" s="767"/>
      <c r="E78" s="773" t="str">
        <f>D71</f>
        <v>P009 - Economy and Sea</v>
      </c>
      <c r="F78" s="769">
        <f>SUM(F71:F77)</f>
        <v>34.560392</v>
      </c>
      <c r="G78" s="769">
        <f>SUM(G71:G77)</f>
        <v>17.714697999999999</v>
      </c>
      <c r="H78"/>
      <c r="I78"/>
      <c r="J78"/>
      <c r="K78" s="438"/>
      <c r="L78" s="438"/>
    </row>
    <row r="79" spans="3:12" s="186" customFormat="1" ht="15" customHeight="1">
      <c r="C79" s="766" t="str">
        <f>IF(Indice_index!$Z$1=1,"MC","MC")</f>
        <v>MC</v>
      </c>
      <c r="D79" s="762" t="str">
        <f>IF(Indice_index!$Z$1=1,"P010 - Cultura","P010 - Culture")</f>
        <v>P010 - Culture</v>
      </c>
      <c r="E79" s="771" t="str">
        <f>IF(Indice_index!$Z$1=1,"001 - Serv. Gerais da A.P. - Administração geral","001 - General public services - General Administration")</f>
        <v>001 - General public services - General Administration</v>
      </c>
      <c r="F79" s="765">
        <v>8.6223999999999995E-2</v>
      </c>
      <c r="G79" s="765">
        <v>8.6223999999999995E-2</v>
      </c>
      <c r="H79"/>
      <c r="I79"/>
      <c r="J79"/>
      <c r="K79" s="438"/>
      <c r="L79" s="438"/>
    </row>
    <row r="80" spans="3:12" s="186" customFormat="1" ht="15" customHeight="1">
      <c r="C80" s="766"/>
      <c r="D80" s="762"/>
      <c r="E80" s="763" t="str">
        <f>IF(Indice_index!$Z$1=1,"036 - Serviços culturais, recreativos e religiosos - Cultura","036 - Cultural, recreational and religious services - Culture")</f>
        <v>036 - Cultural, recreational and religious services - Culture</v>
      </c>
      <c r="F80" s="765">
        <v>33.237488999999997</v>
      </c>
      <c r="G80" s="765">
        <v>29.18478</v>
      </c>
      <c r="H80"/>
      <c r="I80"/>
      <c r="J80"/>
      <c r="K80" s="438"/>
      <c r="L80" s="438"/>
    </row>
    <row r="81" spans="3:12" s="186" customFormat="1" ht="15" customHeight="1">
      <c r="C81" s="766"/>
      <c r="D81" s="695"/>
      <c r="E81" s="762" t="str">
        <f>D79</f>
        <v>P010 - Culture</v>
      </c>
      <c r="F81" s="781">
        <f>SUM(F79:F80)</f>
        <v>33.323712999999998</v>
      </c>
      <c r="G81" s="781">
        <f>SUM(G79:G80)</f>
        <v>29.271004000000001</v>
      </c>
      <c r="H81"/>
      <c r="I81"/>
      <c r="J81"/>
      <c r="K81" s="438"/>
      <c r="L81" s="438"/>
    </row>
    <row r="82" spans="3:12" s="186" customFormat="1" ht="15" customHeight="1">
      <c r="C82" s="766"/>
      <c r="D82" s="773"/>
      <c r="E82" s="763" t="str">
        <f>IF(Indice_index!$Z$1=1,"P010 - Cultura, excluindo RTP","P010 - Culture, excluding RTP, the Portuguese public broadcaster")</f>
        <v>P010 - Culture, excluding RTP, the Portuguese public broadcaster</v>
      </c>
      <c r="F82" s="769">
        <f>F81</f>
        <v>33.323712999999998</v>
      </c>
      <c r="G82" s="769">
        <f>G81</f>
        <v>29.271004000000001</v>
      </c>
      <c r="H82"/>
      <c r="I82"/>
      <c r="J82"/>
      <c r="K82" s="438"/>
      <c r="L82" s="438"/>
    </row>
    <row r="83" spans="3:12" s="186" customFormat="1" ht="15" customHeight="1">
      <c r="C83" s="766" t="str">
        <f>IF(Indice_index!$Z$1=1,"MCTES","MSHE")</f>
        <v>MSHE</v>
      </c>
      <c r="D83" s="782" t="str">
        <f>IF(Indice_index!$Z$1=1,"P011 - Ciência, Tecnologia e Ens. Superior","P011 - Science and Higher Education")</f>
        <v>P011 - Science and Higher Education</v>
      </c>
      <c r="E83" s="763" t="str">
        <f>IF(Indice_index!$Z$1=1,"001 - Serv. Gerais da A.P. - Administração geral","001 - General public services - General Administration")</f>
        <v>001 - General public services - General Administration</v>
      </c>
      <c r="F83" s="764">
        <v>0.61914499999999995</v>
      </c>
      <c r="G83" s="764">
        <v>0.62549500000000002</v>
      </c>
      <c r="H83"/>
      <c r="I83"/>
      <c r="J83"/>
      <c r="K83" s="438"/>
      <c r="L83" s="438"/>
    </row>
    <row r="84" spans="3:12" s="186" customFormat="1" ht="15" customHeight="1">
      <c r="C84" s="766"/>
      <c r="D84" s="783"/>
      <c r="E84" s="771" t="str">
        <f>IF(Indice_index!$Z$1=1,"004 - Serv. Gerais da A.P. - Investigação científica de carácter geral","004 - General public services - General scientific research")</f>
        <v>004 - General public services - General scientific research</v>
      </c>
      <c r="F84" s="765">
        <v>0.65660799999999997</v>
      </c>
      <c r="G84" s="765">
        <v>0.65871256</v>
      </c>
      <c r="H84"/>
      <c r="I84"/>
      <c r="J84"/>
      <c r="K84" s="438"/>
      <c r="L84" s="438"/>
    </row>
    <row r="85" spans="3:12" s="186" customFormat="1" ht="15" customHeight="1">
      <c r="C85" s="766"/>
      <c r="D85" s="762"/>
      <c r="E85" s="771" t="str">
        <f>IF(Indice_index!$Z$1=1,"015 - Educação - Administração e regulamentação","015 - Education - Administration and regulations")</f>
        <v>015 - Education - Administration and regulations</v>
      </c>
      <c r="F85" s="765">
        <v>0.56752499999999995</v>
      </c>
      <c r="G85" s="765">
        <v>0.2124839</v>
      </c>
      <c r="H85"/>
      <c r="I85"/>
      <c r="J85"/>
      <c r="K85" s="438"/>
      <c r="L85" s="438"/>
    </row>
    <row r="86" spans="3:12" s="186" customFormat="1" ht="15" customHeight="1">
      <c r="C86" s="766"/>
      <c r="D86" s="762"/>
      <c r="E86" s="771" t="str">
        <f>IF(Indice_index!$Z$1=1,"016 - Educação – Investigação","016 - Education - Research")</f>
        <v>016 - Education - Research</v>
      </c>
      <c r="F86" s="765">
        <v>6.0317000000000003E-2</v>
      </c>
      <c r="G86" s="765">
        <v>6.0317000000000003E-2</v>
      </c>
      <c r="H86"/>
      <c r="I86"/>
      <c r="J86"/>
      <c r="K86" s="438"/>
      <c r="L86" s="438"/>
    </row>
    <row r="87" spans="3:12" s="186" customFormat="1" ht="15" customHeight="1">
      <c r="C87" s="766"/>
      <c r="D87" s="762"/>
      <c r="E87" s="771" t="str">
        <f>IF(Indice_index!$Z$1=1,"019 - Educação - Serviços auxiliares de ensino","019 - Education - Educational ancillary services")</f>
        <v>019 - Education - Educational ancillary services</v>
      </c>
      <c r="F87" s="765">
        <v>8.0610000000000001E-2</v>
      </c>
      <c r="G87" s="765">
        <v>0</v>
      </c>
      <c r="H87"/>
      <c r="I87"/>
      <c r="J87"/>
      <c r="K87" s="438"/>
      <c r="L87" s="438"/>
    </row>
    <row r="88" spans="3:12" s="186" customFormat="1" ht="15" customHeight="1">
      <c r="C88" s="766"/>
      <c r="D88" s="695"/>
      <c r="E88" s="762" t="str">
        <f>D83</f>
        <v>P011 - Science and Higher Education</v>
      </c>
      <c r="F88" s="784">
        <f>SUM(F83:F87)</f>
        <v>1.9842049999999998</v>
      </c>
      <c r="G88" s="784">
        <f>SUM(G83:G87)</f>
        <v>1.55700846</v>
      </c>
      <c r="H88"/>
      <c r="I88"/>
      <c r="J88"/>
      <c r="K88" s="438"/>
      <c r="L88" s="438"/>
    </row>
    <row r="89" spans="3:12" s="186" customFormat="1" ht="15" customHeight="1">
      <c r="C89" s="766"/>
      <c r="D89" s="773"/>
      <c r="E89" s="763" t="str">
        <f>IF(Indice_index!$Z$1=1,"Instituições de Ensino Superior","Higher Education Institutions")</f>
        <v>Higher Education Institutions</v>
      </c>
      <c r="F89" s="769">
        <v>0</v>
      </c>
      <c r="G89" s="769">
        <v>0</v>
      </c>
      <c r="H89"/>
      <c r="I89"/>
      <c r="J89"/>
      <c r="K89" s="438"/>
      <c r="L89" s="438"/>
    </row>
    <row r="90" spans="3:12" s="186" customFormat="1" ht="15" customHeight="1">
      <c r="C90" s="766" t="str">
        <f>IF(Indice_index!$Z$1=1,"MEd","MEd")</f>
        <v>MEd</v>
      </c>
      <c r="D90" s="782" t="str">
        <f>IF(Indice_index!$Z$1=1,"P012 - Ensino Básico e Secundário e Adm. Escolar","P012 - Basic and Secondary Education and School Administration")</f>
        <v>P012 - Basic and Secondary Education and School Administration</v>
      </c>
      <c r="E90" s="763" t="str">
        <f>IF(Indice_index!$Z$1=1,"003 - Serv. Gerais da A.P. - Cooperação económica externa","003 - General public services - External economic cooperation")</f>
        <v>003 - General public services - External economic cooperation</v>
      </c>
      <c r="F90" s="764">
        <v>1.6649620000000001</v>
      </c>
      <c r="G90" s="764">
        <v>0.78639800000000004</v>
      </c>
      <c r="H90"/>
      <c r="I90"/>
      <c r="J90"/>
      <c r="K90" s="438"/>
      <c r="L90" s="438"/>
    </row>
    <row r="91" spans="3:12" s="186" customFormat="1" ht="15" customHeight="1">
      <c r="C91" s="766"/>
      <c r="D91" s="783"/>
      <c r="E91" s="771" t="str">
        <f>IF(Indice_index!$Z$1=1,"015 - Educação - Administração e regulamentação","015 - Education - Administration and regulations")</f>
        <v>015 - Education - Administration and regulations</v>
      </c>
      <c r="F91" s="765">
        <v>11.666751</v>
      </c>
      <c r="G91" s="765">
        <v>8.4763105000000003</v>
      </c>
      <c r="H91"/>
      <c r="I91"/>
      <c r="J91"/>
      <c r="K91" s="438"/>
      <c r="L91" s="438"/>
    </row>
    <row r="92" spans="3:12" s="186" customFormat="1" ht="15" customHeight="1">
      <c r="C92" s="766"/>
      <c r="D92" s="762"/>
      <c r="E92" s="771" t="str">
        <f>IF(Indice_index!$Z$1=1,"017 - Educação - Estabelecimentos de ensino não superior","017 - Education - Non higher educations institutions")</f>
        <v>017 - Education - Non higher educations institutions</v>
      </c>
      <c r="F92" s="765">
        <v>10.340909</v>
      </c>
      <c r="G92" s="765">
        <v>2.1419800000000002</v>
      </c>
      <c r="H92"/>
      <c r="I92"/>
      <c r="J92"/>
      <c r="K92" s="438"/>
      <c r="L92" s="438"/>
    </row>
    <row r="93" spans="3:12" s="186" customFormat="1" ht="15" customHeight="1">
      <c r="C93" s="766"/>
      <c r="D93" s="762"/>
      <c r="E93" s="771" t="str">
        <f>IF(Indice_index!$Z$1=1,"019 - Educação - Serviços auxiliares de ensino","019 - Education - Educational ancillary services")</f>
        <v>019 - Education - Educational ancillary services</v>
      </c>
      <c r="F93" s="765">
        <v>2.8611219999999999</v>
      </c>
      <c r="G93" s="765">
        <v>2.8566690000000001</v>
      </c>
      <c r="H93"/>
      <c r="I93"/>
      <c r="J93"/>
      <c r="K93" s="438"/>
      <c r="L93" s="438"/>
    </row>
    <row r="94" spans="3:12" s="186" customFormat="1" ht="15" customHeight="1">
      <c r="C94" s="766"/>
      <c r="D94" s="695"/>
      <c r="E94" s="762" t="str">
        <f>D90</f>
        <v>P012 - Basic and Secondary Education and School Administration</v>
      </c>
      <c r="F94" s="781">
        <f>SUM(F90:F93)</f>
        <v>26.533743999999999</v>
      </c>
      <c r="G94" s="781">
        <f>SUM(G90:G93)</f>
        <v>14.261357500000001</v>
      </c>
      <c r="H94"/>
      <c r="I94"/>
      <c r="J94"/>
      <c r="K94" s="438"/>
      <c r="L94" s="438"/>
    </row>
    <row r="95" spans="3:12" s="186" customFormat="1" ht="15" customHeight="1">
      <c r="C95" s="766"/>
      <c r="D95" s="773"/>
      <c r="E95" s="763" t="str">
        <f>IF(Indice_index!$Z$1=1,"Estabelecimentos de Educação e Ensino Básico e Secundário","Education establishments and primary and secondary education")</f>
        <v>Education establishments and primary and secondary education</v>
      </c>
      <c r="F95" s="769">
        <v>0</v>
      </c>
      <c r="G95" s="769">
        <v>0</v>
      </c>
      <c r="H95"/>
      <c r="I95"/>
      <c r="J95"/>
      <c r="K95" s="438"/>
      <c r="L95" s="438"/>
    </row>
    <row r="96" spans="3:12" s="186" customFormat="1" ht="15" customHeight="1">
      <c r="C96" s="766" t="str">
        <f>IF(Indice_index!$Z$1=1,"MTSSS","MLSSF")</f>
        <v>MLSSF</v>
      </c>
      <c r="D96" s="782" t="str">
        <f>IF(Indice_index!$Z$1=1,"P013 - Trabalho, Solidariedade e Seg. Social","P013 - Work, Solidarity and Social Security")</f>
        <v>P013 - Work, Solidarity and Social Security</v>
      </c>
      <c r="E96" s="763" t="str">
        <f>IF(Indice_index!$Z$1=1,"001 - Serv. Gerais da A.P. - Administração geral","001 - General public services - General Administration")</f>
        <v>001 - General public services - General Administration</v>
      </c>
      <c r="F96" s="764">
        <v>5.1045E-2</v>
      </c>
      <c r="G96" s="764">
        <v>5.1045E-2</v>
      </c>
      <c r="H96"/>
      <c r="I96"/>
      <c r="J96"/>
      <c r="K96" s="438"/>
      <c r="L96" s="438"/>
    </row>
    <row r="97" spans="3:12" s="186" customFormat="1" ht="15" customHeight="1">
      <c r="C97" s="766"/>
      <c r="D97" s="783"/>
      <c r="E97" s="771" t="str">
        <f>IF(Indice_index!$Z$1=1,"003 - Serv. Gerais da A.P. - Cooperação económica externa","003 - General public services - External economic cooperation")</f>
        <v>003 - General public services - External economic cooperation</v>
      </c>
      <c r="F97" s="765">
        <v>0.14216300000000001</v>
      </c>
      <c r="G97" s="765">
        <v>0.14216300000000001</v>
      </c>
      <c r="H97"/>
      <c r="I97"/>
      <c r="J97"/>
      <c r="K97" s="438"/>
      <c r="L97" s="438"/>
    </row>
    <row r="98" spans="3:12" s="186" customFormat="1" ht="15" customHeight="1">
      <c r="C98" s="766"/>
      <c r="D98" s="762"/>
      <c r="E98" s="771" t="str">
        <f>IF(Indice_index!$Z$1=1,"024 - Segurança e acção social - Administração e regulamentação","024 - Social Security and Action - Administration and regulations")</f>
        <v>024 - Social Security and Action - Administration and regulations</v>
      </c>
      <c r="F98" s="765">
        <v>0.61098399999999997</v>
      </c>
      <c r="G98" s="765">
        <v>0.64143399999999995</v>
      </c>
      <c r="H98"/>
      <c r="I98"/>
      <c r="J98"/>
      <c r="K98" s="438"/>
      <c r="L98" s="438"/>
    </row>
    <row r="99" spans="3:12" s="186" customFormat="1" ht="15" customHeight="1">
      <c r="C99" s="766"/>
      <c r="D99" s="762"/>
      <c r="E99" s="771" t="str">
        <f>IF(Indice_index!$Z$1=1,"026 - Segurança e acção social - Segurança social","026 - Social Security and Action - Social Security")</f>
        <v>026 - Social Security and Action - Social Security</v>
      </c>
      <c r="F99" s="765">
        <v>10.675789999999999</v>
      </c>
      <c r="G99" s="765">
        <v>10.675789999999999</v>
      </c>
      <c r="H99"/>
      <c r="I99"/>
      <c r="J99"/>
      <c r="K99" s="438"/>
      <c r="L99" s="438"/>
    </row>
    <row r="100" spans="3:12" s="186" customFormat="1" ht="15" customHeight="1">
      <c r="C100" s="766"/>
      <c r="D100" s="762"/>
      <c r="E100" s="771" t="str">
        <f>IF(Indice_index!$Z$1=1,"027 - Segurança e acção social - Acção social","027 - Social Security and Action - Social Action")</f>
        <v>027 - Social Security and Action - Social Action</v>
      </c>
      <c r="F100" s="765">
        <v>14.989535</v>
      </c>
      <c r="G100" s="765">
        <v>14.990977000000001</v>
      </c>
      <c r="H100"/>
      <c r="I100"/>
      <c r="J100"/>
      <c r="K100" s="438"/>
      <c r="L100" s="438"/>
    </row>
    <row r="101" spans="3:12" s="186" customFormat="1" ht="15" customHeight="1">
      <c r="C101" s="766"/>
      <c r="D101" s="762"/>
      <c r="E101" s="771" t="str">
        <f>IF(Indice_index!$Z$1=1,"064 - Outras funções económicas - Relações gerais do trabalho","064 - Other economic functions - General labor relations")</f>
        <v>064 - Other economic functions - General labor relations</v>
      </c>
      <c r="F101" s="765">
        <v>18.022321999999999</v>
      </c>
      <c r="G101" s="765">
        <v>18.102283</v>
      </c>
      <c r="H101"/>
      <c r="I101"/>
      <c r="J101"/>
      <c r="K101" s="438"/>
      <c r="L101" s="438"/>
    </row>
    <row r="102" spans="3:12" s="186" customFormat="1" ht="15" customHeight="1">
      <c r="C102" s="766"/>
      <c r="D102" s="762"/>
      <c r="E102" s="771" t="str">
        <f>IF(Indice_index!$Z$1=1,"065 - Outras funções económicas - Diversas não especificadas","065 - Other economic functions - Various unspecified")</f>
        <v>065 - Other economic functions - Various unspecified</v>
      </c>
      <c r="F102" s="765">
        <v>7.3285000000000003E-2</v>
      </c>
      <c r="G102" s="765">
        <v>8.5379999999999998E-2</v>
      </c>
      <c r="H102"/>
      <c r="I102"/>
      <c r="J102"/>
      <c r="K102" s="438"/>
      <c r="L102" s="438"/>
    </row>
    <row r="103" spans="3:12" s="186" customFormat="1" ht="15" customHeight="1">
      <c r="C103" s="766"/>
      <c r="D103" s="762"/>
      <c r="E103" s="771" t="str">
        <f>IF(Indice_index!$Z$1=1,"083 - Segurança e Ação Social - Integração da pessoa com deficiência","083 - Social Security and Action - Integration of the handicapped person")</f>
        <v>083 - Social Security and Action - Integration of the handicapped person</v>
      </c>
      <c r="F103" s="765">
        <v>0.31229800000000002</v>
      </c>
      <c r="G103" s="765">
        <v>0.34738400000000003</v>
      </c>
      <c r="H103"/>
      <c r="I103"/>
      <c r="J103"/>
      <c r="K103" s="438"/>
      <c r="L103" s="438"/>
    </row>
    <row r="104" spans="3:12" s="186" customFormat="1" ht="15" customHeight="1">
      <c r="C104" s="766"/>
      <c r="D104" s="767"/>
      <c r="E104" s="773" t="str">
        <f>D96</f>
        <v>P013 - Work, Solidarity and Social Security</v>
      </c>
      <c r="F104" s="774">
        <f>SUM(F96:F103)</f>
        <v>44.877421999999996</v>
      </c>
      <c r="G104" s="774">
        <f>SUM(G96:G103)</f>
        <v>45.036456000000001</v>
      </c>
      <c r="H104"/>
      <c r="I104"/>
      <c r="J104"/>
      <c r="K104" s="438"/>
      <c r="L104" s="438"/>
    </row>
    <row r="105" spans="3:12" s="186" customFormat="1" ht="15" customHeight="1">
      <c r="C105" s="766" t="str">
        <f>IF(Indice_index!$Z$1=1,"MS","MH")</f>
        <v>MH</v>
      </c>
      <c r="D105" s="762" t="str">
        <f>IF(Indice_index!$Z$1=1,"P014 - Saúde","P014 - Health")</f>
        <v>P014 - Health</v>
      </c>
      <c r="E105" s="763" t="str">
        <f>IF(Indice_index!$Z$1=1,"020 - Saúde - Administração e regulamentação","020 - Health - Administration and regulations")</f>
        <v>020 - Health - Administration and regulations</v>
      </c>
      <c r="F105" s="764">
        <v>1.4578139999999999</v>
      </c>
      <c r="G105" s="764">
        <v>1.6457949999999999</v>
      </c>
      <c r="H105"/>
      <c r="I105"/>
      <c r="J105"/>
      <c r="K105" s="438"/>
      <c r="L105" s="438"/>
    </row>
    <row r="106" spans="3:12" s="186" customFormat="1" ht="15" customHeight="1">
      <c r="C106" s="766"/>
      <c r="D106" s="762"/>
      <c r="E106" s="763" t="str">
        <f>IF(Indice_index!$Z$1=1,"095 - Contingência Covid 2019 - Prevenção, contenção, mitigação e tratamento","095 - Covid 2019 Contingency - Prevention, Containment, Mitigation and Treatment")</f>
        <v>095 - Covid 2019 Contingency - Prevention, Containment, Mitigation and Treatment</v>
      </c>
      <c r="F106" s="764">
        <v>0</v>
      </c>
      <c r="G106" s="764">
        <v>2.1828E-2</v>
      </c>
      <c r="H106"/>
      <c r="I106"/>
      <c r="J106"/>
      <c r="K106" s="438"/>
      <c r="L106" s="438"/>
    </row>
    <row r="107" spans="3:12" s="186" customFormat="1" ht="15" customHeight="1">
      <c r="C107" s="766"/>
      <c r="D107" s="695"/>
      <c r="E107" s="762" t="str">
        <f>D105</f>
        <v>P014 - Health</v>
      </c>
      <c r="F107" s="781">
        <f>SUM(F105:F106)</f>
        <v>1.4578139999999999</v>
      </c>
      <c r="G107" s="781">
        <f>SUM(G105:G106)</f>
        <v>1.6676229999999999</v>
      </c>
      <c r="H107"/>
      <c r="I107"/>
      <c r="J107"/>
      <c r="K107" s="438"/>
      <c r="L107" s="438"/>
    </row>
    <row r="108" spans="3:12" s="186" customFormat="1" ht="15" customHeight="1">
      <c r="C108" s="766"/>
      <c r="D108" s="773"/>
      <c r="E108" s="763" t="str">
        <f>IF(Indice_index!$Z$1=1,"Serviço Nacional de Saúde","National Health Service")</f>
        <v>National Health Service</v>
      </c>
      <c r="F108" s="769">
        <v>0</v>
      </c>
      <c r="G108" s="769">
        <v>0</v>
      </c>
      <c r="H108"/>
      <c r="I108"/>
      <c r="J108"/>
      <c r="K108" s="438"/>
      <c r="L108" s="438"/>
    </row>
    <row r="109" spans="3:12" s="186" customFormat="1" ht="15" customHeight="1">
      <c r="C109" s="766" t="str">
        <f>IF(Indice_index!$Z$1=1,"MAAC","MECA")</f>
        <v>MECA</v>
      </c>
      <c r="D109" s="766" t="str">
        <f>IF(Indice_index!$Z$1=1,"P015 - Ambiente e Ação Climática","P015 -  Environment and Climate Action")</f>
        <v>P015 -  Environment and Climate Action</v>
      </c>
      <c r="E109" s="771" t="str">
        <f>IF(Indice_index!$Z$1=1,"031 - Habitação e serv. Colectivos - Ordenamento do território","031 - Housing and Common services - Land-use")</f>
        <v>031 - Housing and Common services - Land-use</v>
      </c>
      <c r="F109" s="765">
        <v>0.14852299999999999</v>
      </c>
      <c r="G109" s="765">
        <v>0.14852299999999999</v>
      </c>
      <c r="H109"/>
      <c r="I109"/>
      <c r="J109"/>
      <c r="K109" s="438"/>
      <c r="L109" s="438"/>
    </row>
    <row r="110" spans="3:12" s="186" customFormat="1" ht="15" customHeight="1">
      <c r="C110" s="766"/>
      <c r="D110" s="762"/>
      <c r="E110" s="771" t="str">
        <f>IF(Indice_index!$Z$1=1,"033 - Habitação e serv. Colectivos - Protecção do meio ambiente e conservação da natureza","033 - Housing and Common services - Protection of the Environment and conservation of nature")</f>
        <v>033 - Housing and Common services - Protection of the Environment and conservation of nature</v>
      </c>
      <c r="F110" s="765">
        <v>9.7732690000000009</v>
      </c>
      <c r="G110" s="765">
        <v>9.9322389999999992</v>
      </c>
      <c r="H110"/>
      <c r="I110"/>
      <c r="J110"/>
      <c r="K110" s="438"/>
      <c r="L110" s="438"/>
    </row>
    <row r="111" spans="3:12" s="186" customFormat="1" ht="15" customHeight="1">
      <c r="C111" s="766"/>
      <c r="D111" s="762"/>
      <c r="E111" s="771" t="str">
        <f>IF(Indice_index!$Z$1=1,"046 - Industria e energia - administração e regulamentação","046 - Industry and energy - Administration and regulations")</f>
        <v>046 - Industry and energy - Administration and regulations</v>
      </c>
      <c r="F111" s="765">
        <v>3.020235</v>
      </c>
      <c r="G111" s="765">
        <v>3.191452</v>
      </c>
      <c r="H111"/>
      <c r="I111"/>
      <c r="J111"/>
      <c r="K111" s="438"/>
      <c r="L111" s="438"/>
    </row>
    <row r="112" spans="3:12" s="186" customFormat="1" ht="15" customHeight="1">
      <c r="C112" s="766"/>
      <c r="D112" s="762"/>
      <c r="E112" s="771" t="str">
        <f>IF(Indice_index!$Z$1=1,"047 - Industria e energia - Investigação","047 - Industry and energy - Research")</f>
        <v>047 - Industry and energy - Research</v>
      </c>
      <c r="F112" s="765">
        <v>4.6479559999999998</v>
      </c>
      <c r="G112" s="765">
        <v>0.670906</v>
      </c>
      <c r="H112"/>
      <c r="I112"/>
      <c r="J112"/>
      <c r="K112" s="438"/>
      <c r="L112" s="438"/>
    </row>
    <row r="113" spans="3:12" s="186" customFormat="1" ht="15" customHeight="1">
      <c r="C113" s="766"/>
      <c r="D113" s="762"/>
      <c r="E113" s="771" t="str">
        <f>IF(Indice_index!$Z$1=1,"051 - Industria e energia - Combustíveis, electricidade e outras fontes de energia","051 - Industry e energy - Fuel, electricity and other sources of energy ")</f>
        <v xml:space="preserve">051 - Industry e energy - Fuel, electricity and other sources of energy </v>
      </c>
      <c r="F113" s="765">
        <v>6.0097019999999999</v>
      </c>
      <c r="G113" s="765">
        <v>6.0097019999999999</v>
      </c>
      <c r="H113"/>
      <c r="I113"/>
      <c r="J113"/>
      <c r="K113" s="438"/>
      <c r="L113" s="438"/>
    </row>
    <row r="114" spans="3:12" s="186" customFormat="1" ht="15" customHeight="1">
      <c r="C114" s="766"/>
      <c r="D114" s="762"/>
      <c r="E114" s="771" t="str">
        <f>IF(Indice_index!$Z$1=1,"055 - Transportes e comunicações - Transportes ferroviários","055 - Transport and Communications - Rail transport")</f>
        <v>055 - Transport and Communications - Rail transport</v>
      </c>
      <c r="F114" s="765">
        <v>23.693591999999999</v>
      </c>
      <c r="G114" s="765">
        <v>10.473917999999999</v>
      </c>
      <c r="H114"/>
      <c r="I114"/>
      <c r="J114"/>
      <c r="K114" s="438"/>
      <c r="L114" s="438"/>
    </row>
    <row r="115" spans="3:12" s="186" customFormat="1" ht="15" customHeight="1">
      <c r="C115" s="766"/>
      <c r="D115" s="762"/>
      <c r="E115" s="771" t="str">
        <f>IF(Indice_index!$Z$1=1,"057 - Transportes e comunicações - Transportes marítimos e fluviais","057 - Transport and Communications - Water transport")</f>
        <v>057 - Transport and Communications - Water transport</v>
      </c>
      <c r="F115" s="765">
        <v>7.4662829999999998</v>
      </c>
      <c r="G115" s="765">
        <v>0.15901399999999999</v>
      </c>
      <c r="H115"/>
      <c r="I115"/>
      <c r="J115"/>
      <c r="K115" s="438"/>
      <c r="L115" s="438"/>
    </row>
    <row r="116" spans="3:12" s="186" customFormat="1" ht="15" customHeight="1">
      <c r="C116" s="766"/>
      <c r="D116" s="762"/>
      <c r="E116" s="771" t="str">
        <f>IF(Indice_index!$Z$1=1,"063 - Outras funções económicas - Administração e regulamentação","063 - Outher economic functions - Administration e regulation")</f>
        <v>063 - Outher economic functions - Administration e regulation</v>
      </c>
      <c r="F116" s="765">
        <v>3.0321440000000002</v>
      </c>
      <c r="G116" s="765">
        <v>3.4672830000000001</v>
      </c>
      <c r="H116"/>
      <c r="I116"/>
      <c r="J116"/>
      <c r="K116" s="438"/>
      <c r="L116" s="438"/>
    </row>
    <row r="117" spans="3:12" s="186" customFormat="1" ht="15" customHeight="1">
      <c r="C117" s="766"/>
      <c r="D117" s="762"/>
      <c r="E117" s="771" t="str">
        <f>IF(Indice_index!$Z$1=1,"065 - Outras funções económicas - Diversas não especificadas","065 - Other economic functions - Various unspecified")</f>
        <v>065 - Other economic functions - Various unspecified</v>
      </c>
      <c r="F117" s="764">
        <v>3.297E-3</v>
      </c>
      <c r="G117" s="764">
        <v>3.297E-3</v>
      </c>
      <c r="H117"/>
      <c r="I117"/>
      <c r="J117"/>
      <c r="K117" s="438"/>
      <c r="L117" s="438"/>
    </row>
    <row r="118" spans="3:12" s="186" customFormat="1" ht="15" customHeight="1">
      <c r="C118" s="766"/>
      <c r="D118" s="762"/>
      <c r="E118" s="771" t="str">
        <f>IF(Indice_index!$Z$1=1,"085 - Florestas","085 - Forests")</f>
        <v>085 - Forests</v>
      </c>
      <c r="F118" s="765">
        <v>0.83633199999999996</v>
      </c>
      <c r="G118" s="765">
        <v>1.2620960000000001</v>
      </c>
      <c r="H118"/>
      <c r="I118"/>
      <c r="J118"/>
      <c r="K118" s="438"/>
      <c r="L118" s="438"/>
    </row>
    <row r="119" spans="3:12" s="186" customFormat="1" ht="15" customHeight="1">
      <c r="C119" s="766"/>
      <c r="D119" s="762"/>
      <c r="E119" s="763" t="str">
        <f>IF(Indice_index!$Z$1=1,"101 - Plano Nacional de Gestão Integrada de Fogos Rurais","101 - National Plan on Integrated Rural Fire Management")</f>
        <v>101 - National Plan on Integrated Rural Fire Management</v>
      </c>
      <c r="F119" s="764">
        <v>1.6222000000000001</v>
      </c>
      <c r="G119" s="764">
        <v>1.9877469999999999</v>
      </c>
      <c r="H119"/>
      <c r="I119"/>
      <c r="J119"/>
      <c r="K119" s="438"/>
      <c r="L119" s="438"/>
    </row>
    <row r="120" spans="3:12" s="186" customFormat="1" ht="15" customHeight="1">
      <c r="C120" s="766"/>
      <c r="D120" s="767"/>
      <c r="E120" s="773" t="str">
        <f>D109</f>
        <v>P015 -  Environment and Climate Action</v>
      </c>
      <c r="F120" s="769">
        <f>SUM(F109:F119)</f>
        <v>60.253533000000004</v>
      </c>
      <c r="G120" s="769">
        <f>SUM(G109:G119)</f>
        <v>37.306177000000005</v>
      </c>
      <c r="H120"/>
      <c r="I120"/>
      <c r="J120"/>
      <c r="K120" s="438"/>
      <c r="L120" s="438"/>
    </row>
    <row r="121" spans="3:12" s="186" customFormat="1" ht="15" customHeight="1">
      <c r="C121" s="766" t="str">
        <f>IF(Indice_index!$Z$1=1,"MIH","MIH")</f>
        <v>MIH</v>
      </c>
      <c r="D121" s="762" t="str">
        <f>IF(Indice_index!$Z$1=1,"P016 - Infraestruturas e Habitação","P016 - Infrastructures and Housing")</f>
        <v>P016 - Infrastructures and Housing</v>
      </c>
      <c r="E121" s="763" t="str">
        <f>IF(Indice_index!$Z$1=1,"001 - Serv. Gerais da A.P. - Administração geral","001 - General public services - General Administration")</f>
        <v>001 - General public services - General Administration</v>
      </c>
      <c r="F121" s="764">
        <v>0.72316499999999995</v>
      </c>
      <c r="G121" s="764">
        <v>0.72316499999999995</v>
      </c>
      <c r="H121"/>
      <c r="I121"/>
      <c r="J121"/>
      <c r="K121" s="438"/>
      <c r="L121" s="438"/>
    </row>
    <row r="122" spans="3:12" s="186" customFormat="1" ht="15" customHeight="1">
      <c r="C122" s="766"/>
      <c r="D122" s="762"/>
      <c r="E122" s="771" t="str">
        <f>IF(Indice_index!$Z$1=1,"004 - Serv. Gerais da A.P. - Investigação científica de carácter geral","004 - General public services - General scientific research")</f>
        <v>004 - General public services - General scientific research</v>
      </c>
      <c r="F122" s="765">
        <v>6.25E-2</v>
      </c>
      <c r="G122" s="765">
        <v>6.25E-2</v>
      </c>
      <c r="H122"/>
      <c r="I122"/>
      <c r="J122"/>
      <c r="K122" s="438"/>
      <c r="L122" s="438"/>
    </row>
    <row r="123" spans="3:12" s="186" customFormat="1" ht="15" customHeight="1">
      <c r="C123" s="766"/>
      <c r="D123" s="762"/>
      <c r="E123" s="771" t="str">
        <f>IF(Indice_index!$Z$1=1,"030 - Habitação e serv. Colectivos - Habitação","030 - Housing and Common services - Housing")</f>
        <v>030 - Housing and Common services - Housing</v>
      </c>
      <c r="F123" s="765">
        <v>5.7537459999999996</v>
      </c>
      <c r="G123" s="765">
        <v>5.8841020000000004</v>
      </c>
      <c r="H123"/>
      <c r="I123"/>
      <c r="J123"/>
      <c r="K123" s="438"/>
      <c r="L123" s="438"/>
    </row>
    <row r="124" spans="3:12" s="186" customFormat="1" ht="15" customHeight="1">
      <c r="C124" s="766"/>
      <c r="D124" s="762"/>
      <c r="E124" s="771" t="str">
        <f>IF(Indice_index!$Z$1=1,"052 - Transportes e comunicações - Administração e regulamentação","052 - Transport and Communications - Administration and regulations")</f>
        <v>052 - Transport and Communications - Administration and regulations</v>
      </c>
      <c r="F124" s="765">
        <v>16.186523000000001</v>
      </c>
      <c r="G124" s="765">
        <v>16.740427</v>
      </c>
      <c r="H124"/>
      <c r="I124"/>
      <c r="J124"/>
      <c r="K124" s="438"/>
      <c r="L124" s="438"/>
    </row>
    <row r="125" spans="3:12" s="186" customFormat="1" ht="15" customHeight="1">
      <c r="C125" s="766"/>
      <c r="D125" s="762"/>
      <c r="E125" s="771" t="str">
        <f>IF(Indice_index!$Z$1=1,"054 - Transportes e comunicações - Transportes rodoviários","054 - Transport and Communications - Road transport")</f>
        <v>054 - Transport and Communications - Road transport</v>
      </c>
      <c r="F125" s="765">
        <v>3.2971849999999998</v>
      </c>
      <c r="G125" s="765">
        <v>3.2971849999999998</v>
      </c>
      <c r="H125"/>
      <c r="I125"/>
      <c r="J125"/>
      <c r="K125" s="438"/>
      <c r="L125" s="438"/>
    </row>
    <row r="126" spans="3:12" s="186" customFormat="1" ht="15" customHeight="1">
      <c r="C126" s="766"/>
      <c r="D126" s="762"/>
      <c r="E126" s="771" t="str">
        <f>IF(Indice_index!$Z$1=1,"055 - Transportes e comunicações - Transportes ferroviários","055 - Transport and Communications - Rail transport")</f>
        <v>055 - Transport and Communications - Rail transport</v>
      </c>
      <c r="F126" s="765">
        <v>59.566637</v>
      </c>
      <c r="G126" s="765">
        <v>12.203916</v>
      </c>
      <c r="H126"/>
      <c r="I126"/>
      <c r="J126"/>
      <c r="K126" s="438"/>
      <c r="L126" s="438"/>
    </row>
    <row r="127" spans="3:12" s="186" customFormat="1" ht="15" customHeight="1">
      <c r="C127" s="766"/>
      <c r="D127" s="762"/>
      <c r="E127" s="771" t="str">
        <f>IF(Indice_index!$Z$1=1,"056 - Transportes e comunicações - Transportes aéreos","056 - Transport and Communications - Air transport")</f>
        <v>056 - Transport and Communications - Air transport</v>
      </c>
      <c r="F127" s="765">
        <v>1.465122</v>
      </c>
      <c r="G127" s="765">
        <v>1.465122</v>
      </c>
      <c r="H127"/>
      <c r="I127"/>
      <c r="J127"/>
      <c r="K127" s="438"/>
      <c r="L127" s="438"/>
    </row>
    <row r="128" spans="3:12" s="186" customFormat="1" ht="15" customHeight="1">
      <c r="C128" s="766"/>
      <c r="D128" s="762"/>
      <c r="E128" s="771" t="str">
        <f>IF(Indice_index!$Z$1=1,"063 - Outras funções económicas - Administração e regulamentação","063 - Outher economic functions - Administration e regulation")</f>
        <v>063 - Outher economic functions - Administration e regulation</v>
      </c>
      <c r="F128" s="765">
        <v>1.282063</v>
      </c>
      <c r="G128" s="765">
        <v>1.313164</v>
      </c>
      <c r="H128"/>
      <c r="I128"/>
      <c r="J128"/>
      <c r="K128" s="438"/>
      <c r="L128" s="438"/>
    </row>
    <row r="129" spans="3:12" s="186" customFormat="1" ht="15" customHeight="1">
      <c r="C129" s="766"/>
      <c r="D129" s="762"/>
      <c r="E129" s="771" t="str">
        <f>IF(Indice_index!$Z$1=1,"101 - Plano Nacional de Gestão Integrada de Fogos Rurais","101 - National Plan on Integrated Rural Fire Management")</f>
        <v>101 - National Plan on Integrated Rural Fire Management</v>
      </c>
      <c r="F129" s="765">
        <v>17.908571999999999</v>
      </c>
      <c r="G129" s="765">
        <v>0</v>
      </c>
      <c r="H129"/>
      <c r="I129"/>
      <c r="J129"/>
      <c r="K129" s="438"/>
      <c r="L129" s="438"/>
    </row>
    <row r="130" spans="3:12" s="186" customFormat="1" ht="15" customHeight="1">
      <c r="C130" s="766"/>
      <c r="D130" s="767"/>
      <c r="E130" s="773" t="str">
        <f>D121</f>
        <v>P016 - Infrastructures and Housing</v>
      </c>
      <c r="F130" s="774">
        <f>SUM(F121:F129)</f>
        <v>106.24551299999999</v>
      </c>
      <c r="G130" s="774">
        <f>SUM(G121:G129)</f>
        <v>41.689580999999997</v>
      </c>
      <c r="H130"/>
      <c r="I130"/>
      <c r="J130"/>
      <c r="K130" s="438"/>
      <c r="L130" s="438"/>
    </row>
    <row r="131" spans="3:12" s="186" customFormat="1" ht="15" customHeight="1">
      <c r="C131" s="766" t="str">
        <f>IF(Indice_index!$Z$1=1,"MAA","MAA")</f>
        <v>MAA</v>
      </c>
      <c r="D131" s="762" t="str">
        <f>IF(Indice_index!$Z$1=1,"P017 - Agricultura e Alimentação","P017 - Agriculture and Food")</f>
        <v>P017 - Agriculture and Food</v>
      </c>
      <c r="E131" s="771" t="str">
        <f>IF(Indice_index!$Z$1=1,"004 - Serv. Gerais da A.P. - Investigação científica de carácter geral","004 - General public services - General scientific research")</f>
        <v>004 - General public services - General scientific research</v>
      </c>
      <c r="F131" s="765">
        <v>5.6039999999999996E-3</v>
      </c>
      <c r="G131" s="765">
        <v>5.6039999999999996E-3</v>
      </c>
      <c r="H131"/>
      <c r="I131"/>
      <c r="J131"/>
      <c r="K131" s="438"/>
      <c r="L131" s="438"/>
    </row>
    <row r="132" spans="3:12" s="186" customFormat="1" ht="15" customHeight="1">
      <c r="C132" s="766"/>
      <c r="D132" s="762"/>
      <c r="E132" s="771" t="str">
        <f>IF(Indice_index!$Z$1=1,"040 - Agricultura, pecuária, silv, caça, pesca - Administração e regulamentação","040 - Crops, livestock, forestry, fisheries - Administration and regulations")</f>
        <v>040 - Crops, livestock, forestry, fisheries - Administration and regulations</v>
      </c>
      <c r="F132" s="765">
        <v>5.3995670000000002</v>
      </c>
      <c r="G132" s="765">
        <v>5.5013329999999998</v>
      </c>
      <c r="H132"/>
      <c r="I132"/>
      <c r="J132"/>
      <c r="K132" s="438"/>
      <c r="L132" s="438"/>
    </row>
    <row r="133" spans="3:12" s="186" customFormat="1" ht="15" customHeight="1">
      <c r="C133" s="766"/>
      <c r="D133" s="762"/>
      <c r="E133" s="771" t="str">
        <f>IF(Indice_index!$Z$1=1,"041 - Agricultura, pecuária, silv, caça, pesca - Investigação","041 - Crops, livestock, forestry, fisheries - Research")</f>
        <v>041 - Crops, livestock, forestry, fisheries - Research</v>
      </c>
      <c r="F133" s="765">
        <v>3.7187999999999999E-2</v>
      </c>
      <c r="G133" s="765">
        <v>3.7187999999999999E-2</v>
      </c>
      <c r="H133"/>
      <c r="I133"/>
      <c r="J133"/>
      <c r="K133" s="438"/>
      <c r="L133" s="438"/>
    </row>
    <row r="134" spans="3:12" s="186" customFormat="1" ht="15" customHeight="1">
      <c r="C134" s="766"/>
      <c r="D134" s="762"/>
      <c r="E134" s="771" t="str">
        <f>IF(Indice_index!$Z$1=1,"042 - Agricultura, pecuária, silv, caça, pesca - Agricultura e pecuária","042 - Crops, livestock, forestry, fisheries - Crops and livestock")</f>
        <v>042 - Crops, livestock, forestry, fisheries - Crops and livestock</v>
      </c>
      <c r="F134" s="765">
        <v>22.480436000000001</v>
      </c>
      <c r="G134" s="765">
        <v>14.24756</v>
      </c>
      <c r="H134"/>
      <c r="I134"/>
      <c r="J134"/>
      <c r="K134" s="438"/>
      <c r="L134" s="438"/>
    </row>
    <row r="135" spans="3:12" s="186" customFormat="1" ht="15" customHeight="1">
      <c r="C135" s="766"/>
      <c r="D135" s="762"/>
      <c r="E135" s="771" t="str">
        <f>IF(Indice_index!$Z$1=1,"045 - Agricultura, pecuária, silv, caça, pesca – Pesca","045 - Crops, livestock, forestry, fisheries – Fisheries")</f>
        <v>045 - Crops, livestock, forestry, fisheries – Fisheries</v>
      </c>
      <c r="F135" s="765">
        <v>0.89322400000000002</v>
      </c>
      <c r="G135" s="765">
        <v>0.89322400000000002</v>
      </c>
      <c r="H135"/>
      <c r="I135"/>
      <c r="J135"/>
      <c r="K135" s="438"/>
      <c r="L135" s="438"/>
    </row>
    <row r="136" spans="3:12" s="186" customFormat="1" ht="15" customHeight="1">
      <c r="C136" s="766"/>
      <c r="D136" s="762"/>
      <c r="E136" s="771" t="str">
        <f>IF(Indice_index!$Z$1=1,"057 - Transportes e comunicações - Transportes marítimos e fluviais","057 - Transport and Communications - Water transport")</f>
        <v>057 - Transport and Communications - Water transport</v>
      </c>
      <c r="F136" s="765">
        <v>1.1897880000000001</v>
      </c>
      <c r="G136" s="765">
        <v>1.2520690000000001</v>
      </c>
      <c r="H136"/>
      <c r="I136"/>
      <c r="J136"/>
      <c r="K136" s="438"/>
      <c r="L136" s="438"/>
    </row>
    <row r="137" spans="3:12" s="186" customFormat="1" ht="15" customHeight="1" thickBot="1">
      <c r="C137" s="766"/>
      <c r="D137" s="767"/>
      <c r="E137" s="773" t="str">
        <f>D131</f>
        <v>P017 - Agriculture and Food</v>
      </c>
      <c r="F137" s="769">
        <f>SUM(F131:F136)</f>
        <v>30.005807000000001</v>
      </c>
      <c r="G137" s="769">
        <f>SUM(G131:G136)</f>
        <v>21.936978</v>
      </c>
      <c r="H137"/>
      <c r="I137"/>
      <c r="J137"/>
      <c r="K137" s="438"/>
      <c r="L137" s="438"/>
    </row>
    <row r="138" spans="3:12" s="186" customFormat="1" ht="15" customHeight="1" thickBot="1">
      <c r="C138" s="1804" t="str">
        <f>IF(Indice_index!$Z$1=1,"TOTAL Cativos","TOTAL frozen allocations")</f>
        <v>TOTAL frozen allocations</v>
      </c>
      <c r="D138" s="1805"/>
      <c r="E138" s="1805"/>
      <c r="F138" s="785">
        <f>F27+F137+F120+F78+F130+F107+F104+F94+F88+F81+F65+F56+F43+F70+F69+F31+F11</f>
        <v>654.92139399999996</v>
      </c>
      <c r="G138" s="785">
        <f>G27+G137+G120+G78+G130+G107+G104+G94+G88+G81+G65+G56+G43+G70+G69+G31+G11</f>
        <v>430.02673511</v>
      </c>
      <c r="H138" s="438"/>
      <c r="I138" s="438"/>
      <c r="J138" s="438"/>
      <c r="K138" s="438"/>
      <c r="L138" s="438"/>
    </row>
    <row r="139" spans="3:12" s="186" customFormat="1" ht="15.75" customHeight="1">
      <c r="C139" s="246"/>
      <c r="D139" s="246"/>
      <c r="E139" s="246"/>
      <c r="F139" s="246"/>
      <c r="H139"/>
      <c r="I139"/>
      <c r="J139"/>
    </row>
    <row r="140" spans="3:12" s="186" customFormat="1" ht="19" thickBot="1">
      <c r="C140" s="1796" t="str">
        <f>IF(Indice_index!$Z$1=1,"Reserva","Reserve")</f>
        <v>Reserve</v>
      </c>
      <c r="D140" s="1796"/>
      <c r="E140" s="1796"/>
      <c r="F140" s="1796"/>
      <c r="G140" s="1796"/>
      <c r="H140"/>
      <c r="I140"/>
      <c r="J140"/>
    </row>
    <row r="141" spans="3:12" s="186" customFormat="1">
      <c r="C141" s="755"/>
      <c r="D141" s="755"/>
      <c r="E141" s="755"/>
      <c r="F141" s="786"/>
      <c r="H141"/>
      <c r="I141"/>
      <c r="J141"/>
    </row>
    <row r="142" spans="3:12" s="186" customFormat="1">
      <c r="C142" s="754" t="str">
        <f>C4</f>
        <v>Period: October</v>
      </c>
      <c r="D142" s="755"/>
      <c r="E142" s="755"/>
      <c r="F142" s="757"/>
      <c r="G142" s="757" t="str">
        <f>IF(Indice_index!$Z$1=1,"€ Milhões","€ Millions")</f>
        <v>€ Millions</v>
      </c>
      <c r="H142"/>
      <c r="I142"/>
      <c r="J142"/>
    </row>
    <row r="143" spans="3:12" s="186" customFormat="1">
      <c r="C143" s="1801" t="str">
        <f>IF(Indice_index!$Z$1=1,"Ministério","Ministry")</f>
        <v>Ministry</v>
      </c>
      <c r="D143" s="1801" t="str">
        <f>IF(Indice_index!$Z$1=1,"Programa Orçamental","Budgetary program")</f>
        <v>Budgetary program</v>
      </c>
      <c r="E143" s="1801" t="str">
        <f>IF(Indice_index!$Z$1=1,"Reserva","Reserve")</f>
        <v>Reserve</v>
      </c>
      <c r="F143" s="1797"/>
      <c r="G143" s="1797"/>
      <c r="H143"/>
      <c r="I143"/>
      <c r="J143"/>
    </row>
    <row r="144" spans="3:12" s="186" customFormat="1" ht="20.25" customHeight="1">
      <c r="C144" s="1802"/>
      <c r="D144" s="1802"/>
      <c r="E144" s="1802"/>
      <c r="F144" s="758" t="str">
        <f>IF(Indice_index!$Z$1=1,"Cativos iniciais","Initial frozen allocations")</f>
        <v>Initial frozen allocations</v>
      </c>
      <c r="G144" s="759" t="str">
        <f>IF(Indice_index!$Z$1=1,"Cativos atuais","Current frozen allocations")</f>
        <v>Current frozen allocations</v>
      </c>
      <c r="H144"/>
      <c r="I144"/>
      <c r="J144"/>
    </row>
    <row r="145" spans="3:11">
      <c r="C145" s="1803"/>
      <c r="D145" s="1803"/>
      <c r="E145" s="1803"/>
      <c r="F145" s="787" t="s">
        <v>65</v>
      </c>
      <c r="G145" s="788" t="s">
        <v>64</v>
      </c>
      <c r="K145" s="186"/>
    </row>
    <row r="146" spans="3:11" ht="15" customHeight="1">
      <c r="C146" s="789" t="str">
        <f>+C8</f>
        <v>GCS</v>
      </c>
      <c r="D146" s="789" t="str">
        <f>+D8</f>
        <v>P001 - Sovereignty Entities</v>
      </c>
      <c r="E146" s="790" t="str">
        <f>IF(Indice_index!$Z$1=1,"Reserva Orçamental","Reserve")</f>
        <v>Reserve</v>
      </c>
      <c r="F146" s="791">
        <v>5.1363849999999998</v>
      </c>
      <c r="G146" s="791">
        <v>4.0179429999999998</v>
      </c>
    </row>
    <row r="147" spans="3:11" ht="15" customHeight="1">
      <c r="C147" s="792" t="str">
        <f>+C12</f>
        <v>PRP</v>
      </c>
      <c r="D147" s="792" t="str">
        <f>+D12</f>
        <v>P002 - Government</v>
      </c>
      <c r="E147" s="793" t="str">
        <f>IF(Indice_index!$Z$1=1,"Reserva Orçamental","Reserve")</f>
        <v>Reserve</v>
      </c>
      <c r="F147" s="794">
        <v>5.2600290000000003</v>
      </c>
      <c r="G147" s="794">
        <v>4.9828770000000002</v>
      </c>
    </row>
    <row r="148" spans="3:11" ht="15" customHeight="1">
      <c r="C148" s="792" t="str">
        <f>+C21</f>
        <v>MTC</v>
      </c>
      <c r="D148" s="792" t="str">
        <f>+D21</f>
        <v>P002 - Government</v>
      </c>
      <c r="E148" s="793" t="str">
        <f>IF(Indice_index!$Z$1=1,"Reserva Orçamental","Reserve")</f>
        <v>Reserve</v>
      </c>
      <c r="F148" s="794">
        <v>1.443878</v>
      </c>
      <c r="G148" s="794">
        <v>1.443878</v>
      </c>
    </row>
    <row r="149" spans="3:11" ht="15" customHeight="1">
      <c r="C149" s="792" t="str">
        <f>+C28</f>
        <v>MFA</v>
      </c>
      <c r="D149" s="792" t="str">
        <f>+D28</f>
        <v>P003 - Foreign Affairs</v>
      </c>
      <c r="E149" s="793" t="str">
        <f>IF(Indice_index!$Z$1=1,"Reserva Orçamental","Reserve")</f>
        <v>Reserve</v>
      </c>
      <c r="F149" s="794">
        <v>7.8777249999999999</v>
      </c>
      <c r="G149" s="794">
        <v>4.8777249999999999</v>
      </c>
    </row>
    <row r="150" spans="3:11" ht="15" customHeight="1">
      <c r="C150" s="792" t="str">
        <f>+C32</f>
        <v>MND</v>
      </c>
      <c r="D150" s="792" t="str">
        <f>+D32</f>
        <v>P004 - Defence</v>
      </c>
      <c r="E150" s="793" t="str">
        <f>IF(Indice_index!$Z$1=1,"Reserva Orçamental","Reserve")</f>
        <v>Reserve</v>
      </c>
      <c r="F150" s="794">
        <v>22.731487000000001</v>
      </c>
      <c r="G150" s="794">
        <v>21.006436000000001</v>
      </c>
    </row>
    <row r="151" spans="3:11" ht="15" customHeight="1">
      <c r="C151" s="792" t="str">
        <f>+C44</f>
        <v>MIA</v>
      </c>
      <c r="D151" s="792" t="str">
        <f>+D44</f>
        <v>P005 - Internal Security</v>
      </c>
      <c r="E151" s="793" t="str">
        <f>IF(Indice_index!$Z$1=1,"Reserva Orçamental","Reserve")</f>
        <v>Reserve</v>
      </c>
      <c r="F151" s="794">
        <v>45.908163999999999</v>
      </c>
      <c r="G151" s="794">
        <v>44.367614000000003</v>
      </c>
    </row>
    <row r="152" spans="3:11" ht="15" customHeight="1">
      <c r="C152" s="792" t="str">
        <f>+C57</f>
        <v>MJ</v>
      </c>
      <c r="D152" s="792" t="str">
        <f>+D57</f>
        <v>P006 - Justice</v>
      </c>
      <c r="E152" s="793" t="str">
        <f>IF(Indice_index!$Z$1=1,"Reserva Orçamental","Reserve")</f>
        <v>Reserve</v>
      </c>
      <c r="F152" s="794">
        <v>35.970484999999996</v>
      </c>
      <c r="G152" s="794">
        <v>34.773322</v>
      </c>
    </row>
    <row r="153" spans="3:11" ht="15" customHeight="1">
      <c r="C153" s="792" t="str">
        <f>+C66</f>
        <v>MF</v>
      </c>
      <c r="D153" s="792" t="str">
        <f>+D66</f>
        <v>P007 - Finance and Public Administration</v>
      </c>
      <c r="E153" s="793" t="str">
        <f>IF(Indice_index!$Z$1=1,"Reserva Orçamental","Reserve")</f>
        <v>Reserve</v>
      </c>
      <c r="F153" s="794">
        <v>37.062869999999997</v>
      </c>
      <c r="G153" s="794">
        <v>23.303258</v>
      </c>
    </row>
    <row r="154" spans="3:11" ht="15" customHeight="1">
      <c r="C154" s="792" t="str">
        <f>+C71</f>
        <v>MEM</v>
      </c>
      <c r="D154" s="792" t="str">
        <f>+D71</f>
        <v>P009 - Economy and Sea</v>
      </c>
      <c r="E154" s="793" t="str">
        <f>IF(Indice_index!$Z$1=1,"Reserva Orçamental","Reserve")</f>
        <v>Reserve</v>
      </c>
      <c r="F154" s="794">
        <v>25.830869</v>
      </c>
      <c r="G154" s="794">
        <v>25.276895</v>
      </c>
    </row>
    <row r="155" spans="3:11" ht="15" customHeight="1">
      <c r="C155" s="792" t="str">
        <f>+C79</f>
        <v>MC</v>
      </c>
      <c r="D155" s="792" t="str">
        <f>+D79</f>
        <v>P010 - Culture</v>
      </c>
      <c r="E155" s="793" t="str">
        <f>IF(Indice_index!$Z$1=1,"Reserva Orçamental","Reserve")</f>
        <v>Reserve</v>
      </c>
      <c r="F155" s="794">
        <v>6.3398630000000002</v>
      </c>
      <c r="G155" s="794">
        <v>6.3398630000000002</v>
      </c>
    </row>
    <row r="156" spans="3:11" s="415" customFormat="1" ht="15" customHeight="1">
      <c r="C156" s="795" t="str">
        <f>+C83</f>
        <v>MSHE</v>
      </c>
      <c r="D156" s="795" t="str">
        <f>+D83</f>
        <v>P011 - Science and Higher Education</v>
      </c>
      <c r="E156" s="796" t="str">
        <f>IF(Indice_index!$Z$1=1,"Reserva Orçamental","Reserve")</f>
        <v>Reserve</v>
      </c>
      <c r="F156" s="794">
        <v>11.055078</v>
      </c>
      <c r="G156" s="794">
        <v>6.8739999999999999E-3</v>
      </c>
      <c r="H156"/>
      <c r="I156"/>
      <c r="J156"/>
      <c r="K156" s="184"/>
    </row>
    <row r="157" spans="3:11" ht="15" customHeight="1">
      <c r="C157" s="792" t="str">
        <f>+C90</f>
        <v>MEd</v>
      </c>
      <c r="D157" s="792" t="str">
        <f>+D90</f>
        <v>P012 - Basic and Secondary Education and School Administration</v>
      </c>
      <c r="E157" s="793" t="str">
        <f>IF(Indice_index!$Z$1=1,"Reserva Orçamental","Reserve")</f>
        <v>Reserve</v>
      </c>
      <c r="F157" s="794">
        <v>3.2181950000000001</v>
      </c>
      <c r="G157" s="794">
        <v>3.2181950000000001</v>
      </c>
      <c r="K157" s="415"/>
    </row>
    <row r="158" spans="3:11" ht="15" customHeight="1">
      <c r="C158" s="792" t="str">
        <f>+C96</f>
        <v>MLSSF</v>
      </c>
      <c r="D158" s="792" t="str">
        <f>+D96</f>
        <v>P013 - Work, Solidarity and Social Security</v>
      </c>
      <c r="E158" s="793" t="str">
        <f>IF(Indice_index!$Z$1=1,"Reserva Orçamental","Reserve")</f>
        <v>Reserve</v>
      </c>
      <c r="F158" s="794">
        <v>25.781593000000001</v>
      </c>
      <c r="G158" s="794">
        <v>25.781593000000001</v>
      </c>
    </row>
    <row r="159" spans="3:11" ht="15" customHeight="1">
      <c r="C159" s="792" t="str">
        <f>+C105</f>
        <v>MH</v>
      </c>
      <c r="D159" s="792" t="str">
        <f>+D105</f>
        <v>P014 - Health</v>
      </c>
      <c r="E159" s="793" t="str">
        <f>IF(Indice_index!$Z$1=1,"Reserva Orçamental","Reserve")</f>
        <v>Reserve</v>
      </c>
      <c r="F159" s="794">
        <v>1.614336</v>
      </c>
      <c r="G159" s="794">
        <v>1.614336</v>
      </c>
    </row>
    <row r="160" spans="3:11" ht="15" customHeight="1">
      <c r="C160" s="792" t="str">
        <f>+C109</f>
        <v>MECA</v>
      </c>
      <c r="D160" s="792" t="str">
        <f>+D109</f>
        <v>P015 -  Environment and Climate Action</v>
      </c>
      <c r="E160" s="793" t="str">
        <f>IF(Indice_index!$Z$1=1,"Reserva Orçamental","Reserve")</f>
        <v>Reserve</v>
      </c>
      <c r="F160" s="794">
        <v>29.751135999999999</v>
      </c>
      <c r="G160" s="794">
        <v>29.386846999999999</v>
      </c>
    </row>
    <row r="161" spans="3:11" ht="15" customHeight="1">
      <c r="C161" s="792" t="str">
        <f>+C121</f>
        <v>MIH</v>
      </c>
      <c r="D161" s="792" t="str">
        <f>+D121</f>
        <v>P016 - Infrastructures and Housing</v>
      </c>
      <c r="E161" s="793" t="str">
        <f>IF(Indice_index!$Z$1=1,"Reserva Orçamental","Reserve")</f>
        <v>Reserve</v>
      </c>
      <c r="F161" s="794">
        <v>85.569934000000003</v>
      </c>
      <c r="G161" s="794">
        <v>13.218297</v>
      </c>
    </row>
    <row r="162" spans="3:11" ht="15" customHeight="1" thickBot="1">
      <c r="C162" s="797" t="str">
        <f>+C131</f>
        <v>MAA</v>
      </c>
      <c r="D162" s="797" t="str">
        <f>+D131</f>
        <v>P017 - Agriculture and Food</v>
      </c>
      <c r="E162" s="798" t="str">
        <f>IF(Indice_index!$Z$1=1,"Reserva Orçamental","Reserve")</f>
        <v>Reserve</v>
      </c>
      <c r="F162" s="799">
        <v>11.141745999999999</v>
      </c>
      <c r="G162" s="799">
        <v>3.550557</v>
      </c>
    </row>
    <row r="163" spans="3:11" ht="15" customHeight="1" thickBot="1">
      <c r="C163" s="1804" t="s">
        <v>63</v>
      </c>
      <c r="D163" s="1805"/>
      <c r="E163" s="1805"/>
      <c r="F163" s="800">
        <f>SUM(F146:F162)</f>
        <v>361.69377300000002</v>
      </c>
      <c r="G163" s="801">
        <f>SUM(G146:G162)</f>
        <v>247.16651000000002</v>
      </c>
      <c r="H163" s="438"/>
      <c r="I163" s="438"/>
      <c r="J163" s="704"/>
      <c r="K163" s="705"/>
    </row>
    <row r="164" spans="3:11" ht="4.5" customHeight="1" thickBot="1">
      <c r="C164" s="802"/>
      <c r="D164" s="803"/>
      <c r="E164" s="803"/>
      <c r="F164" s="804"/>
      <c r="G164" s="805"/>
      <c r="J164" s="704"/>
      <c r="K164" s="705"/>
    </row>
    <row r="165" spans="3:11" ht="15" customHeight="1" thickBot="1">
      <c r="C165" s="1804" t="str">
        <f>IF(Indice_index!$Z$1=1,"TOTAL Cativos + Reserva 2022","TOTAL Frozen allocations + Reserve 2022")</f>
        <v>TOTAL Frozen allocations + Reserve 2022</v>
      </c>
      <c r="D165" s="1805"/>
      <c r="E165" s="1805"/>
      <c r="F165" s="800">
        <f>F163+F138</f>
        <v>1016.6151669999999</v>
      </c>
      <c r="G165" s="801">
        <f>G163+G138</f>
        <v>677.19324511000002</v>
      </c>
      <c r="H165" s="438"/>
      <c r="I165" s="438"/>
      <c r="J165" s="704"/>
      <c r="K165" s="704"/>
    </row>
    <row r="166" spans="3:11" ht="15" customHeight="1" thickBot="1">
      <c r="C166" s="806"/>
      <c r="D166" s="806"/>
      <c r="E166" s="806"/>
      <c r="F166" s="803"/>
      <c r="G166" s="807"/>
      <c r="H166" s="438"/>
      <c r="I166" s="438"/>
      <c r="J166" s="704"/>
      <c r="K166" s="704"/>
    </row>
    <row r="167" spans="3:11" ht="15" customHeight="1" thickBot="1">
      <c r="C167" s="1804" t="str">
        <f>IF(Indice_index!$Z$1=1,"Por memória Total Cativos + Reserva 2021","Memo item: Total Frozen allocations + Reserve 2021")</f>
        <v>Memo item: Total Frozen allocations + Reserve 2021</v>
      </c>
      <c r="D167" s="1805"/>
      <c r="E167" s="1805"/>
      <c r="F167" s="785">
        <v>1014.713043</v>
      </c>
      <c r="G167" s="808">
        <v>727.10512462999986</v>
      </c>
      <c r="H167" s="438"/>
      <c r="I167" s="438"/>
      <c r="J167" s="704"/>
      <c r="K167" s="705"/>
    </row>
    <row r="168" spans="3:11" ht="4.5" customHeight="1">
      <c r="C168" s="802"/>
      <c r="D168" s="803"/>
      <c r="E168" s="803"/>
      <c r="F168" s="803"/>
    </row>
    <row r="169" spans="3:11" ht="15" customHeight="1">
      <c r="C169" s="661" t="str">
        <f>IF(Indice_index!$Z$1=1,"Notas:","Notes:")</f>
        <v>Notes:</v>
      </c>
      <c r="D169" s="809"/>
      <c r="E169" s="809"/>
      <c r="F169" s="809"/>
    </row>
    <row r="170" spans="3:11" ht="19.149999999999999" customHeight="1">
      <c r="C170" s="1798" t="str">
        <f>IF(Indice_index!$Z$1=1,"- Cativos Iniciais: cativos apurados de acordo com a aplicação da disciplina orçamental prevista na Lei do Orçamento do Estado.","- Initial frozen allocations: set in accordance with the 2022 State Budget Law.")</f>
        <v>- Initial frozen allocations: set in accordance with the 2022 State Budget Law.</v>
      </c>
      <c r="D170" s="1798"/>
      <c r="E170" s="1798"/>
      <c r="F170" s="1798"/>
      <c r="G170" s="1798"/>
    </row>
    <row r="171" spans="3:11" ht="15" customHeight="1">
      <c r="C171" s="1799" t="str">
        <f>IF(Indice_index!$Z$1=1,"- Valores não consolidados. Apenas expurgados dos cativos que incidem sobre a transferência do Orçamento do Estado destinada aos Serviços e Fundos Autónomos.","- Non-consolidated data: frozen allocations that affect State Budget transfers for Autonomus Services and Funds are removed.")</f>
        <v>- Non-consolidated data: frozen allocations that affect State Budget transfers for Autonomus Services and Funds are removed.</v>
      </c>
      <c r="D171" s="1799"/>
      <c r="E171" s="1799"/>
      <c r="F171" s="1799"/>
      <c r="G171" s="1795"/>
      <c r="H171" s="512"/>
    </row>
    <row r="172" spans="3:11" ht="15" customHeight="1">
      <c r="C172" s="1794" t="str">
        <f>IF(Indice_index!$Z$1=1,"- Face à natureza da dotação relativa à Reserva, que não tem uma finalidade pré-estabelecida, a mesma foi expurgada das Medidas.","- Due to the particular nature of the Reserve, with no pre-established purpose, it has been removed from the Measures identified above.")</f>
        <v>- Due to the particular nature of the Reserve, with no pre-established purpose, it has been removed from the Measures identified above.</v>
      </c>
      <c r="D172" s="1795"/>
      <c r="E172" s="1795"/>
      <c r="F172" s="1795"/>
      <c r="G172" s="1795"/>
    </row>
    <row r="173" spans="3:11" ht="4.5" customHeight="1">
      <c r="C173" s="1800" t="str">
        <f>IF(Indice_index!$Z$1=1,"Fonte: Direção-Geral do Orçamento","Source: Budget General Directorate")</f>
        <v>Source: Budget General Directorate</v>
      </c>
      <c r="D173" s="1795"/>
      <c r="E173" s="1795"/>
      <c r="F173" s="1795"/>
      <c r="G173" s="1795"/>
      <c r="K173" s="246"/>
    </row>
    <row r="174" spans="3:11" ht="15" customHeight="1">
      <c r="C174" s="1795"/>
      <c r="D174" s="1795"/>
      <c r="E174" s="1795"/>
      <c r="F174" s="1795"/>
      <c r="G174" s="1795"/>
    </row>
    <row r="175" spans="3:11">
      <c r="F175" s="246"/>
    </row>
    <row r="176" spans="3:11" ht="23.5" customHeight="1">
      <c r="C176" s="1794"/>
      <c r="D176" s="1795"/>
      <c r="E176" s="1795"/>
      <c r="F176" s="1795"/>
      <c r="G176" s="1795"/>
    </row>
    <row r="177" spans="3:7" ht="23.5" customHeight="1">
      <c r="C177" s="1794"/>
      <c r="D177" s="1794"/>
      <c r="E177" s="1794"/>
      <c r="F177" s="1794"/>
      <c r="G177" s="1794"/>
    </row>
    <row r="179" spans="3:7">
      <c r="C179" s="410"/>
    </row>
    <row r="181" spans="3:7">
      <c r="C181" s="246"/>
    </row>
  </sheetData>
  <mergeCells count="19">
    <mergeCell ref="C5:C7"/>
    <mergeCell ref="D5:D7"/>
    <mergeCell ref="E5:E7"/>
    <mergeCell ref="C138:E138"/>
    <mergeCell ref="F5:G5"/>
    <mergeCell ref="C176:G176"/>
    <mergeCell ref="C177:G177"/>
    <mergeCell ref="C140:G140"/>
    <mergeCell ref="F143:G143"/>
    <mergeCell ref="C170:G170"/>
    <mergeCell ref="C171:G171"/>
    <mergeCell ref="C173:G174"/>
    <mergeCell ref="C143:C145"/>
    <mergeCell ref="D143:D145"/>
    <mergeCell ref="E143:E145"/>
    <mergeCell ref="C163:E163"/>
    <mergeCell ref="C165:E165"/>
    <mergeCell ref="C167:E167"/>
    <mergeCell ref="C172:G172"/>
  </mergeCells>
  <printOptions horizontalCentered="1"/>
  <pageMargins left="0.70866141732283472" right="0.70866141732283472" top="0.74803149606299213" bottom="0.74803149606299213" header="0.74803149606299213" footer="0.35433070866141736"/>
  <pageSetup paperSize="9" scale="55" fitToHeight="3" orientation="portrait" r:id="rId1"/>
  <headerFooter differentOddEven="1">
    <oddFooter>&amp;R&amp;G</oddFooter>
    <evenFooter>&amp;L&amp;G</evenFooter>
  </headerFooter>
  <rowBreaks count="2" manualBreakCount="2">
    <brk id="82" max="7" man="1"/>
    <brk id="139" max="7" man="1"/>
  </rowBreaks>
  <ignoredErrors>
    <ignoredError sqref="F7:G7 F145:G145" numberStoredAsText="1"/>
    <ignoredError sqref="F137:F138 F78:F105 F108:F136 G137:G138 G78:G120" formulaRange="1"/>
  </ignoredErrors>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C1044-E0B7-48DF-92E0-218E28970798}">
  <dimension ref="A1:I522"/>
  <sheetViews>
    <sheetView showGridLines="0" zoomScaleNormal="100" zoomScaleSheetLayoutView="100" workbookViewId="0">
      <selection activeCell="B2" sqref="B2"/>
    </sheetView>
  </sheetViews>
  <sheetFormatPr defaultRowHeight="14.5"/>
  <cols>
    <col min="1" max="1" width="2.453125" style="184" customWidth="1"/>
    <col min="2" max="2" width="4.453125" customWidth="1"/>
    <col min="3" max="3" width="94" customWidth="1"/>
    <col min="7" max="7" width="18.81640625" customWidth="1"/>
    <col min="8" max="8" width="59.26953125" bestFit="1" customWidth="1"/>
  </cols>
  <sheetData>
    <row r="1" spans="1:9" s="50" customFormat="1" ht="15" customHeight="1">
      <c r="B1" s="49"/>
      <c r="F1"/>
      <c r="G1"/>
      <c r="H1"/>
      <c r="I1"/>
    </row>
    <row r="2" spans="1:9" s="184" customFormat="1" ht="24" customHeight="1">
      <c r="B2" s="8"/>
      <c r="C2" s="51" t="str">
        <f>IF(Indice_index!$Z$1=1,"24 - Lista de entidades da Administração Central em 2022","24 - Central Administration's list of entities in 2022")</f>
        <v>24 - Central Administration's list of entities in 2022</v>
      </c>
      <c r="D2" s="51"/>
      <c r="F2"/>
      <c r="G2"/>
      <c r="H2"/>
      <c r="I2"/>
    </row>
    <row r="3" spans="1:9" s="186" customFormat="1" ht="30" customHeight="1">
      <c r="B3" s="183"/>
      <c r="C3" s="185"/>
      <c r="D3" s="185"/>
      <c r="F3"/>
      <c r="G3"/>
      <c r="H3"/>
      <c r="I3"/>
    </row>
    <row r="4" spans="1:9" ht="15" thickBot="1">
      <c r="A4" s="186"/>
      <c r="C4" s="659" t="str">
        <f>IF(Indice_index!$Z$1=1,"P001 - Órgãos de Soberania","P001 - Sovereignty Entities")</f>
        <v>P001 - Sovereignty Entities</v>
      </c>
    </row>
    <row r="5" spans="1:9">
      <c r="A5" s="186"/>
      <c r="C5" s="660" t="s">
        <v>498</v>
      </c>
    </row>
    <row r="6" spans="1:9">
      <c r="A6" s="186"/>
      <c r="C6" s="660" t="s">
        <v>497</v>
      </c>
    </row>
    <row r="7" spans="1:9">
      <c r="A7" s="186"/>
      <c r="C7" s="660" t="s">
        <v>496</v>
      </c>
    </row>
    <row r="8" spans="1:9">
      <c r="A8" s="186"/>
      <c r="C8" s="660" t="s">
        <v>495</v>
      </c>
    </row>
    <row r="9" spans="1:9">
      <c r="A9" s="186"/>
      <c r="C9" s="660" t="s">
        <v>494</v>
      </c>
    </row>
    <row r="10" spans="1:9">
      <c r="A10" s="186"/>
      <c r="C10" s="660" t="s">
        <v>493</v>
      </c>
    </row>
    <row r="11" spans="1:9">
      <c r="A11" s="186"/>
      <c r="C11" s="660" t="s">
        <v>492</v>
      </c>
    </row>
    <row r="12" spans="1:9">
      <c r="A12" s="186"/>
      <c r="C12" s="660" t="s">
        <v>491</v>
      </c>
    </row>
    <row r="13" spans="1:9">
      <c r="A13" s="186"/>
      <c r="C13" s="660" t="s">
        <v>490</v>
      </c>
    </row>
    <row r="14" spans="1:9">
      <c r="A14" s="186"/>
      <c r="C14" s="660" t="s">
        <v>489</v>
      </c>
    </row>
    <row r="15" spans="1:9">
      <c r="A15" s="186"/>
      <c r="C15" s="660" t="s">
        <v>488</v>
      </c>
    </row>
    <row r="16" spans="1:9">
      <c r="A16" s="186"/>
      <c r="C16" s="660" t="s">
        <v>487</v>
      </c>
    </row>
    <row r="17" spans="1:3">
      <c r="A17" s="186"/>
      <c r="C17" s="660" t="s">
        <v>486</v>
      </c>
    </row>
    <row r="18" spans="1:3">
      <c r="A18" s="186"/>
      <c r="C18" s="660" t="s">
        <v>505</v>
      </c>
    </row>
    <row r="19" spans="1:3">
      <c r="A19" s="186"/>
      <c r="C19" s="660" t="s">
        <v>506</v>
      </c>
    </row>
    <row r="20" spans="1:3">
      <c r="A20" s="186"/>
      <c r="C20" s="660" t="s">
        <v>485</v>
      </c>
    </row>
    <row r="21" spans="1:3">
      <c r="A21" s="186"/>
      <c r="C21" s="660" t="s">
        <v>484</v>
      </c>
    </row>
    <row r="22" spans="1:3">
      <c r="A22" s="186"/>
      <c r="C22" s="660" t="s">
        <v>483</v>
      </c>
    </row>
    <row r="23" spans="1:3">
      <c r="A23" s="186"/>
      <c r="C23" s="660" t="s">
        <v>482</v>
      </c>
    </row>
    <row r="24" spans="1:3">
      <c r="A24" s="186"/>
      <c r="C24" s="660" t="s">
        <v>481</v>
      </c>
    </row>
    <row r="25" spans="1:3">
      <c r="A25" s="186"/>
      <c r="C25" s="660" t="s">
        <v>480</v>
      </c>
    </row>
    <row r="26" spans="1:3">
      <c r="A26" s="186"/>
      <c r="C26" s="660" t="s">
        <v>479</v>
      </c>
    </row>
    <row r="27" spans="1:3">
      <c r="A27" s="186"/>
      <c r="C27" s="660" t="s">
        <v>478</v>
      </c>
    </row>
    <row r="28" spans="1:3">
      <c r="A28" s="186"/>
      <c r="C28" s="660" t="s">
        <v>477</v>
      </c>
    </row>
    <row r="29" spans="1:3">
      <c r="A29" s="186"/>
      <c r="C29" s="660" t="s">
        <v>476</v>
      </c>
    </row>
    <row r="30" spans="1:3" ht="15" thickBot="1">
      <c r="A30" s="186"/>
      <c r="C30" s="659" t="str">
        <f>IF(Indice_index!$Z$1=1,"P002 - Governação","P002 - Government")</f>
        <v>P002 - Government</v>
      </c>
    </row>
    <row r="31" spans="1:3">
      <c r="A31" s="186"/>
      <c r="C31" s="660" t="s">
        <v>282</v>
      </c>
    </row>
    <row r="32" spans="1:3">
      <c r="A32" s="186"/>
      <c r="C32" s="660" t="s">
        <v>507</v>
      </c>
    </row>
    <row r="33" spans="1:3">
      <c r="A33" s="186"/>
      <c r="C33" s="660" t="s">
        <v>475</v>
      </c>
    </row>
    <row r="34" spans="1:3">
      <c r="A34" s="186"/>
      <c r="C34" s="660" t="s">
        <v>474</v>
      </c>
    </row>
    <row r="35" spans="1:3">
      <c r="A35" s="186"/>
      <c r="C35" s="660" t="s">
        <v>508</v>
      </c>
    </row>
    <row r="36" spans="1:3">
      <c r="A36" s="186"/>
      <c r="C36" s="660" t="s">
        <v>509</v>
      </c>
    </row>
    <row r="37" spans="1:3">
      <c r="A37" s="186"/>
      <c r="C37" s="660" t="s">
        <v>510</v>
      </c>
    </row>
    <row r="38" spans="1:3">
      <c r="A38" s="186"/>
      <c r="C38" s="660" t="s">
        <v>473</v>
      </c>
    </row>
    <row r="39" spans="1:3">
      <c r="A39" s="186"/>
      <c r="C39" s="660" t="s">
        <v>472</v>
      </c>
    </row>
    <row r="40" spans="1:3">
      <c r="A40" s="186"/>
      <c r="C40" s="660" t="s">
        <v>471</v>
      </c>
    </row>
    <row r="41" spans="1:3">
      <c r="A41" s="96"/>
      <c r="C41" s="660" t="s">
        <v>470</v>
      </c>
    </row>
    <row r="42" spans="1:3">
      <c r="A42" s="96"/>
      <c r="C42" s="660" t="s">
        <v>469</v>
      </c>
    </row>
    <row r="43" spans="1:3">
      <c r="A43" s="96"/>
      <c r="C43" s="660" t="s">
        <v>511</v>
      </c>
    </row>
    <row r="44" spans="1:3">
      <c r="A44" s="96"/>
      <c r="C44" s="660" t="s">
        <v>468</v>
      </c>
    </row>
    <row r="45" spans="1:3">
      <c r="A45" s="96"/>
      <c r="C45" s="660" t="s">
        <v>512</v>
      </c>
    </row>
    <row r="46" spans="1:3">
      <c r="A46" s="186"/>
      <c r="C46" s="660" t="s">
        <v>150</v>
      </c>
    </row>
    <row r="47" spans="1:3">
      <c r="A47" s="186"/>
      <c r="C47" s="660" t="s">
        <v>268</v>
      </c>
    </row>
    <row r="48" spans="1:3">
      <c r="A48" s="186"/>
      <c r="C48" s="660" t="s">
        <v>466</v>
      </c>
    </row>
    <row r="49" spans="1:3">
      <c r="A49" s="53"/>
      <c r="C49" s="660" t="s">
        <v>465</v>
      </c>
    </row>
    <row r="50" spans="1:3">
      <c r="A50" s="186"/>
      <c r="C50" s="660" t="s">
        <v>464</v>
      </c>
    </row>
    <row r="51" spans="1:3">
      <c r="A51" s="186"/>
      <c r="C51" s="660" t="s">
        <v>513</v>
      </c>
    </row>
    <row r="52" spans="1:3">
      <c r="A52" s="186"/>
      <c r="C52" s="660" t="s">
        <v>463</v>
      </c>
    </row>
    <row r="53" spans="1:3">
      <c r="A53" s="186"/>
      <c r="C53" s="660" t="s">
        <v>462</v>
      </c>
    </row>
    <row r="54" spans="1:3">
      <c r="A54" s="186"/>
      <c r="C54" s="660" t="s">
        <v>461</v>
      </c>
    </row>
    <row r="55" spans="1:3">
      <c r="A55" s="186"/>
      <c r="C55" s="660" t="s">
        <v>460</v>
      </c>
    </row>
    <row r="56" spans="1:3">
      <c r="A56" s="186"/>
      <c r="C56" s="660" t="s">
        <v>467</v>
      </c>
    </row>
    <row r="57" spans="1:3">
      <c r="A57" s="498"/>
      <c r="C57" s="660" t="s">
        <v>459</v>
      </c>
    </row>
    <row r="58" spans="1:3">
      <c r="A58" s="423"/>
      <c r="C58" s="660" t="s">
        <v>514</v>
      </c>
    </row>
    <row r="59" spans="1:3">
      <c r="A59" s="423"/>
      <c r="C59" s="660" t="s">
        <v>515</v>
      </c>
    </row>
    <row r="60" spans="1:3">
      <c r="A60" s="498"/>
      <c r="C60" s="660" t="s">
        <v>458</v>
      </c>
    </row>
    <row r="61" spans="1:3">
      <c r="A61" s="186"/>
      <c r="C61" s="660" t="s">
        <v>457</v>
      </c>
    </row>
    <row r="62" spans="1:3">
      <c r="A62" s="186"/>
      <c r="C62" s="660" t="s">
        <v>456</v>
      </c>
    </row>
    <row r="63" spans="1:3" ht="15" thickBot="1">
      <c r="A63" s="186"/>
      <c r="C63" s="659" t="str">
        <f>IF(Indice_index!$Z$1=1,"P003 - Representação Externa","P003 - Foreign Affairs")</f>
        <v>P003 - Foreign Affairs</v>
      </c>
    </row>
    <row r="64" spans="1:3">
      <c r="A64" s="186"/>
      <c r="C64" s="660" t="s">
        <v>516</v>
      </c>
    </row>
    <row r="65" spans="1:3">
      <c r="A65" s="186"/>
      <c r="C65" s="660" t="s">
        <v>517</v>
      </c>
    </row>
    <row r="66" spans="1:3">
      <c r="A66" s="186"/>
      <c r="C66" s="660" t="s">
        <v>442</v>
      </c>
    </row>
    <row r="67" spans="1:3">
      <c r="A67" s="186"/>
      <c r="C67" s="660" t="s">
        <v>441</v>
      </c>
    </row>
    <row r="68" spans="1:3">
      <c r="A68" s="186"/>
      <c r="C68" s="660" t="s">
        <v>518</v>
      </c>
    </row>
    <row r="69" spans="1:3" ht="15" thickBot="1">
      <c r="A69" s="186"/>
      <c r="C69" s="659" t="str">
        <f>IF(Indice_index!$Z$1=1,"P004 - Defesa","P004 - Defence")</f>
        <v>P004 - Defence</v>
      </c>
    </row>
    <row r="70" spans="1:3">
      <c r="A70" s="186"/>
      <c r="C70" s="660" t="s">
        <v>519</v>
      </c>
    </row>
    <row r="71" spans="1:3">
      <c r="A71" s="186"/>
      <c r="C71" s="660" t="s">
        <v>520</v>
      </c>
    </row>
    <row r="72" spans="1:3">
      <c r="A72" s="186"/>
      <c r="C72" s="660" t="s">
        <v>521</v>
      </c>
    </row>
    <row r="73" spans="1:3">
      <c r="A73" s="186"/>
      <c r="C73" s="660" t="s">
        <v>416</v>
      </c>
    </row>
    <row r="74" spans="1:3">
      <c r="A74" s="186"/>
      <c r="C74" s="660" t="s">
        <v>415</v>
      </c>
    </row>
    <row r="75" spans="1:3">
      <c r="A75" s="186"/>
      <c r="C75" s="660" t="s">
        <v>522</v>
      </c>
    </row>
    <row r="76" spans="1:3">
      <c r="A76" s="186"/>
      <c r="C76" s="660" t="s">
        <v>414</v>
      </c>
    </row>
    <row r="77" spans="1:3">
      <c r="A77" s="186"/>
      <c r="C77" s="660" t="s">
        <v>523</v>
      </c>
    </row>
    <row r="78" spans="1:3">
      <c r="A78" s="186"/>
      <c r="C78" s="660" t="s">
        <v>524</v>
      </c>
    </row>
    <row r="79" spans="1:3">
      <c r="A79" s="186"/>
      <c r="C79" s="660" t="s">
        <v>525</v>
      </c>
    </row>
    <row r="80" spans="1:3">
      <c r="A80" s="186"/>
      <c r="C80" s="660" t="s">
        <v>526</v>
      </c>
    </row>
    <row r="81" spans="1:3">
      <c r="A81" s="186"/>
      <c r="C81" s="660" t="s">
        <v>413</v>
      </c>
    </row>
    <row r="82" spans="1:3">
      <c r="A82" s="186"/>
      <c r="C82" s="660" t="s">
        <v>412</v>
      </c>
    </row>
    <row r="83" spans="1:3">
      <c r="A83" s="186"/>
      <c r="C83" s="660" t="s">
        <v>527</v>
      </c>
    </row>
    <row r="84" spans="1:3">
      <c r="A84" s="186"/>
      <c r="C84" s="660" t="s">
        <v>411</v>
      </c>
    </row>
    <row r="85" spans="1:3">
      <c r="A85" s="186"/>
      <c r="C85" s="660" t="s">
        <v>410</v>
      </c>
    </row>
    <row r="86" spans="1:3">
      <c r="A86" s="186"/>
      <c r="C86" s="660" t="s">
        <v>528</v>
      </c>
    </row>
    <row r="87" spans="1:3" ht="15" thickBot="1">
      <c r="A87" s="186"/>
      <c r="C87" s="659" t="str">
        <f>IF(Indice_index!$Z$1=1,"P005 - Segurança Interna","P005 - Internal Security")</f>
        <v>P005 - Internal Security</v>
      </c>
    </row>
    <row r="88" spans="1:3">
      <c r="A88" s="186"/>
      <c r="C88" s="660" t="s">
        <v>529</v>
      </c>
    </row>
    <row r="89" spans="1:3">
      <c r="A89" s="186"/>
      <c r="C89" s="660" t="s">
        <v>409</v>
      </c>
    </row>
    <row r="90" spans="1:3">
      <c r="A90" s="186"/>
      <c r="C90" s="660" t="s">
        <v>408</v>
      </c>
    </row>
    <row r="91" spans="1:3">
      <c r="A91" s="186"/>
      <c r="C91" s="660" t="s">
        <v>407</v>
      </c>
    </row>
    <row r="92" spans="1:3">
      <c r="A92" s="186"/>
      <c r="C92" s="660" t="s">
        <v>406</v>
      </c>
    </row>
    <row r="93" spans="1:3">
      <c r="A93" s="186"/>
      <c r="C93" s="660" t="s">
        <v>405</v>
      </c>
    </row>
    <row r="94" spans="1:3">
      <c r="A94" s="186"/>
      <c r="C94" s="660" t="s">
        <v>530</v>
      </c>
    </row>
    <row r="95" spans="1:3">
      <c r="A95" s="186"/>
      <c r="C95" s="660" t="s">
        <v>404</v>
      </c>
    </row>
    <row r="96" spans="1:3">
      <c r="A96" s="186"/>
      <c r="C96" s="660" t="s">
        <v>531</v>
      </c>
    </row>
    <row r="97" spans="1:3">
      <c r="A97" s="186"/>
      <c r="C97" s="660" t="s">
        <v>403</v>
      </c>
    </row>
    <row r="98" spans="1:3">
      <c r="A98" s="186"/>
      <c r="C98" s="660" t="s">
        <v>402</v>
      </c>
    </row>
    <row r="99" spans="1:3">
      <c r="A99" s="186"/>
      <c r="C99" s="660" t="s">
        <v>401</v>
      </c>
    </row>
    <row r="100" spans="1:3">
      <c r="A100" s="186"/>
      <c r="C100" s="660" t="s">
        <v>532</v>
      </c>
    </row>
    <row r="101" spans="1:3" ht="15" thickBot="1">
      <c r="A101" s="186"/>
      <c r="C101" s="659" t="str">
        <f>IF(Indice_index!$Z$1=1,"P006 - Justiça","P006 - Justice")</f>
        <v>P006 - Justice</v>
      </c>
    </row>
    <row r="102" spans="1:3">
      <c r="A102" s="186"/>
      <c r="C102" s="660" t="s">
        <v>400</v>
      </c>
    </row>
    <row r="103" spans="1:3">
      <c r="A103" s="186"/>
      <c r="C103" s="660" t="s">
        <v>533</v>
      </c>
    </row>
    <row r="104" spans="1:3">
      <c r="A104" s="186"/>
      <c r="C104" s="660" t="s">
        <v>399</v>
      </c>
    </row>
    <row r="105" spans="1:3">
      <c r="A105" s="186"/>
      <c r="C105" s="660" t="s">
        <v>534</v>
      </c>
    </row>
    <row r="106" spans="1:3">
      <c r="A106" s="186"/>
      <c r="C106" s="660" t="s">
        <v>535</v>
      </c>
    </row>
    <row r="107" spans="1:3">
      <c r="A107" s="186"/>
      <c r="C107" s="660" t="s">
        <v>536</v>
      </c>
    </row>
    <row r="108" spans="1:3">
      <c r="A108" s="186"/>
      <c r="C108" s="660" t="s">
        <v>537</v>
      </c>
    </row>
    <row r="109" spans="1:3">
      <c r="A109" s="186"/>
      <c r="C109" s="660" t="s">
        <v>538</v>
      </c>
    </row>
    <row r="110" spans="1:3">
      <c r="A110" s="186"/>
      <c r="C110" s="660" t="s">
        <v>539</v>
      </c>
    </row>
    <row r="111" spans="1:3">
      <c r="A111" s="186"/>
      <c r="C111" s="660" t="s">
        <v>398</v>
      </c>
    </row>
    <row r="112" spans="1:3">
      <c r="A112" s="186"/>
      <c r="C112" s="660" t="s">
        <v>540</v>
      </c>
    </row>
    <row r="113" spans="1:3">
      <c r="A113" s="186"/>
      <c r="C113" s="660" t="s">
        <v>541</v>
      </c>
    </row>
    <row r="114" spans="1:3">
      <c r="A114" s="186"/>
      <c r="C114" s="660" t="s">
        <v>542</v>
      </c>
    </row>
    <row r="115" spans="1:3">
      <c r="A115" s="186"/>
      <c r="C115" s="660" t="s">
        <v>397</v>
      </c>
    </row>
    <row r="116" spans="1:3">
      <c r="A116" s="186"/>
      <c r="C116" s="660" t="s">
        <v>543</v>
      </c>
    </row>
    <row r="117" spans="1:3">
      <c r="A117" s="186"/>
      <c r="C117" s="660" t="s">
        <v>396</v>
      </c>
    </row>
    <row r="118" spans="1:3">
      <c r="A118" s="186"/>
      <c r="C118" s="660" t="s">
        <v>395</v>
      </c>
    </row>
    <row r="119" spans="1:3">
      <c r="A119" s="186"/>
      <c r="C119" s="660" t="s">
        <v>394</v>
      </c>
    </row>
    <row r="120" spans="1:3">
      <c r="A120" s="186"/>
      <c r="C120" s="660" t="s">
        <v>393</v>
      </c>
    </row>
    <row r="121" spans="1:3">
      <c r="A121" s="186"/>
      <c r="C121" s="660" t="s">
        <v>392</v>
      </c>
    </row>
    <row r="122" spans="1:3">
      <c r="A122" s="186"/>
      <c r="C122" s="660" t="s">
        <v>391</v>
      </c>
    </row>
    <row r="123" spans="1:3">
      <c r="A123" s="186"/>
      <c r="C123" s="660" t="s">
        <v>390</v>
      </c>
    </row>
    <row r="124" spans="1:3" ht="15" thickBot="1">
      <c r="A124" s="186"/>
      <c r="C124" s="659" t="str">
        <f>IF(Indice_index!$Z$1=1,"P007 - Finanças","P007 - Finance and Public Administration")</f>
        <v>P007 - Finance and Public Administration</v>
      </c>
    </row>
    <row r="125" spans="1:3">
      <c r="A125" s="186"/>
      <c r="C125" s="660" t="s">
        <v>547</v>
      </c>
    </row>
    <row r="126" spans="1:3">
      <c r="A126" s="186"/>
      <c r="C126" s="660" t="s">
        <v>548</v>
      </c>
    </row>
    <row r="127" spans="1:3">
      <c r="A127" s="186"/>
      <c r="C127" s="660" t="s">
        <v>440</v>
      </c>
    </row>
    <row r="128" spans="1:3">
      <c r="A128" s="186"/>
      <c r="C128" s="660" t="s">
        <v>439</v>
      </c>
    </row>
    <row r="129" spans="1:4">
      <c r="A129" s="186"/>
      <c r="C129" s="660" t="s">
        <v>438</v>
      </c>
    </row>
    <row r="130" spans="1:4">
      <c r="A130" s="186"/>
      <c r="C130" s="660" t="s">
        <v>437</v>
      </c>
    </row>
    <row r="131" spans="1:4">
      <c r="A131" s="186"/>
      <c r="C131" s="660" t="s">
        <v>436</v>
      </c>
    </row>
    <row r="132" spans="1:4">
      <c r="A132" s="186"/>
      <c r="C132" s="660" t="s">
        <v>435</v>
      </c>
    </row>
    <row r="133" spans="1:4">
      <c r="A133" s="186"/>
      <c r="C133" s="660" t="s">
        <v>544</v>
      </c>
    </row>
    <row r="134" spans="1:4">
      <c r="A134" s="186"/>
      <c r="C134" s="660" t="s">
        <v>549</v>
      </c>
    </row>
    <row r="135" spans="1:4">
      <c r="A135" s="186"/>
      <c r="C135" s="660" t="s">
        <v>434</v>
      </c>
      <c r="D135" s="246"/>
    </row>
    <row r="136" spans="1:4">
      <c r="A136" s="186"/>
      <c r="C136" s="660" t="s">
        <v>433</v>
      </c>
    </row>
    <row r="137" spans="1:4">
      <c r="A137" s="186"/>
      <c r="C137" s="660" t="s">
        <v>432</v>
      </c>
    </row>
    <row r="138" spans="1:4">
      <c r="A138" s="186"/>
      <c r="C138" s="660" t="s">
        <v>431</v>
      </c>
    </row>
    <row r="139" spans="1:4">
      <c r="A139" s="186"/>
      <c r="C139" s="660" t="s">
        <v>430</v>
      </c>
    </row>
    <row r="140" spans="1:4">
      <c r="A140" s="186"/>
      <c r="C140" s="660" t="s">
        <v>429</v>
      </c>
    </row>
    <row r="141" spans="1:4">
      <c r="A141" s="186"/>
      <c r="C141" s="660" t="s">
        <v>428</v>
      </c>
    </row>
    <row r="142" spans="1:4">
      <c r="A142" s="186"/>
      <c r="C142" s="660" t="s">
        <v>427</v>
      </c>
    </row>
    <row r="143" spans="1:4">
      <c r="A143" s="186"/>
      <c r="C143" s="660" t="s">
        <v>426</v>
      </c>
    </row>
    <row r="144" spans="1:4">
      <c r="A144" s="186"/>
      <c r="C144" s="660" t="s">
        <v>550</v>
      </c>
      <c r="D144" s="246"/>
    </row>
    <row r="145" spans="1:3">
      <c r="A145" s="186"/>
      <c r="C145" s="660" t="s">
        <v>425</v>
      </c>
    </row>
    <row r="146" spans="1:3">
      <c r="A146" s="186"/>
      <c r="C146" s="660" t="s">
        <v>424</v>
      </c>
    </row>
    <row r="147" spans="1:3">
      <c r="A147" s="186"/>
      <c r="C147" s="660" t="s">
        <v>423</v>
      </c>
    </row>
    <row r="148" spans="1:3">
      <c r="A148" s="186"/>
      <c r="C148" s="660" t="s">
        <v>545</v>
      </c>
    </row>
    <row r="149" spans="1:3">
      <c r="A149" s="186"/>
      <c r="C149" s="660" t="s">
        <v>546</v>
      </c>
    </row>
    <row r="150" spans="1:3">
      <c r="A150" s="186"/>
      <c r="C150" s="660" t="s">
        <v>596</v>
      </c>
    </row>
    <row r="151" spans="1:3">
      <c r="A151" s="186"/>
      <c r="C151" s="660" t="s">
        <v>422</v>
      </c>
    </row>
    <row r="152" spans="1:3">
      <c r="A152" s="186"/>
      <c r="C152" s="660" t="s">
        <v>551</v>
      </c>
    </row>
    <row r="153" spans="1:3">
      <c r="A153" s="186"/>
      <c r="C153" s="660" t="s">
        <v>421</v>
      </c>
    </row>
    <row r="154" spans="1:3">
      <c r="A154" s="186"/>
      <c r="C154" s="660" t="s">
        <v>420</v>
      </c>
    </row>
    <row r="155" spans="1:3">
      <c r="A155" s="186"/>
      <c r="C155" s="660" t="s">
        <v>419</v>
      </c>
    </row>
    <row r="156" spans="1:3">
      <c r="A156" s="186"/>
      <c r="C156" s="660" t="s">
        <v>418</v>
      </c>
    </row>
    <row r="157" spans="1:3">
      <c r="A157" s="186"/>
      <c r="C157" s="660" t="s">
        <v>552</v>
      </c>
    </row>
    <row r="158" spans="1:3" ht="15" thickBot="1">
      <c r="A158" s="186"/>
      <c r="C158" s="659" t="str">
        <f>IF(Indice_index!$Z$1=1,"P008 - Gestão Da Dívida Pública","P008 - Public Debt Management")</f>
        <v>P008 - Public Debt Management</v>
      </c>
    </row>
    <row r="159" spans="1:3">
      <c r="A159" s="186"/>
      <c r="C159" s="660" t="s">
        <v>417</v>
      </c>
    </row>
    <row r="160" spans="1:3" ht="15" thickBot="1">
      <c r="A160" s="186"/>
      <c r="C160" s="659" t="str">
        <f>IF(Indice_index!$Z$1=1,"P009 - Economia e Mar","P009 - Economy and Sea")</f>
        <v>P009 - Economy and Sea</v>
      </c>
    </row>
    <row r="161" spans="1:3">
      <c r="A161" s="186"/>
      <c r="C161" s="660" t="s">
        <v>577</v>
      </c>
    </row>
    <row r="162" spans="1:3">
      <c r="A162" s="186"/>
      <c r="C162" s="660" t="s">
        <v>554</v>
      </c>
    </row>
    <row r="163" spans="1:3">
      <c r="A163" s="186"/>
      <c r="C163" s="660" t="s">
        <v>555</v>
      </c>
    </row>
    <row r="164" spans="1:3">
      <c r="A164" s="186"/>
      <c r="C164" s="660" t="s">
        <v>99</v>
      </c>
    </row>
    <row r="165" spans="1:3">
      <c r="A165" s="186"/>
      <c r="C165" s="660" t="s">
        <v>556</v>
      </c>
    </row>
    <row r="166" spans="1:3">
      <c r="A166" s="186"/>
      <c r="C166" s="660" t="s">
        <v>455</v>
      </c>
    </row>
    <row r="167" spans="1:3">
      <c r="A167" s="186"/>
      <c r="C167" s="660" t="s">
        <v>97</v>
      </c>
    </row>
    <row r="168" spans="1:3">
      <c r="A168" s="186"/>
      <c r="C168" s="660" t="s">
        <v>557</v>
      </c>
    </row>
    <row r="169" spans="1:3">
      <c r="A169" s="186"/>
      <c r="C169" s="660" t="s">
        <v>96</v>
      </c>
    </row>
    <row r="170" spans="1:3">
      <c r="A170" s="186"/>
      <c r="C170" s="660" t="s">
        <v>454</v>
      </c>
    </row>
    <row r="171" spans="1:3">
      <c r="A171" s="186"/>
      <c r="C171" s="660" t="s">
        <v>453</v>
      </c>
    </row>
    <row r="172" spans="1:3">
      <c r="A172" s="186"/>
      <c r="C172" s="660" t="s">
        <v>558</v>
      </c>
    </row>
    <row r="173" spans="1:3">
      <c r="A173" s="186"/>
      <c r="C173" s="660" t="s">
        <v>452</v>
      </c>
    </row>
    <row r="174" spans="1:3">
      <c r="A174" s="186"/>
      <c r="C174" s="660" t="s">
        <v>451</v>
      </c>
    </row>
    <row r="175" spans="1:3">
      <c r="A175" s="186"/>
      <c r="C175" s="660" t="s">
        <v>559</v>
      </c>
    </row>
    <row r="176" spans="1:3">
      <c r="A176" s="186"/>
      <c r="C176" s="660" t="s">
        <v>450</v>
      </c>
    </row>
    <row r="177" spans="1:3">
      <c r="A177" s="186"/>
      <c r="C177" s="660" t="s">
        <v>449</v>
      </c>
    </row>
    <row r="178" spans="1:3">
      <c r="A178" s="186"/>
      <c r="C178" s="660" t="s">
        <v>448</v>
      </c>
    </row>
    <row r="179" spans="1:3">
      <c r="A179" s="186"/>
      <c r="C179" s="660" t="s">
        <v>553</v>
      </c>
    </row>
    <row r="180" spans="1:3">
      <c r="A180" s="186"/>
      <c r="C180" s="660" t="s">
        <v>560</v>
      </c>
    </row>
    <row r="181" spans="1:3">
      <c r="A181" s="186"/>
      <c r="C181" s="660" t="s">
        <v>561</v>
      </c>
    </row>
    <row r="182" spans="1:3">
      <c r="A182" s="186"/>
      <c r="C182" s="660" t="s">
        <v>562</v>
      </c>
    </row>
    <row r="183" spans="1:3">
      <c r="A183" s="186"/>
      <c r="C183" s="660" t="s">
        <v>563</v>
      </c>
    </row>
    <row r="184" spans="1:3">
      <c r="A184" s="186"/>
      <c r="C184" s="660" t="s">
        <v>564</v>
      </c>
    </row>
    <row r="185" spans="1:3">
      <c r="A185" s="186"/>
      <c r="C185" s="660" t="s">
        <v>447</v>
      </c>
    </row>
    <row r="186" spans="1:3">
      <c r="A186" s="186"/>
      <c r="C186" s="660" t="s">
        <v>446</v>
      </c>
    </row>
    <row r="187" spans="1:3">
      <c r="A187" s="186"/>
      <c r="C187" s="660" t="s">
        <v>445</v>
      </c>
    </row>
    <row r="188" spans="1:3">
      <c r="A188" s="186"/>
      <c r="C188" s="660" t="s">
        <v>444</v>
      </c>
    </row>
    <row r="189" spans="1:3">
      <c r="A189" s="186"/>
      <c r="C189" s="660" t="s">
        <v>443</v>
      </c>
    </row>
    <row r="190" spans="1:3" ht="15" thickBot="1">
      <c r="A190" s="186"/>
      <c r="B190" s="246"/>
      <c r="C190" s="659" t="str">
        <f>IF(Indice_index!$Z$1=1,"P010 - Cultura","P010 - Culture")</f>
        <v>P010 - Culture</v>
      </c>
    </row>
    <row r="191" spans="1:3">
      <c r="A191" s="186"/>
      <c r="C191" s="660" t="s">
        <v>389</v>
      </c>
    </row>
    <row r="192" spans="1:3">
      <c r="A192" s="186"/>
      <c r="C192" s="660" t="s">
        <v>388</v>
      </c>
    </row>
    <row r="193" spans="1:3">
      <c r="A193" s="186"/>
      <c r="C193" s="660" t="s">
        <v>383</v>
      </c>
    </row>
    <row r="194" spans="1:3">
      <c r="A194" s="186"/>
      <c r="C194" s="660" t="s">
        <v>387</v>
      </c>
    </row>
    <row r="195" spans="1:3">
      <c r="A195" s="186"/>
      <c r="C195" s="660" t="s">
        <v>386</v>
      </c>
    </row>
    <row r="196" spans="1:3">
      <c r="A196" s="186"/>
      <c r="C196" s="660" t="s">
        <v>385</v>
      </c>
    </row>
    <row r="197" spans="1:3">
      <c r="A197" s="186"/>
      <c r="C197" s="660" t="s">
        <v>384</v>
      </c>
    </row>
    <row r="198" spans="1:3">
      <c r="A198" s="186"/>
      <c r="C198" s="660" t="s">
        <v>382</v>
      </c>
    </row>
    <row r="199" spans="1:3">
      <c r="A199" s="186"/>
      <c r="C199" s="660" t="s">
        <v>381</v>
      </c>
    </row>
    <row r="200" spans="1:3">
      <c r="A200" s="186"/>
      <c r="C200" s="660" t="s">
        <v>380</v>
      </c>
    </row>
    <row r="201" spans="1:3">
      <c r="A201" s="186"/>
      <c r="C201" s="660" t="s">
        <v>379</v>
      </c>
    </row>
    <row r="202" spans="1:3">
      <c r="A202" s="186"/>
      <c r="C202" s="660" t="s">
        <v>378</v>
      </c>
    </row>
    <row r="203" spans="1:3">
      <c r="A203" s="186"/>
      <c r="C203" s="660" t="s">
        <v>377</v>
      </c>
    </row>
    <row r="204" spans="1:3">
      <c r="A204" s="186"/>
      <c r="C204" s="660" t="s">
        <v>376</v>
      </c>
    </row>
    <row r="205" spans="1:3">
      <c r="A205" s="186"/>
      <c r="C205" s="660" t="s">
        <v>375</v>
      </c>
    </row>
    <row r="206" spans="1:3">
      <c r="A206" s="186"/>
      <c r="C206" s="660" t="s">
        <v>374</v>
      </c>
    </row>
    <row r="207" spans="1:3">
      <c r="A207" s="186"/>
      <c r="C207" s="660" t="s">
        <v>373</v>
      </c>
    </row>
    <row r="208" spans="1:3" ht="15" thickBot="1">
      <c r="A208" s="186"/>
      <c r="C208" s="659" t="str">
        <f>IF(Indice_index!$Z$1=1,"P011 - Ciência, Tecnologia e Ensino Superior","P011 - Science and Higher Education")</f>
        <v>P011 - Science and Higher Education</v>
      </c>
    </row>
    <row r="209" spans="1:3">
      <c r="A209" s="186"/>
      <c r="C209" s="660" t="s">
        <v>372</v>
      </c>
    </row>
    <row r="210" spans="1:3">
      <c r="A210" s="186"/>
      <c r="C210" s="660" t="s">
        <v>371</v>
      </c>
    </row>
    <row r="211" spans="1:3">
      <c r="A211" s="186"/>
      <c r="C211" s="660" t="s">
        <v>370</v>
      </c>
    </row>
    <row r="212" spans="1:3">
      <c r="A212" s="186"/>
      <c r="C212" s="660" t="s">
        <v>369</v>
      </c>
    </row>
    <row r="213" spans="1:3">
      <c r="A213" s="186"/>
      <c r="C213" s="660" t="s">
        <v>368</v>
      </c>
    </row>
    <row r="214" spans="1:3">
      <c r="A214" s="186"/>
      <c r="C214" s="660" t="s">
        <v>367</v>
      </c>
    </row>
    <row r="215" spans="1:3">
      <c r="A215" s="186"/>
      <c r="C215" s="660" t="s">
        <v>366</v>
      </c>
    </row>
    <row r="216" spans="1:3">
      <c r="A216" s="186"/>
      <c r="C216" s="660" t="s">
        <v>365</v>
      </c>
    </row>
    <row r="217" spans="1:3">
      <c r="A217" s="186"/>
      <c r="C217" s="660" t="s">
        <v>364</v>
      </c>
    </row>
    <row r="218" spans="1:3">
      <c r="A218" s="186"/>
      <c r="C218" s="660" t="s">
        <v>363</v>
      </c>
    </row>
    <row r="219" spans="1:3">
      <c r="A219" s="186"/>
      <c r="C219" s="660" t="s">
        <v>362</v>
      </c>
    </row>
    <row r="220" spans="1:3">
      <c r="A220" s="186"/>
      <c r="C220" s="660" t="s">
        <v>361</v>
      </c>
    </row>
    <row r="221" spans="1:3">
      <c r="A221" s="186"/>
      <c r="C221" s="660" t="s">
        <v>360</v>
      </c>
    </row>
    <row r="222" spans="1:3">
      <c r="A222" s="186"/>
      <c r="C222" s="660" t="s">
        <v>359</v>
      </c>
    </row>
    <row r="223" spans="1:3">
      <c r="A223" s="186"/>
      <c r="C223" s="660" t="s">
        <v>358</v>
      </c>
    </row>
    <row r="224" spans="1:3">
      <c r="A224" s="186"/>
      <c r="C224" s="660" t="s">
        <v>565</v>
      </c>
    </row>
    <row r="225" spans="1:3">
      <c r="A225" s="186"/>
      <c r="C225" s="660" t="s">
        <v>357</v>
      </c>
    </row>
    <row r="226" spans="1:3">
      <c r="A226" s="186"/>
      <c r="C226" s="660" t="s">
        <v>356</v>
      </c>
    </row>
    <row r="227" spans="1:3">
      <c r="A227" s="186"/>
      <c r="C227" s="660" t="s">
        <v>355</v>
      </c>
    </row>
    <row r="228" spans="1:3">
      <c r="A228" s="186"/>
      <c r="C228" s="660" t="s">
        <v>354</v>
      </c>
    </row>
    <row r="229" spans="1:3">
      <c r="A229" s="186"/>
      <c r="C229" s="660" t="s">
        <v>353</v>
      </c>
    </row>
    <row r="230" spans="1:3">
      <c r="A230" s="186"/>
      <c r="C230" s="660" t="s">
        <v>352</v>
      </c>
    </row>
    <row r="231" spans="1:3">
      <c r="A231" s="186"/>
      <c r="C231" s="660" t="s">
        <v>351</v>
      </c>
    </row>
    <row r="232" spans="1:3">
      <c r="A232" s="186"/>
      <c r="C232" s="660" t="s">
        <v>350</v>
      </c>
    </row>
    <row r="233" spans="1:3">
      <c r="A233" s="186"/>
      <c r="C233" s="660" t="s">
        <v>349</v>
      </c>
    </row>
    <row r="234" spans="1:3">
      <c r="C234" s="660" t="s">
        <v>348</v>
      </c>
    </row>
    <row r="235" spans="1:3">
      <c r="C235" s="660" t="s">
        <v>347</v>
      </c>
    </row>
    <row r="236" spans="1:3">
      <c r="C236" s="660" t="s">
        <v>346</v>
      </c>
    </row>
    <row r="237" spans="1:3">
      <c r="C237" s="660" t="s">
        <v>345</v>
      </c>
    </row>
    <row r="238" spans="1:3">
      <c r="C238" s="660" t="s">
        <v>344</v>
      </c>
    </row>
    <row r="239" spans="1:3">
      <c r="C239" s="660" t="s">
        <v>343</v>
      </c>
    </row>
    <row r="240" spans="1:3">
      <c r="C240" s="660" t="s">
        <v>342</v>
      </c>
    </row>
    <row r="241" spans="3:3">
      <c r="C241" s="660" t="s">
        <v>341</v>
      </c>
    </row>
    <row r="242" spans="3:3">
      <c r="C242" s="660" t="s">
        <v>340</v>
      </c>
    </row>
    <row r="243" spans="3:3">
      <c r="C243" s="660" t="s">
        <v>566</v>
      </c>
    </row>
    <row r="244" spans="3:3">
      <c r="C244" s="660" t="s">
        <v>339</v>
      </c>
    </row>
    <row r="245" spans="3:3">
      <c r="C245" s="660" t="s">
        <v>338</v>
      </c>
    </row>
    <row r="246" spans="3:3">
      <c r="C246" s="660" t="s">
        <v>337</v>
      </c>
    </row>
    <row r="247" spans="3:3">
      <c r="C247" s="660" t="s">
        <v>336</v>
      </c>
    </row>
    <row r="248" spans="3:3">
      <c r="C248" s="660" t="s">
        <v>335</v>
      </c>
    </row>
    <row r="249" spans="3:3">
      <c r="C249" s="660" t="s">
        <v>334</v>
      </c>
    </row>
    <row r="250" spans="3:3">
      <c r="C250" s="660" t="s">
        <v>333</v>
      </c>
    </row>
    <row r="251" spans="3:3">
      <c r="C251" s="660" t="s">
        <v>332</v>
      </c>
    </row>
    <row r="252" spans="3:3">
      <c r="C252" s="660" t="s">
        <v>331</v>
      </c>
    </row>
    <row r="253" spans="3:3">
      <c r="C253" s="660" t="s">
        <v>330</v>
      </c>
    </row>
    <row r="254" spans="3:3">
      <c r="C254" s="660" t="s">
        <v>329</v>
      </c>
    </row>
    <row r="255" spans="3:3">
      <c r="C255" s="660" t="s">
        <v>328</v>
      </c>
    </row>
    <row r="256" spans="3:3">
      <c r="C256" s="660" t="s">
        <v>327</v>
      </c>
    </row>
    <row r="257" spans="3:3">
      <c r="C257" s="660" t="s">
        <v>326</v>
      </c>
    </row>
    <row r="258" spans="3:3">
      <c r="C258" s="660" t="s">
        <v>325</v>
      </c>
    </row>
    <row r="259" spans="3:3">
      <c r="C259" s="660" t="s">
        <v>324</v>
      </c>
    </row>
    <row r="260" spans="3:3">
      <c r="C260" s="660" t="s">
        <v>323</v>
      </c>
    </row>
    <row r="261" spans="3:3">
      <c r="C261" s="660" t="s">
        <v>322</v>
      </c>
    </row>
    <row r="262" spans="3:3">
      <c r="C262" s="660" t="s">
        <v>321</v>
      </c>
    </row>
    <row r="263" spans="3:3">
      <c r="C263" s="660" t="s">
        <v>320</v>
      </c>
    </row>
    <row r="264" spans="3:3">
      <c r="C264" s="660" t="s">
        <v>319</v>
      </c>
    </row>
    <row r="265" spans="3:3">
      <c r="C265" s="660" t="s">
        <v>318</v>
      </c>
    </row>
    <row r="266" spans="3:3">
      <c r="C266" s="660" t="s">
        <v>317</v>
      </c>
    </row>
    <row r="267" spans="3:3">
      <c r="C267" s="660" t="s">
        <v>316</v>
      </c>
    </row>
    <row r="268" spans="3:3">
      <c r="C268" s="660" t="s">
        <v>578</v>
      </c>
    </row>
    <row r="269" spans="3:3">
      <c r="C269" s="660" t="s">
        <v>315</v>
      </c>
    </row>
    <row r="270" spans="3:3">
      <c r="C270" s="660" t="s">
        <v>314</v>
      </c>
    </row>
    <row r="271" spans="3:3">
      <c r="C271" s="660" t="s">
        <v>313</v>
      </c>
    </row>
    <row r="272" spans="3:3">
      <c r="C272" s="660" t="s">
        <v>312</v>
      </c>
    </row>
    <row r="273" spans="3:3">
      <c r="C273" s="660" t="s">
        <v>311</v>
      </c>
    </row>
    <row r="274" spans="3:3">
      <c r="C274" s="660" t="s">
        <v>310</v>
      </c>
    </row>
    <row r="275" spans="3:3">
      <c r="C275" s="660" t="s">
        <v>309</v>
      </c>
    </row>
    <row r="276" spans="3:3">
      <c r="C276" s="660" t="s">
        <v>308</v>
      </c>
    </row>
    <row r="277" spans="3:3">
      <c r="C277" s="660" t="s">
        <v>307</v>
      </c>
    </row>
    <row r="278" spans="3:3">
      <c r="C278" s="660" t="s">
        <v>306</v>
      </c>
    </row>
    <row r="279" spans="3:3">
      <c r="C279" s="660" t="s">
        <v>305</v>
      </c>
    </row>
    <row r="280" spans="3:3">
      <c r="C280" s="660" t="s">
        <v>304</v>
      </c>
    </row>
    <row r="281" spans="3:3">
      <c r="C281" s="660" t="s">
        <v>303</v>
      </c>
    </row>
    <row r="282" spans="3:3">
      <c r="C282" s="660" t="s">
        <v>302</v>
      </c>
    </row>
    <row r="283" spans="3:3">
      <c r="C283" s="660" t="s">
        <v>301</v>
      </c>
    </row>
    <row r="284" spans="3:3">
      <c r="C284" s="660" t="s">
        <v>300</v>
      </c>
    </row>
    <row r="285" spans="3:3">
      <c r="C285" s="660" t="s">
        <v>299</v>
      </c>
    </row>
    <row r="286" spans="3:3">
      <c r="C286" s="660" t="s">
        <v>298</v>
      </c>
    </row>
    <row r="287" spans="3:3">
      <c r="C287" s="660" t="s">
        <v>297</v>
      </c>
    </row>
    <row r="288" spans="3:3">
      <c r="C288" s="660" t="s">
        <v>296</v>
      </c>
    </row>
    <row r="289" spans="3:3">
      <c r="C289" s="660" t="s">
        <v>295</v>
      </c>
    </row>
    <row r="290" spans="3:3">
      <c r="C290" s="660" t="s">
        <v>294</v>
      </c>
    </row>
    <row r="291" spans="3:3">
      <c r="C291" s="660" t="s">
        <v>293</v>
      </c>
    </row>
    <row r="292" spans="3:3">
      <c r="C292" s="660" t="s">
        <v>292</v>
      </c>
    </row>
    <row r="293" spans="3:3">
      <c r="C293" s="660" t="s">
        <v>291</v>
      </c>
    </row>
    <row r="294" spans="3:3">
      <c r="C294" s="660" t="s">
        <v>290</v>
      </c>
    </row>
    <row r="295" spans="3:3">
      <c r="C295" s="660" t="s">
        <v>289</v>
      </c>
    </row>
    <row r="296" spans="3:3">
      <c r="C296" s="660" t="s">
        <v>288</v>
      </c>
    </row>
    <row r="297" spans="3:3">
      <c r="C297" s="660" t="s">
        <v>287</v>
      </c>
    </row>
    <row r="298" spans="3:3">
      <c r="C298" s="660" t="s">
        <v>286</v>
      </c>
    </row>
    <row r="299" spans="3:3">
      <c r="C299" s="660" t="s">
        <v>285</v>
      </c>
    </row>
    <row r="300" spans="3:3">
      <c r="C300" s="660" t="s">
        <v>284</v>
      </c>
    </row>
    <row r="301" spans="3:3" ht="15" thickBot="1">
      <c r="C301" s="659" t="str">
        <f>IF(Indice_index!$Z$1=1,"P012 - Ensino Básico e Secundário e Administração Escolar","P012 - Basic and Secondary Education and School Administration")</f>
        <v>P012 - Basic and Secondary Education and School Administration</v>
      </c>
    </row>
    <row r="302" spans="3:3">
      <c r="C302" s="660" t="s">
        <v>283</v>
      </c>
    </row>
    <row r="303" spans="3:3">
      <c r="C303" s="660" t="s">
        <v>281</v>
      </c>
    </row>
    <row r="304" spans="3:3">
      <c r="C304" s="660" t="s">
        <v>280</v>
      </c>
    </row>
    <row r="305" spans="3:3">
      <c r="C305" s="660" t="s">
        <v>279</v>
      </c>
    </row>
    <row r="306" spans="3:3">
      <c r="C306" s="660" t="s">
        <v>278</v>
      </c>
    </row>
    <row r="307" spans="3:3">
      <c r="C307" s="660" t="s">
        <v>277</v>
      </c>
    </row>
    <row r="308" spans="3:3">
      <c r="C308" s="660" t="s">
        <v>276</v>
      </c>
    </row>
    <row r="309" spans="3:3">
      <c r="C309" s="660" t="s">
        <v>275</v>
      </c>
    </row>
    <row r="310" spans="3:3">
      <c r="C310" s="660" t="s">
        <v>274</v>
      </c>
    </row>
    <row r="311" spans="3:3">
      <c r="C311" s="660" t="s">
        <v>273</v>
      </c>
    </row>
    <row r="312" spans="3:3">
      <c r="C312" s="660" t="s">
        <v>272</v>
      </c>
    </row>
    <row r="313" spans="3:3">
      <c r="C313" s="660" t="s">
        <v>271</v>
      </c>
    </row>
    <row r="314" spans="3:3">
      <c r="C314" s="660" t="s">
        <v>270</v>
      </c>
    </row>
    <row r="315" spans="3:3">
      <c r="C315" s="660" t="s">
        <v>269</v>
      </c>
    </row>
    <row r="316" spans="3:3">
      <c r="C316" s="660" t="s">
        <v>267</v>
      </c>
    </row>
    <row r="317" spans="3:3">
      <c r="C317" s="660" t="s">
        <v>266</v>
      </c>
    </row>
    <row r="318" spans="3:3">
      <c r="C318" s="660" t="s">
        <v>265</v>
      </c>
    </row>
    <row r="319" spans="3:3">
      <c r="C319" s="660" t="s">
        <v>264</v>
      </c>
    </row>
    <row r="320" spans="3:3">
      <c r="C320" s="660" t="s">
        <v>263</v>
      </c>
    </row>
    <row r="321" spans="3:3" ht="15" thickBot="1">
      <c r="C321" s="659" t="str">
        <f>IF(Indice_index!$Z$1=1,"P013 - Trabalho, Solidariedade e Seg. Social","P013 - Work, Solidarity and Social Security")</f>
        <v>P013 - Work, Solidarity and Social Security</v>
      </c>
    </row>
    <row r="322" spans="3:3">
      <c r="C322" s="660" t="s">
        <v>262</v>
      </c>
    </row>
    <row r="323" spans="3:3">
      <c r="C323" s="660" t="s">
        <v>261</v>
      </c>
    </row>
    <row r="324" spans="3:3">
      <c r="C324" s="660" t="s">
        <v>260</v>
      </c>
    </row>
    <row r="325" spans="3:3">
      <c r="C325" s="660" t="s">
        <v>259</v>
      </c>
    </row>
    <row r="326" spans="3:3">
      <c r="C326" s="660" t="s">
        <v>258</v>
      </c>
    </row>
    <row r="327" spans="3:3">
      <c r="C327" s="660" t="s">
        <v>257</v>
      </c>
    </row>
    <row r="328" spans="3:3">
      <c r="C328" s="660" t="s">
        <v>256</v>
      </c>
    </row>
    <row r="329" spans="3:3">
      <c r="C329" s="660" t="s">
        <v>255</v>
      </c>
    </row>
    <row r="330" spans="3:3">
      <c r="C330" s="660" t="s">
        <v>254</v>
      </c>
    </row>
    <row r="331" spans="3:3">
      <c r="C331" s="660" t="s">
        <v>253</v>
      </c>
    </row>
    <row r="332" spans="3:3">
      <c r="C332" s="660" t="s">
        <v>252</v>
      </c>
    </row>
    <row r="333" spans="3:3">
      <c r="C333" s="660" t="s">
        <v>251</v>
      </c>
    </row>
    <row r="334" spans="3:3">
      <c r="C334" s="660" t="s">
        <v>250</v>
      </c>
    </row>
    <row r="335" spans="3:3">
      <c r="C335" s="660" t="s">
        <v>249</v>
      </c>
    </row>
    <row r="336" spans="3:3">
      <c r="C336" s="660" t="s">
        <v>248</v>
      </c>
    </row>
    <row r="337" spans="3:3">
      <c r="C337" s="660" t="s">
        <v>247</v>
      </c>
    </row>
    <row r="338" spans="3:3">
      <c r="C338" s="660" t="s">
        <v>246</v>
      </c>
    </row>
    <row r="339" spans="3:3">
      <c r="C339" s="660" t="s">
        <v>245</v>
      </c>
    </row>
    <row r="340" spans="3:3">
      <c r="C340" s="660" t="s">
        <v>244</v>
      </c>
    </row>
    <row r="341" spans="3:3">
      <c r="C341" s="660" t="s">
        <v>243</v>
      </c>
    </row>
    <row r="342" spans="3:3">
      <c r="C342" s="660" t="s">
        <v>242</v>
      </c>
    </row>
    <row r="343" spans="3:3">
      <c r="C343" s="660" t="s">
        <v>241</v>
      </c>
    </row>
    <row r="344" spans="3:3">
      <c r="C344" s="660" t="s">
        <v>240</v>
      </c>
    </row>
    <row r="345" spans="3:3">
      <c r="C345" s="660" t="s">
        <v>239</v>
      </c>
    </row>
    <row r="346" spans="3:3">
      <c r="C346" s="660" t="s">
        <v>238</v>
      </c>
    </row>
    <row r="347" spans="3:3">
      <c r="C347" s="660" t="s">
        <v>237</v>
      </c>
    </row>
    <row r="348" spans="3:3">
      <c r="C348" s="660" t="s">
        <v>236</v>
      </c>
    </row>
    <row r="349" spans="3:3">
      <c r="C349" s="660" t="s">
        <v>235</v>
      </c>
    </row>
    <row r="350" spans="3:3">
      <c r="C350" s="660" t="s">
        <v>234</v>
      </c>
    </row>
    <row r="351" spans="3:3">
      <c r="C351" s="660" t="s">
        <v>233</v>
      </c>
    </row>
    <row r="352" spans="3:3">
      <c r="C352" s="660" t="s">
        <v>232</v>
      </c>
    </row>
    <row r="353" spans="3:3">
      <c r="C353" s="660" t="s">
        <v>231</v>
      </c>
    </row>
    <row r="354" spans="3:3">
      <c r="C354" s="660" t="s">
        <v>230</v>
      </c>
    </row>
    <row r="355" spans="3:3">
      <c r="C355" s="660" t="s">
        <v>229</v>
      </c>
    </row>
    <row r="356" spans="3:3">
      <c r="C356" s="660" t="s">
        <v>228</v>
      </c>
    </row>
    <row r="357" spans="3:3">
      <c r="C357" s="660" t="s">
        <v>227</v>
      </c>
    </row>
    <row r="358" spans="3:3">
      <c r="C358" s="660" t="s">
        <v>226</v>
      </c>
    </row>
    <row r="359" spans="3:3">
      <c r="C359" s="660" t="s">
        <v>225</v>
      </c>
    </row>
    <row r="360" spans="3:3">
      <c r="C360" s="660" t="s">
        <v>224</v>
      </c>
    </row>
    <row r="361" spans="3:3">
      <c r="C361" s="660" t="s">
        <v>223</v>
      </c>
    </row>
    <row r="362" spans="3:3">
      <c r="C362" s="660" t="s">
        <v>222</v>
      </c>
    </row>
    <row r="363" spans="3:3" ht="15" thickBot="1">
      <c r="C363" s="659" t="str">
        <f>IF(Indice_index!$Z$1=1,"P014 - Saúde","P014 - Health")</f>
        <v>P014 - Health</v>
      </c>
    </row>
    <row r="364" spans="3:3">
      <c r="C364" s="660" t="s">
        <v>221</v>
      </c>
    </row>
    <row r="365" spans="3:3">
      <c r="C365" s="660" t="s">
        <v>220</v>
      </c>
    </row>
    <row r="366" spans="3:3">
      <c r="C366" s="660" t="s">
        <v>219</v>
      </c>
    </row>
    <row r="367" spans="3:3">
      <c r="C367" s="660" t="s">
        <v>218</v>
      </c>
    </row>
    <row r="368" spans="3:3">
      <c r="C368" s="660" t="s">
        <v>217</v>
      </c>
    </row>
    <row r="369" spans="3:3">
      <c r="C369" s="660" t="s">
        <v>216</v>
      </c>
    </row>
    <row r="370" spans="3:3">
      <c r="C370" s="660" t="s">
        <v>215</v>
      </c>
    </row>
    <row r="371" spans="3:3">
      <c r="C371" s="660" t="s">
        <v>568</v>
      </c>
    </row>
    <row r="372" spans="3:3">
      <c r="C372" s="660" t="s">
        <v>214</v>
      </c>
    </row>
    <row r="373" spans="3:3">
      <c r="C373" s="660" t="s">
        <v>213</v>
      </c>
    </row>
    <row r="374" spans="3:3">
      <c r="C374" s="660" t="s">
        <v>212</v>
      </c>
    </row>
    <row r="375" spans="3:3">
      <c r="C375" s="660" t="s">
        <v>211</v>
      </c>
    </row>
    <row r="376" spans="3:3">
      <c r="C376" s="660" t="s">
        <v>210</v>
      </c>
    </row>
    <row r="377" spans="3:3">
      <c r="C377" s="660" t="s">
        <v>209</v>
      </c>
    </row>
    <row r="378" spans="3:3">
      <c r="C378" s="660" t="s">
        <v>208</v>
      </c>
    </row>
    <row r="379" spans="3:3">
      <c r="C379" s="660" t="s">
        <v>207</v>
      </c>
    </row>
    <row r="380" spans="3:3">
      <c r="C380" s="660" t="s">
        <v>206</v>
      </c>
    </row>
    <row r="381" spans="3:3">
      <c r="C381" s="660" t="s">
        <v>205</v>
      </c>
    </row>
    <row r="382" spans="3:3">
      <c r="C382" s="660" t="s">
        <v>204</v>
      </c>
    </row>
    <row r="383" spans="3:3">
      <c r="C383" s="660" t="s">
        <v>203</v>
      </c>
    </row>
    <row r="384" spans="3:3">
      <c r="C384" s="660" t="s">
        <v>202</v>
      </c>
    </row>
    <row r="385" spans="3:3">
      <c r="C385" s="660" t="s">
        <v>201</v>
      </c>
    </row>
    <row r="386" spans="3:3">
      <c r="C386" s="660" t="s">
        <v>200</v>
      </c>
    </row>
    <row r="387" spans="3:3">
      <c r="C387" s="660" t="s">
        <v>199</v>
      </c>
    </row>
    <row r="388" spans="3:3">
      <c r="C388" s="660" t="s">
        <v>567</v>
      </c>
    </row>
    <row r="389" spans="3:3">
      <c r="C389" s="660" t="s">
        <v>198</v>
      </c>
    </row>
    <row r="390" spans="3:3">
      <c r="C390" s="660" t="s">
        <v>197</v>
      </c>
    </row>
    <row r="391" spans="3:3">
      <c r="C391" s="660" t="s">
        <v>196</v>
      </c>
    </row>
    <row r="392" spans="3:3">
      <c r="C392" s="660" t="s">
        <v>195</v>
      </c>
    </row>
    <row r="393" spans="3:3">
      <c r="C393" s="660" t="s">
        <v>194</v>
      </c>
    </row>
    <row r="394" spans="3:3">
      <c r="C394" s="660" t="s">
        <v>193</v>
      </c>
    </row>
    <row r="395" spans="3:3">
      <c r="C395" s="660" t="s">
        <v>569</v>
      </c>
    </row>
    <row r="396" spans="3:3">
      <c r="C396" s="660" t="s">
        <v>192</v>
      </c>
    </row>
    <row r="397" spans="3:3">
      <c r="C397" s="660" t="s">
        <v>191</v>
      </c>
    </row>
    <row r="398" spans="3:3">
      <c r="C398" s="660" t="s">
        <v>190</v>
      </c>
    </row>
    <row r="399" spans="3:3">
      <c r="C399" s="660" t="s">
        <v>189</v>
      </c>
    </row>
    <row r="400" spans="3:3">
      <c r="C400" s="660" t="s">
        <v>188</v>
      </c>
    </row>
    <row r="401" spans="3:3">
      <c r="C401" s="660" t="s">
        <v>570</v>
      </c>
    </row>
    <row r="402" spans="3:3">
      <c r="C402" s="660" t="s">
        <v>187</v>
      </c>
    </row>
    <row r="403" spans="3:3">
      <c r="C403" s="660" t="s">
        <v>186</v>
      </c>
    </row>
    <row r="404" spans="3:3">
      <c r="C404" s="660" t="s">
        <v>185</v>
      </c>
    </row>
    <row r="405" spans="3:3">
      <c r="C405" s="660" t="s">
        <v>184</v>
      </c>
    </row>
    <row r="406" spans="3:3">
      <c r="C406" s="660" t="s">
        <v>183</v>
      </c>
    </row>
    <row r="407" spans="3:3">
      <c r="C407" s="660" t="s">
        <v>182</v>
      </c>
    </row>
    <row r="408" spans="3:3">
      <c r="C408" s="660" t="s">
        <v>181</v>
      </c>
    </row>
    <row r="409" spans="3:3">
      <c r="C409" s="660" t="s">
        <v>180</v>
      </c>
    </row>
    <row r="410" spans="3:3">
      <c r="C410" s="660" t="s">
        <v>179</v>
      </c>
    </row>
    <row r="411" spans="3:3">
      <c r="C411" s="660" t="s">
        <v>178</v>
      </c>
    </row>
    <row r="412" spans="3:3">
      <c r="C412" s="660" t="s">
        <v>177</v>
      </c>
    </row>
    <row r="413" spans="3:3">
      <c r="C413" s="660" t="s">
        <v>176</v>
      </c>
    </row>
    <row r="414" spans="3:3">
      <c r="C414" s="660" t="s">
        <v>175</v>
      </c>
    </row>
    <row r="415" spans="3:3">
      <c r="C415" s="660" t="s">
        <v>174</v>
      </c>
    </row>
    <row r="416" spans="3:3">
      <c r="C416" s="660" t="s">
        <v>173</v>
      </c>
    </row>
    <row r="417" spans="3:3">
      <c r="C417" s="660" t="s">
        <v>172</v>
      </c>
    </row>
    <row r="418" spans="3:3">
      <c r="C418" s="660" t="s">
        <v>171</v>
      </c>
    </row>
    <row r="419" spans="3:3">
      <c r="C419" s="660" t="s">
        <v>170</v>
      </c>
    </row>
    <row r="420" spans="3:3">
      <c r="C420" s="660" t="s">
        <v>169</v>
      </c>
    </row>
    <row r="421" spans="3:3">
      <c r="C421" s="660" t="s">
        <v>168</v>
      </c>
    </row>
    <row r="422" spans="3:3">
      <c r="C422" s="660" t="s">
        <v>167</v>
      </c>
    </row>
    <row r="423" spans="3:3">
      <c r="C423" s="660" t="s">
        <v>166</v>
      </c>
    </row>
    <row r="424" spans="3:3">
      <c r="C424" s="660" t="s">
        <v>165</v>
      </c>
    </row>
    <row r="425" spans="3:3">
      <c r="C425" s="660" t="s">
        <v>164</v>
      </c>
    </row>
    <row r="426" spans="3:3">
      <c r="C426" s="660" t="s">
        <v>163</v>
      </c>
    </row>
    <row r="427" spans="3:3">
      <c r="C427" s="660" t="s">
        <v>162</v>
      </c>
    </row>
    <row r="428" spans="3:3">
      <c r="C428" s="660" t="s">
        <v>161</v>
      </c>
    </row>
    <row r="429" spans="3:3">
      <c r="C429" s="660" t="s">
        <v>160</v>
      </c>
    </row>
    <row r="430" spans="3:3">
      <c r="C430" s="660" t="s">
        <v>159</v>
      </c>
    </row>
    <row r="431" spans="3:3" ht="15" thickBot="1">
      <c r="C431" s="659" t="str">
        <f>IF(Indice_index!$Z$1=1,"P015 - Ambiente e Ação Climática","P015 -  Environment and Climate Action")</f>
        <v>P015 -  Environment and Climate Action</v>
      </c>
    </row>
    <row r="432" spans="3:3">
      <c r="C432" s="660" t="s">
        <v>158</v>
      </c>
    </row>
    <row r="433" spans="3:3">
      <c r="C433" s="660" t="s">
        <v>157</v>
      </c>
    </row>
    <row r="434" spans="3:3">
      <c r="C434" s="660" t="s">
        <v>156</v>
      </c>
    </row>
    <row r="435" spans="3:3">
      <c r="C435" s="660" t="s">
        <v>155</v>
      </c>
    </row>
    <row r="436" spans="3:3">
      <c r="C436" s="660" t="s">
        <v>154</v>
      </c>
    </row>
    <row r="437" spans="3:3">
      <c r="C437" s="660" t="s">
        <v>153</v>
      </c>
    </row>
    <row r="438" spans="3:3">
      <c r="C438" s="660" t="s">
        <v>152</v>
      </c>
    </row>
    <row r="439" spans="3:3">
      <c r="C439" s="660" t="s">
        <v>151</v>
      </c>
    </row>
    <row r="440" spans="3:3">
      <c r="C440" s="660" t="s">
        <v>149</v>
      </c>
    </row>
    <row r="441" spans="3:3">
      <c r="C441" s="660" t="s">
        <v>148</v>
      </c>
    </row>
    <row r="442" spans="3:3">
      <c r="C442" s="660" t="s">
        <v>147</v>
      </c>
    </row>
    <row r="443" spans="3:3">
      <c r="C443" s="660" t="s">
        <v>146</v>
      </c>
    </row>
    <row r="444" spans="3:3">
      <c r="C444" s="660" t="s">
        <v>605</v>
      </c>
    </row>
    <row r="445" spans="3:3">
      <c r="C445" s="660" t="s">
        <v>606</v>
      </c>
    </row>
    <row r="446" spans="3:3">
      <c r="C446" s="660" t="s">
        <v>607</v>
      </c>
    </row>
    <row r="447" spans="3:3">
      <c r="C447" s="660" t="s">
        <v>145</v>
      </c>
    </row>
    <row r="448" spans="3:3">
      <c r="C448" s="660" t="s">
        <v>144</v>
      </c>
    </row>
    <row r="449" spans="3:3">
      <c r="C449" s="660" t="s">
        <v>143</v>
      </c>
    </row>
    <row r="450" spans="3:3">
      <c r="C450" s="660" t="s">
        <v>142</v>
      </c>
    </row>
    <row r="451" spans="3:3">
      <c r="C451" s="660" t="s">
        <v>141</v>
      </c>
    </row>
    <row r="452" spans="3:3">
      <c r="C452" s="660" t="s">
        <v>140</v>
      </c>
    </row>
    <row r="453" spans="3:3">
      <c r="C453" s="660" t="s">
        <v>139</v>
      </c>
    </row>
    <row r="454" spans="3:3">
      <c r="C454" s="660" t="s">
        <v>138</v>
      </c>
    </row>
    <row r="455" spans="3:3">
      <c r="C455" s="660" t="s">
        <v>137</v>
      </c>
    </row>
    <row r="456" spans="3:3">
      <c r="C456" s="660" t="s">
        <v>136</v>
      </c>
    </row>
    <row r="457" spans="3:3">
      <c r="C457" s="660" t="s">
        <v>135</v>
      </c>
    </row>
    <row r="458" spans="3:3" ht="15" customHeight="1">
      <c r="C458" s="660" t="s">
        <v>576</v>
      </c>
    </row>
    <row r="459" spans="3:3">
      <c r="C459" s="660" t="s">
        <v>134</v>
      </c>
    </row>
    <row r="460" spans="3:3">
      <c r="C460" s="660" t="s">
        <v>133</v>
      </c>
    </row>
    <row r="461" spans="3:3">
      <c r="C461" s="660" t="s">
        <v>132</v>
      </c>
    </row>
    <row r="462" spans="3:3">
      <c r="C462" s="660" t="s">
        <v>131</v>
      </c>
    </row>
    <row r="463" spans="3:3" ht="15" thickBot="1">
      <c r="C463" s="659" t="str">
        <f>IF(Indice_index!$Z$1=1,"P016 - Infraestruturas e Habitação","P016 - Infrastructures and Housing")</f>
        <v>P016 - Infrastructures and Housing</v>
      </c>
    </row>
    <row r="464" spans="3:3">
      <c r="C464" s="660" t="s">
        <v>130</v>
      </c>
    </row>
    <row r="465" spans="3:3">
      <c r="C465" s="660" t="s">
        <v>129</v>
      </c>
    </row>
    <row r="466" spans="3:3">
      <c r="C466" s="660" t="s">
        <v>128</v>
      </c>
    </row>
    <row r="467" spans="3:3">
      <c r="C467" s="660" t="s">
        <v>127</v>
      </c>
    </row>
    <row r="468" spans="3:3">
      <c r="C468" s="660" t="s">
        <v>126</v>
      </c>
    </row>
    <row r="469" spans="3:3">
      <c r="C469" s="660" t="s">
        <v>125</v>
      </c>
    </row>
    <row r="470" spans="3:3">
      <c r="C470" s="660" t="s">
        <v>124</v>
      </c>
    </row>
    <row r="471" spans="3:3">
      <c r="C471" s="660" t="s">
        <v>123</v>
      </c>
    </row>
    <row r="472" spans="3:3">
      <c r="C472" s="660" t="s">
        <v>122</v>
      </c>
    </row>
    <row r="473" spans="3:3">
      <c r="C473" s="660" t="s">
        <v>121</v>
      </c>
    </row>
    <row r="474" spans="3:3">
      <c r="C474" s="660" t="s">
        <v>120</v>
      </c>
    </row>
    <row r="475" spans="3:3">
      <c r="C475" s="660" t="s">
        <v>571</v>
      </c>
    </row>
    <row r="476" spans="3:3">
      <c r="C476" s="660" t="s">
        <v>119</v>
      </c>
    </row>
    <row r="477" spans="3:3">
      <c r="C477" s="660" t="s">
        <v>118</v>
      </c>
    </row>
    <row r="478" spans="3:3">
      <c r="C478" s="660" t="s">
        <v>117</v>
      </c>
    </row>
    <row r="479" spans="3:3">
      <c r="C479" s="660" t="s">
        <v>116</v>
      </c>
    </row>
    <row r="480" spans="3:3" ht="15" thickBot="1">
      <c r="C480" s="659" t="str">
        <f>IF(Indice_index!$Z$1=1,"P017 - Agricultura e Alimentação","P017 - Agriculture and Food")</f>
        <v>P017 - Agriculture and Food</v>
      </c>
    </row>
    <row r="481" spans="3:3">
      <c r="C481" s="660" t="s">
        <v>572</v>
      </c>
    </row>
    <row r="482" spans="3:3">
      <c r="C482" s="660" t="s">
        <v>100</v>
      </c>
    </row>
    <row r="483" spans="3:3">
      <c r="C483" s="660" t="s">
        <v>115</v>
      </c>
    </row>
    <row r="484" spans="3:3">
      <c r="C484" s="660" t="s">
        <v>114</v>
      </c>
    </row>
    <row r="485" spans="3:3">
      <c r="C485" s="660" t="s">
        <v>113</v>
      </c>
    </row>
    <row r="486" spans="3:3">
      <c r="C486" s="660" t="s">
        <v>112</v>
      </c>
    </row>
    <row r="487" spans="3:3">
      <c r="C487" s="660" t="s">
        <v>111</v>
      </c>
    </row>
    <row r="488" spans="3:3">
      <c r="C488" s="660" t="s">
        <v>110</v>
      </c>
    </row>
    <row r="489" spans="3:3">
      <c r="C489" s="660" t="s">
        <v>109</v>
      </c>
    </row>
    <row r="490" spans="3:3">
      <c r="C490" s="660" t="s">
        <v>98</v>
      </c>
    </row>
    <row r="491" spans="3:3">
      <c r="C491" s="660" t="s">
        <v>108</v>
      </c>
    </row>
    <row r="492" spans="3:3">
      <c r="C492" s="660" t="s">
        <v>107</v>
      </c>
    </row>
    <row r="493" spans="3:3">
      <c r="C493" s="660" t="s">
        <v>95</v>
      </c>
    </row>
    <row r="494" spans="3:3">
      <c r="C494" s="660" t="s">
        <v>106</v>
      </c>
    </row>
    <row r="495" spans="3:3">
      <c r="C495" s="660" t="s">
        <v>105</v>
      </c>
    </row>
    <row r="496" spans="3:3">
      <c r="C496" s="660" t="s">
        <v>104</v>
      </c>
    </row>
    <row r="497" spans="3:3">
      <c r="C497" s="660" t="s">
        <v>103</v>
      </c>
    </row>
    <row r="498" spans="3:3">
      <c r="C498" s="660" t="s">
        <v>102</v>
      </c>
    </row>
    <row r="499" spans="3:3">
      <c r="C499" s="660" t="s">
        <v>101</v>
      </c>
    </row>
    <row r="500" spans="3:3">
      <c r="C500" s="660" t="s">
        <v>94</v>
      </c>
    </row>
    <row r="501" spans="3:3" ht="8.25" customHeight="1">
      <c r="C501" s="246"/>
    </row>
    <row r="502" spans="3:3" ht="8.25" customHeight="1">
      <c r="C502" s="246"/>
    </row>
    <row r="503" spans="3:3">
      <c r="C503" s="661" t="str">
        <f>IF(Indice_index!$Z$1=1,"Notas:","Notes:")</f>
        <v>Notes:</v>
      </c>
    </row>
    <row r="504" spans="3:3">
      <c r="C504" s="662" t="s">
        <v>575</v>
      </c>
    </row>
    <row r="505" spans="3:3" ht="8.25" customHeight="1">
      <c r="C505" s="246"/>
    </row>
    <row r="506" spans="3:3">
      <c r="C506" s="663" t="str">
        <f>IF(Indice_index!$Z$1=1,"Alterações:","Changes:")</f>
        <v>Changes:</v>
      </c>
    </row>
    <row r="507" spans="3:3">
      <c r="C507" s="664" t="s">
        <v>573</v>
      </c>
    </row>
    <row r="508" spans="3:3" ht="18" customHeight="1">
      <c r="C508" s="665" t="s">
        <v>574</v>
      </c>
    </row>
    <row r="509" spans="3:3">
      <c r="C509" s="695" t="s">
        <v>595</v>
      </c>
    </row>
    <row r="510" spans="3:3" ht="30.75" customHeight="1">
      <c r="C510" s="1654" t="s">
        <v>608</v>
      </c>
    </row>
    <row r="512" spans="3:3">
      <c r="C512" s="246"/>
    </row>
    <row r="513" spans="3:3">
      <c r="C513" s="246"/>
    </row>
    <row r="514" spans="3:3">
      <c r="C514" s="246"/>
    </row>
    <row r="515" spans="3:3">
      <c r="C515" s="246"/>
    </row>
    <row r="516" spans="3:3">
      <c r="C516" s="246"/>
    </row>
    <row r="517" spans="3:3">
      <c r="C517" s="246"/>
    </row>
    <row r="518" spans="3:3">
      <c r="C518" s="246"/>
    </row>
    <row r="519" spans="3:3">
      <c r="C519" s="246"/>
    </row>
    <row r="520" spans="3:3">
      <c r="C520" s="246"/>
    </row>
    <row r="521" spans="3:3">
      <c r="C521" s="246"/>
    </row>
    <row r="522" spans="3:3">
      <c r="C522" s="246"/>
    </row>
  </sheetData>
  <printOptions horizontalCentered="1"/>
  <pageMargins left="0.70866141732283472" right="0.70866141732283472" top="0.74803149606299213" bottom="0.74803149606299213" header="0.74803149606299213" footer="0.35433070866141736"/>
  <pageSetup paperSize="9" scale="65" fitToHeight="8" orientation="portrait" r:id="rId1"/>
  <headerFooter differentOddEven="1">
    <oddFooter>&amp;R&amp;G</oddFooter>
    <evenFooter>&amp;L&amp;G</evenFooter>
  </headerFooter>
  <rowBreaks count="7" manualBreakCount="7">
    <brk id="72" max="3" man="1"/>
    <brk id="141" max="3" man="1"/>
    <brk id="210" max="3" man="1"/>
    <brk id="279" max="3" man="1"/>
    <brk id="348" max="3" man="1"/>
    <brk id="417" max="3" man="1"/>
    <brk id="486" max="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4"/>
  <dimension ref="B1:V27"/>
  <sheetViews>
    <sheetView showGridLines="0" zoomScaleNormal="100" zoomScaleSheetLayoutView="100" workbookViewId="0">
      <selection activeCell="B2" sqref="B2"/>
    </sheetView>
  </sheetViews>
  <sheetFormatPr defaultColWidth="8.81640625" defaultRowHeight="14.5"/>
  <cols>
    <col min="1" max="1" width="3.453125" style="499" customWidth="1"/>
    <col min="2" max="2" width="4.453125" style="499" customWidth="1"/>
    <col min="3" max="3" width="1.453125" style="499" customWidth="1"/>
    <col min="4" max="5" width="3.81640625" style="499" customWidth="1"/>
    <col min="6" max="6" width="2.453125" style="499" customWidth="1"/>
    <col min="7" max="7" width="32.453125" style="499" customWidth="1"/>
    <col min="8" max="15" width="9.54296875" style="499" customWidth="1"/>
    <col min="16" max="20" width="8.81640625" style="499"/>
    <col min="21" max="22" width="10" style="500" customWidth="1"/>
    <col min="23" max="16384" width="8.81640625" style="499"/>
  </cols>
  <sheetData>
    <row r="1" spans="2:22" ht="15" customHeight="1"/>
    <row r="2" spans="2:22" ht="24" customHeight="1">
      <c r="B2" s="8"/>
      <c r="C2" s="511" t="str">
        <f>IF(Indice_index!$Z$1=1,"1 - Receita, despesa e saldo das Administrações Públicas","1 - General Government revenue, expenditure and balance")</f>
        <v>1 - General Government revenue, expenditure and balance</v>
      </c>
      <c r="D2" s="511"/>
      <c r="E2" s="511"/>
      <c r="F2" s="511"/>
      <c r="G2" s="511"/>
      <c r="H2" s="509"/>
      <c r="I2" s="509"/>
      <c r="J2" s="510"/>
      <c r="K2" s="509"/>
      <c r="L2" s="509"/>
      <c r="M2" s="509"/>
      <c r="N2" s="509"/>
      <c r="O2" s="509"/>
      <c r="P2" s="508"/>
      <c r="U2" s="508"/>
      <c r="V2" s="508"/>
    </row>
    <row r="3" spans="2:22" s="17" customFormat="1" ht="15" customHeight="1">
      <c r="C3" s="507"/>
      <c r="H3" s="499"/>
      <c r="I3" s="499"/>
      <c r="K3" s="499"/>
      <c r="L3" s="499"/>
      <c r="M3" s="499"/>
      <c r="N3" s="499"/>
      <c r="O3" s="499"/>
      <c r="U3" s="500"/>
      <c r="V3" s="500"/>
    </row>
    <row r="4" spans="2:22" s="505" customFormat="1" ht="15" customHeight="1">
      <c r="U4" s="506"/>
      <c r="V4" s="506"/>
    </row>
    <row r="5" spans="2:22" s="523" customFormat="1" ht="15" customHeight="1">
      <c r="B5" s="522"/>
      <c r="C5" s="1000" t="str">
        <f>+'5 - Conta AC + SS'!C5</f>
        <v>Period: January to November</v>
      </c>
      <c r="D5" s="1504"/>
      <c r="E5" s="1504"/>
      <c r="F5" s="1504"/>
      <c r="G5" s="1504"/>
      <c r="H5" s="1505"/>
      <c r="I5" s="1505"/>
      <c r="J5" s="1505"/>
      <c r="K5" s="1505"/>
      <c r="L5" s="1505"/>
      <c r="M5" s="1505"/>
      <c r="N5" s="1506"/>
      <c r="O5" s="1507" t="str">
        <f>IF(Indice_index!$Z$1=1,"€ Milhões","€ Millions")</f>
        <v>€ Millions</v>
      </c>
      <c r="U5" s="249"/>
      <c r="V5" s="249"/>
    </row>
    <row r="6" spans="2:22" s="523" customFormat="1" ht="23.25" customHeight="1">
      <c r="B6" s="524"/>
      <c r="C6" s="1508"/>
      <c r="D6" s="1508"/>
      <c r="E6" s="1508"/>
      <c r="F6" s="1508"/>
      <c r="G6" s="1508"/>
      <c r="H6" s="1660" t="str">
        <f>IF(Indice_index!$Z$1=1,"Saldo","Overall balance")</f>
        <v>Overall balance</v>
      </c>
      <c r="I6" s="1660"/>
      <c r="J6" s="1660" t="str">
        <f>IF(Indice_index!$Z$1=1,"Receita","Revenue")</f>
        <v>Revenue</v>
      </c>
      <c r="K6" s="1660"/>
      <c r="L6" s="1660" t="str">
        <f>IF(Indice_index!$Z$1=1,"Despesa","Expenditure")</f>
        <v>Expenditure</v>
      </c>
      <c r="M6" s="1660"/>
      <c r="N6" s="1661" t="str">
        <f>IF(Indice_index!$Z$1=1,"Variação Homóloga Acumulada (%)","YOY Change Rate (%)")</f>
        <v>YOY Change Rate (%)</v>
      </c>
      <c r="O6" s="1662"/>
      <c r="U6" s="1659"/>
      <c r="V6" s="1659"/>
    </row>
    <row r="7" spans="2:22" s="505" customFormat="1" ht="16.399999999999999" customHeight="1">
      <c r="B7" s="525"/>
      <c r="C7" s="1509"/>
      <c r="D7" s="1509"/>
      <c r="E7" s="1509"/>
      <c r="F7" s="1509"/>
      <c r="G7" s="1509"/>
      <c r="H7" s="1510" t="str">
        <f>IF(Indice_index!$Z$1=1,"2021","2021")</f>
        <v>2021</v>
      </c>
      <c r="I7" s="1510" t="str">
        <f>IF(Indice_index!$Z$1=1,"2022","2022")</f>
        <v>2022</v>
      </c>
      <c r="J7" s="1510" t="str">
        <f>IF(Indice_index!$Z$1=1,"2021","2022")</f>
        <v>2022</v>
      </c>
      <c r="K7" s="1510" t="str">
        <f>IF(Indice_index!$Z$1=1,"2022","2022")</f>
        <v>2022</v>
      </c>
      <c r="L7" s="1510" t="str">
        <f>IF(Indice_index!$Z$1=1,"2021","2021")</f>
        <v>2021</v>
      </c>
      <c r="M7" s="1510" t="str">
        <f>IF(Indice_index!$Z$1=1,"2022","2022")</f>
        <v>2022</v>
      </c>
      <c r="N7" s="1511" t="str">
        <f>IF(Indice_index!$Z$1=1,"Receita","Revenue")</f>
        <v>Revenue</v>
      </c>
      <c r="O7" s="1512" t="str">
        <f>IF(Indice_index!$Z$1=1,"Despesa","Expenditure")</f>
        <v>Expenditure</v>
      </c>
      <c r="U7" s="526"/>
      <c r="V7" s="526"/>
    </row>
    <row r="8" spans="2:22" s="505" customFormat="1" ht="15" customHeight="1">
      <c r="B8" s="527"/>
      <c r="C8" s="1513"/>
      <c r="D8" s="1513" t="str">
        <f>IF(Indice_index!$Z$1=1,"Administração Central e Segurança Social","Central Government and Social Security")</f>
        <v>Central Government and Social Security</v>
      </c>
      <c r="E8" s="1513"/>
      <c r="F8" s="1513"/>
      <c r="G8" s="1513"/>
      <c r="H8" s="1514">
        <f t="shared" ref="H8:H16" si="0">+J8-L8</f>
        <v>-6293.9519236699562</v>
      </c>
      <c r="I8" s="1514">
        <f t="shared" ref="I8:I16" si="1">+K8-M8</f>
        <v>1591.5412054100016</v>
      </c>
      <c r="J8" s="1514">
        <f>+'5 - Conta AC + SS'!F27</f>
        <v>74408.808764410016</v>
      </c>
      <c r="K8" s="1514">
        <f>+'5 - Conta AC + SS'!G27</f>
        <v>84338.669073049983</v>
      </c>
      <c r="L8" s="1514">
        <f>+'5 - Conta AC + SS'!F50</f>
        <v>80702.760688079972</v>
      </c>
      <c r="M8" s="1514">
        <f>+'5 - Conta AC + SS'!G50</f>
        <v>82747.127867639982</v>
      </c>
      <c r="N8" s="1515">
        <f t="shared" ref="N8:N16" si="2">+IFERROR((K8-J8)/J8*100,"-")</f>
        <v>13.345006422666254</v>
      </c>
      <c r="O8" s="1515">
        <f t="shared" ref="O8:O16" si="3">+IFERROR((M8-L8)/L8*100,"-")</f>
        <v>2.5332060045152436</v>
      </c>
      <c r="U8" s="528"/>
      <c r="V8" s="528"/>
    </row>
    <row r="9" spans="2:22" s="505" customFormat="1" ht="15" customHeight="1">
      <c r="B9" s="527"/>
      <c r="C9" s="1516"/>
      <c r="D9" s="1516"/>
      <c r="E9" s="1517" t="str">
        <f>IF(Indice_index!$Z$1=1,"Administração Central (AC)","Central Government (CG)")</f>
        <v>Central Government (CG)</v>
      </c>
      <c r="F9" s="1517"/>
      <c r="G9" s="1517"/>
      <c r="H9" s="1518">
        <f t="shared" si="0"/>
        <v>-7414.2907077799609</v>
      </c>
      <c r="I9" s="1518">
        <f t="shared" si="1"/>
        <v>-2222.1527772899572</v>
      </c>
      <c r="J9" s="1518">
        <f>+'6 - Conta AC'!F26</f>
        <v>56635.726037200016</v>
      </c>
      <c r="K9" s="1518">
        <f>+'6 - Conta AC'!G26</f>
        <v>64245.772063869998</v>
      </c>
      <c r="L9" s="1518">
        <f>+'6 - Conta AC'!F49</f>
        <v>64050.016744979977</v>
      </c>
      <c r="M9" s="1518">
        <f>+'6 - Conta AC'!G49</f>
        <v>66467.924841159955</v>
      </c>
      <c r="N9" s="1519">
        <f t="shared" si="2"/>
        <v>13.436829646487586</v>
      </c>
      <c r="O9" s="1519">
        <f t="shared" si="3"/>
        <v>3.7750311694797247</v>
      </c>
      <c r="Q9" s="529"/>
      <c r="U9" s="528"/>
      <c r="V9" s="528"/>
    </row>
    <row r="10" spans="2:22" s="505" customFormat="1" ht="15" customHeight="1">
      <c r="B10" s="527"/>
      <c r="C10" s="1516"/>
      <c r="D10" s="1516"/>
      <c r="E10" s="1516"/>
      <c r="F10" s="1520" t="str">
        <f>IF(Indice_index!$Z$1=1,"Subsetor Estado / Serviços integrados","State subsector")</f>
        <v>State subsector</v>
      </c>
      <c r="G10" s="1520"/>
      <c r="H10" s="1521">
        <f t="shared" si="0"/>
        <v>-8670.6872387600088</v>
      </c>
      <c r="I10" s="1521">
        <f t="shared" si="1"/>
        <v>-3262.9258911799989</v>
      </c>
      <c r="J10" s="1521">
        <f>+'7 - Estado'!F32</f>
        <v>44135.831778969994</v>
      </c>
      <c r="K10" s="1521">
        <f>+'7 - Estado'!G32</f>
        <v>51561.333685419995</v>
      </c>
      <c r="L10" s="1521">
        <f>+'7 - Estado'!F59</f>
        <v>52806.519017730003</v>
      </c>
      <c r="M10" s="1521">
        <f>+'7 - Estado'!G59</f>
        <v>54824.259576599994</v>
      </c>
      <c r="N10" s="1522">
        <f t="shared" si="2"/>
        <v>16.824202937052458</v>
      </c>
      <c r="O10" s="1522">
        <f t="shared" si="3"/>
        <v>3.8210065658607921</v>
      </c>
      <c r="Q10" s="529"/>
      <c r="U10" s="530"/>
      <c r="V10" s="530"/>
    </row>
    <row r="11" spans="2:22" s="505" customFormat="1" ht="15" customHeight="1">
      <c r="B11" s="527"/>
      <c r="C11" s="1516"/>
      <c r="D11" s="1516"/>
      <c r="E11" s="1516"/>
      <c r="F11" s="1523" t="str">
        <f>IF(Indice_index!$Z$1=1,"Serviços e Fundos Autónomos","Autonomous Services and Funds")</f>
        <v>Autonomous Services and Funds</v>
      </c>
      <c r="G11" s="1523"/>
      <c r="H11" s="1521">
        <f t="shared" si="0"/>
        <v>1256.3965309800296</v>
      </c>
      <c r="I11" s="1521">
        <f t="shared" si="1"/>
        <v>1040.7731138900417</v>
      </c>
      <c r="J11" s="1521">
        <f>+'9 - SFA'!F32</f>
        <v>32905.369675390015</v>
      </c>
      <c r="K11" s="1521">
        <f>+'9 - SFA'!G32</f>
        <v>33908.299979230011</v>
      </c>
      <c r="L11" s="1521">
        <f>+'9 - SFA'!F59</f>
        <v>31648.973144409985</v>
      </c>
      <c r="M11" s="1521">
        <f>+'9 - SFA'!G59</f>
        <v>32867.526865339969</v>
      </c>
      <c r="N11" s="1522">
        <f t="shared" si="2"/>
        <v>3.0479229187632835</v>
      </c>
      <c r="O11" s="1522">
        <f t="shared" si="3"/>
        <v>3.8502156621950667</v>
      </c>
      <c r="Q11" s="529"/>
      <c r="U11" s="530"/>
      <c r="V11" s="530"/>
    </row>
    <row r="12" spans="2:22" s="505" customFormat="1" ht="15" customHeight="1">
      <c r="B12" s="527"/>
      <c r="C12" s="1516"/>
      <c r="D12" s="1516"/>
      <c r="E12" s="1516"/>
      <c r="F12" s="1524"/>
      <c r="G12" s="1525" t="str">
        <f>IF(Indice_index!$Z$1=1,"do qual: Entidades Públicas Reclassificadas (EPR)","of which: CG reclassified State Owned Enterprises")</f>
        <v>of which: CG reclassified State Owned Enterprises</v>
      </c>
      <c r="H12" s="1526">
        <f t="shared" si="0"/>
        <v>-680.16896446999999</v>
      </c>
      <c r="I12" s="1526">
        <f t="shared" si="1"/>
        <v>-555.14250312999866</v>
      </c>
      <c r="J12" s="1526">
        <f>+'10 - EPR'!F32</f>
        <v>10375.592646480003</v>
      </c>
      <c r="K12" s="1526">
        <f>+'10 - EPR'!G32</f>
        <v>10539.795275910003</v>
      </c>
      <c r="L12" s="1526">
        <f>+'10 - EPR'!F59</f>
        <v>11055.761610950003</v>
      </c>
      <c r="M12" s="1526">
        <f>+'10 - EPR'!G59</f>
        <v>11094.937779040001</v>
      </c>
      <c r="N12" s="1527">
        <f t="shared" si="2"/>
        <v>1.5825855449877013</v>
      </c>
      <c r="O12" s="1527">
        <f t="shared" si="3"/>
        <v>0.35435069485576359</v>
      </c>
      <c r="Q12" s="529"/>
      <c r="U12" s="531"/>
      <c r="V12" s="531"/>
    </row>
    <row r="13" spans="2:22" s="505" customFormat="1" ht="15" customHeight="1">
      <c r="C13" s="1528"/>
      <c r="D13" s="1528"/>
      <c r="E13" s="1517" t="str">
        <f>IF(Indice_index!$Z$1=1,"Segurança Social","Social Security")</f>
        <v>Social Security</v>
      </c>
      <c r="F13" s="1528"/>
      <c r="G13" s="1528"/>
      <c r="H13" s="1521">
        <f t="shared" si="0"/>
        <v>1120.3387841100048</v>
      </c>
      <c r="I13" s="1521">
        <f t="shared" si="1"/>
        <v>3813.6939826999987</v>
      </c>
      <c r="J13" s="1521">
        <f>+'13 - SS Eco'!F29</f>
        <v>28684.868215580002</v>
      </c>
      <c r="K13" s="1521">
        <f>+'13 - SS Eco'!G29</f>
        <v>31189.976402460001</v>
      </c>
      <c r="L13" s="1521">
        <f>+'13 - SS Eco'!F54</f>
        <v>27564.529431469997</v>
      </c>
      <c r="M13" s="1521">
        <f>+'13 - SS Eco'!G54</f>
        <v>27376.282419760002</v>
      </c>
      <c r="N13" s="1522">
        <f t="shared" si="2"/>
        <v>8.7332044479094577</v>
      </c>
      <c r="O13" s="1522">
        <f t="shared" si="3"/>
        <v>-0.68293207100817033</v>
      </c>
      <c r="Q13" s="529"/>
      <c r="U13" s="530"/>
      <c r="V13" s="530"/>
    </row>
    <row r="14" spans="2:22" ht="15" customHeight="1">
      <c r="C14" s="1528"/>
      <c r="D14" s="1520" t="str">
        <f>IF(Indice_index!$Z$1=1,"Administração Regional","Regional Government")</f>
        <v>Regional Government</v>
      </c>
      <c r="E14" s="1516"/>
      <c r="F14" s="1528"/>
      <c r="G14" s="1528"/>
      <c r="H14" s="1521">
        <f t="shared" si="0"/>
        <v>-320.79405887999565</v>
      </c>
      <c r="I14" s="1521">
        <f t="shared" si="1"/>
        <v>-209.92776367333363</v>
      </c>
      <c r="J14" s="1521">
        <f>'14 - Adm R'!J35</f>
        <v>2323.16386887</v>
      </c>
      <c r="K14" s="1521">
        <f>'14 - Adm R'!K35</f>
        <v>2405.6365357566669</v>
      </c>
      <c r="L14" s="1521">
        <f>'14 - Adm R'!J58</f>
        <v>2643.9579277499956</v>
      </c>
      <c r="M14" s="1521">
        <f>'14 - Adm R'!K58</f>
        <v>2615.5642994300006</v>
      </c>
      <c r="N14" s="1522">
        <f t="shared" si="2"/>
        <v>3.5500150459374233</v>
      </c>
      <c r="O14" s="1522">
        <f t="shared" si="3"/>
        <v>-1.073906207885766</v>
      </c>
      <c r="P14" s="505"/>
      <c r="Q14" s="529"/>
      <c r="U14" s="530"/>
      <c r="V14" s="530"/>
    </row>
    <row r="15" spans="2:22" ht="15" customHeight="1">
      <c r="C15" s="1516"/>
      <c r="D15" s="1517" t="str">
        <f>IF(Indice_index!$Z$1=1,"Administração Local","Local Government")</f>
        <v>Local Government</v>
      </c>
      <c r="E15" s="1517"/>
      <c r="F15" s="1517"/>
      <c r="G15" s="1517"/>
      <c r="H15" s="1521">
        <f t="shared" si="0"/>
        <v>34.414726541687742</v>
      </c>
      <c r="I15" s="1521">
        <f t="shared" si="1"/>
        <v>473.390019710665</v>
      </c>
      <c r="J15" s="1521">
        <f>+'15 - Adm Loc'!D43</f>
        <v>8189.5421214088992</v>
      </c>
      <c r="K15" s="1521">
        <f>+'15 - Adm Loc'!E43</f>
        <v>9083.9871718919767</v>
      </c>
      <c r="L15" s="1521">
        <f>+'15 - Adm Loc'!D64</f>
        <v>8155.1273948672115</v>
      </c>
      <c r="M15" s="1521">
        <f>+'15 - Adm Loc'!E64</f>
        <v>8610.5971521813117</v>
      </c>
      <c r="N15" s="1522">
        <f t="shared" si="2"/>
        <v>10.921795592757759</v>
      </c>
      <c r="O15" s="1522">
        <f t="shared" si="3"/>
        <v>5.5850722528353165</v>
      </c>
      <c r="P15" s="505"/>
      <c r="Q15" s="529"/>
      <c r="U15" s="530"/>
      <c r="V15" s="530"/>
    </row>
    <row r="16" spans="2:22" s="523" customFormat="1" ht="15" customHeight="1">
      <c r="B16" s="522"/>
      <c r="C16" s="1529" t="str">
        <f>IF(Indice_index!$Z$1=1,"Administrações Públicas","General Government")</f>
        <v>General Government</v>
      </c>
      <c r="D16" s="1529"/>
      <c r="E16" s="1529"/>
      <c r="F16" s="1529"/>
      <c r="G16" s="1529"/>
      <c r="H16" s="1530">
        <f t="shared" si="0"/>
        <v>-6580.331256008285</v>
      </c>
      <c r="I16" s="1530">
        <f t="shared" si="1"/>
        <v>1855.0034614473552</v>
      </c>
      <c r="J16" s="1530">
        <f>'2 - Conta Consol AP'!K27</f>
        <v>80912.039017127157</v>
      </c>
      <c r="K16" s="1530">
        <f>'2 - Conta Consol AP'!Q27</f>
        <v>91536.314489330558</v>
      </c>
      <c r="L16" s="1530">
        <f>'2 - Conta Consol AP'!K50</f>
        <v>87492.370273135442</v>
      </c>
      <c r="M16" s="1530">
        <f>'2 - Conta Consol AP'!Q50</f>
        <v>89681.311027883203</v>
      </c>
      <c r="N16" s="1530">
        <f t="shared" si="2"/>
        <v>13.130648542863311</v>
      </c>
      <c r="O16" s="1530">
        <f t="shared" si="3"/>
        <v>2.5018647316494924</v>
      </c>
      <c r="Q16" s="532"/>
      <c r="U16" s="533"/>
      <c r="V16" s="533"/>
    </row>
    <row r="17" spans="3:22" ht="4.5" customHeight="1">
      <c r="C17" s="1531"/>
      <c r="D17" s="1531"/>
      <c r="E17" s="1531"/>
      <c r="F17" s="1531"/>
      <c r="G17" s="1531"/>
      <c r="H17" s="1531"/>
      <c r="I17" s="1531"/>
      <c r="J17" s="1531"/>
      <c r="K17" s="1531"/>
      <c r="L17" s="1531"/>
      <c r="M17" s="1531"/>
      <c r="N17" s="1531"/>
      <c r="O17" s="1531"/>
      <c r="U17" s="534"/>
      <c r="V17" s="534"/>
    </row>
    <row r="18" spans="3:22" ht="15" customHeight="1">
      <c r="C18" s="1532" t="str">
        <f>IF(Indice_index!$Z$1=1,"Nota:","Note:")</f>
        <v>Note:</v>
      </c>
      <c r="D18" s="1517"/>
      <c r="E18" s="1517"/>
      <c r="F18" s="1517"/>
      <c r="G18" s="1517"/>
      <c r="H18" s="1533"/>
      <c r="I18" s="1533"/>
      <c r="J18" s="1533"/>
      <c r="K18" s="1533"/>
      <c r="L18" s="1533"/>
      <c r="M18" s="1533"/>
      <c r="N18" s="1533"/>
      <c r="O18" s="1533"/>
      <c r="P18" s="505"/>
      <c r="Q18" s="535"/>
      <c r="U18" s="533"/>
      <c r="V18" s="533"/>
    </row>
    <row r="19" spans="3:22" ht="21.75" customHeight="1">
      <c r="C19" s="1658" t="str">
        <f>IF(Indice_index!$Z$1=1,"Valores na ótica de caixa (Contabilidade Pública) não consolidados de fluxos inter-setoriais; divergências relativamente aos valores publicados em 2021 devem-se a atualizações de valores.","Cash basis amounts not consolidated of flows among different subsectors; differences against the values published in 2021 are due to data updates.")</f>
        <v>Cash basis amounts not consolidated of flows among different subsectors; differences against the values published in 2021 are due to data updates.</v>
      </c>
      <c r="D19" s="1658"/>
      <c r="E19" s="1658"/>
      <c r="F19" s="1658"/>
      <c r="G19" s="1658"/>
      <c r="H19" s="1658"/>
      <c r="I19" s="1658"/>
      <c r="J19" s="1658"/>
      <c r="K19" s="1658"/>
      <c r="L19" s="1658"/>
      <c r="M19" s="1658"/>
      <c r="N19" s="1658"/>
      <c r="O19" s="1658"/>
      <c r="U19" s="534"/>
      <c r="V19" s="534"/>
    </row>
    <row r="20" spans="3:22" ht="15" customHeight="1">
      <c r="C20" s="135" t="str">
        <f>IF(Indice_index!$Z$1=1,"Fonte: Direção-Geral do Orçamento","Source: Budget General Directorate")</f>
        <v>Source: Budget General Directorate</v>
      </c>
      <c r="D20" s="1517"/>
      <c r="E20" s="1517"/>
      <c r="F20" s="1517"/>
      <c r="G20" s="1517"/>
      <c r="H20" s="1519"/>
      <c r="I20" s="1534"/>
      <c r="J20" s="1517"/>
      <c r="K20" s="1517"/>
      <c r="L20" s="1517"/>
      <c r="M20" s="1519"/>
      <c r="N20" s="1534"/>
      <c r="O20" s="1534"/>
      <c r="U20" s="534"/>
      <c r="V20" s="18"/>
    </row>
    <row r="21" spans="3:22">
      <c r="C21" s="672"/>
      <c r="D21" s="672"/>
      <c r="E21" s="672"/>
      <c r="F21" s="672"/>
      <c r="G21" s="672"/>
      <c r="H21" s="672"/>
      <c r="I21" s="673"/>
      <c r="J21" s="672"/>
      <c r="K21" s="672"/>
      <c r="L21" s="672"/>
      <c r="M21" s="672"/>
      <c r="N21" s="672"/>
      <c r="O21" s="672"/>
    </row>
    <row r="23" spans="3:22">
      <c r="G23" s="504"/>
    </row>
    <row r="25" spans="3:22" s="501" customFormat="1">
      <c r="M25" s="503"/>
      <c r="U25" s="502"/>
      <c r="V25" s="502"/>
    </row>
    <row r="26" spans="3:22" s="501" customFormat="1">
      <c r="U26" s="502"/>
      <c r="V26" s="502"/>
    </row>
    <row r="27" spans="3:22" s="501" customFormat="1">
      <c r="U27" s="502"/>
      <c r="V27" s="502"/>
    </row>
  </sheetData>
  <mergeCells count="6">
    <mergeCell ref="C19:O19"/>
    <mergeCell ref="U6:V6"/>
    <mergeCell ref="H6:I6"/>
    <mergeCell ref="J6:K6"/>
    <mergeCell ref="L6:M6"/>
    <mergeCell ref="N6:O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7:M7" formula="1"/>
    <ignoredError sqref="C5" unlockedFormula="1"/>
  </ignoredError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5"/>
  <dimension ref="B1:AF218"/>
  <sheetViews>
    <sheetView showGridLines="0" zoomScaleNormal="100" zoomScaleSheetLayoutView="100" workbookViewId="0">
      <selection activeCell="B2" sqref="B2"/>
    </sheetView>
  </sheetViews>
  <sheetFormatPr defaultColWidth="9.1796875" defaultRowHeight="12.5"/>
  <cols>
    <col min="1" max="1" width="3.453125" style="17" customWidth="1"/>
    <col min="2" max="2" width="4.453125" style="17" customWidth="1"/>
    <col min="3" max="3" width="31" style="17" customWidth="1"/>
    <col min="4" max="4" width="1.54296875" style="17" customWidth="1"/>
    <col min="5" max="5" width="9.54296875" style="17" customWidth="1"/>
    <col min="6" max="6" width="1.54296875" style="17" customWidth="1"/>
    <col min="7" max="8" width="8.453125" style="17" customWidth="1"/>
    <col min="9" max="9" width="9.453125" style="17" customWidth="1"/>
    <col min="10" max="10" width="8.453125" style="17" customWidth="1"/>
    <col min="11" max="11" width="9.54296875" style="17" customWidth="1"/>
    <col min="12" max="12" width="1.54296875" style="20" customWidth="1"/>
    <col min="13" max="14" width="8.453125" style="17" customWidth="1"/>
    <col min="15" max="15" width="9.54296875" style="17" customWidth="1"/>
    <col min="16" max="16" width="8.453125" style="17" customWidth="1"/>
    <col min="17" max="17" width="9.1796875" style="17" customWidth="1"/>
    <col min="18" max="18" width="1.54296875" style="17" customWidth="1"/>
    <col min="19" max="19" width="9.54296875" style="17" customWidth="1"/>
    <col min="20" max="20" width="9.1796875" style="17" customWidth="1"/>
    <col min="21" max="21" width="8.453125" style="17" customWidth="1"/>
    <col min="22" max="22" width="9.1796875" style="17" customWidth="1"/>
    <col min="23" max="23" width="8.453125" style="17" customWidth="1"/>
    <col min="24" max="24" width="9.54296875" style="19" customWidth="1"/>
    <col min="25" max="28" width="7" style="19" customWidth="1"/>
    <col min="29" max="29" width="10.1796875" style="19" customWidth="1"/>
    <col min="30" max="30" width="8.453125" style="19" customWidth="1"/>
    <col min="31" max="31" width="7" style="19" customWidth="1"/>
    <col min="32" max="16384" width="9.1796875" style="17"/>
  </cols>
  <sheetData>
    <row r="1" spans="2:31" ht="15" customHeight="1"/>
    <row r="2" spans="2:31" ht="24" customHeight="1">
      <c r="B2" s="8"/>
      <c r="C2" s="9" t="str">
        <f>IF(Indice_index!$Z$1=1,"2 - Conta Consolidada das Administrações Públicas","2 - General Government Consolidated Account")</f>
        <v>2 - General Government Consolidated Account</v>
      </c>
      <c r="D2" s="9"/>
      <c r="E2" s="9"/>
      <c r="F2" s="9"/>
      <c r="G2" s="9"/>
      <c r="H2" s="9"/>
      <c r="I2" s="9"/>
      <c r="J2" s="9"/>
      <c r="K2" s="9"/>
      <c r="L2" s="9"/>
      <c r="M2" s="9"/>
      <c r="N2" s="9"/>
      <c r="O2" s="9"/>
      <c r="P2" s="9"/>
      <c r="Q2" s="9"/>
      <c r="R2" s="9"/>
      <c r="S2" s="9"/>
    </row>
    <row r="3" spans="2:31" ht="15" customHeight="1"/>
    <row r="4" spans="2:31" ht="15" customHeight="1"/>
    <row r="5" spans="2:31" s="536" customFormat="1" ht="15" customHeight="1">
      <c r="C5" s="1000" t="str">
        <f>+'5 - Conta AC + SS'!C5</f>
        <v>Period: January to November</v>
      </c>
      <c r="D5" s="1447"/>
      <c r="E5" s="1103"/>
      <c r="F5" s="1447"/>
      <c r="G5" s="1448"/>
      <c r="H5" s="1449"/>
      <c r="I5" s="1448"/>
      <c r="J5" s="1448"/>
      <c r="K5" s="1450"/>
      <c r="L5" s="1450"/>
      <c r="M5" s="1448"/>
      <c r="N5" s="1449"/>
      <c r="O5" s="1448"/>
      <c r="P5" s="1448"/>
      <c r="Q5" s="1451"/>
      <c r="R5" s="1447"/>
      <c r="S5" s="733" t="str">
        <f>IF(Indice_index!$Z$1=1,"€ Milhões","€ Millions")</f>
        <v>€ Millions</v>
      </c>
      <c r="X5" s="537"/>
      <c r="Y5" s="537"/>
      <c r="Z5" s="537"/>
      <c r="AA5" s="537"/>
      <c r="AB5" s="537"/>
      <c r="AC5" s="537"/>
      <c r="AD5" s="537"/>
      <c r="AE5" s="537"/>
    </row>
    <row r="6" spans="2:31" s="538" customFormat="1" ht="25.4" customHeight="1">
      <c r="C6" s="1452"/>
      <c r="D6" s="1453"/>
      <c r="E6" s="1454" t="str">
        <f>IF(Indice_index!$Z$1=1,"CGE","Final execution")</f>
        <v>Final execution</v>
      </c>
      <c r="F6" s="1455"/>
      <c r="G6" s="1664" t="str">
        <f>IF(Indice_index!$Z$1=1,"Execução Acumulada","Accumulated Execution")</f>
        <v>Accumulated Execution</v>
      </c>
      <c r="H6" s="1664"/>
      <c r="I6" s="1664"/>
      <c r="J6" s="1664"/>
      <c r="K6" s="1664"/>
      <c r="L6" s="1664"/>
      <c r="M6" s="1664"/>
      <c r="N6" s="1664"/>
      <c r="O6" s="1664"/>
      <c r="P6" s="1664"/>
      <c r="Q6" s="1664"/>
      <c r="R6" s="1455"/>
      <c r="S6" s="1442" t="str">
        <f>IF(Indice_index!$Z$1=1,"Orçamento Inicial","Budget")</f>
        <v>Budget</v>
      </c>
      <c r="X6" s="539"/>
      <c r="Y6" s="539"/>
      <c r="Z6" s="539"/>
      <c r="AA6" s="539"/>
      <c r="AB6" s="539"/>
      <c r="AC6" s="539"/>
      <c r="AD6" s="539"/>
      <c r="AE6" s="539"/>
    </row>
    <row r="7" spans="2:31" ht="14.5">
      <c r="C7" s="1456"/>
      <c r="D7" s="1457"/>
      <c r="E7" s="1458" t="s">
        <v>67</v>
      </c>
      <c r="F7" s="1459"/>
      <c r="G7" s="1665" t="s">
        <v>67</v>
      </c>
      <c r="H7" s="1665"/>
      <c r="I7" s="1665"/>
      <c r="J7" s="1665"/>
      <c r="K7" s="1665"/>
      <c r="L7" s="1460"/>
      <c r="M7" s="1665" t="s">
        <v>73</v>
      </c>
      <c r="N7" s="1665"/>
      <c r="O7" s="1665"/>
      <c r="P7" s="1665"/>
      <c r="Q7" s="1665"/>
      <c r="R7" s="1459"/>
      <c r="S7" s="1461" t="s">
        <v>73</v>
      </c>
      <c r="W7" s="540"/>
      <c r="X7" s="541"/>
      <c r="Y7" s="541"/>
      <c r="Z7" s="541"/>
      <c r="AA7" s="541"/>
      <c r="AB7" s="541"/>
      <c r="AC7" s="541"/>
      <c r="AD7" s="541"/>
      <c r="AE7" s="541"/>
    </row>
    <row r="8" spans="2:31" ht="42" customHeight="1">
      <c r="C8" s="1462"/>
      <c r="D8" s="1463"/>
      <c r="E8" s="1464" t="str">
        <f>IF(Indice_index!$Z$1=1,"Adm. Públicas","General Government")</f>
        <v>General Government</v>
      </c>
      <c r="F8" s="1463"/>
      <c r="G8" s="1464" t="str">
        <f>IF(Indice_index!$Z$1=1,"Estado","State")</f>
        <v>State</v>
      </c>
      <c r="H8" s="1464" t="str">
        <f>IF(Indice_index!$Z$1=1,"Serviços e Fundos Autónomos","Autonomous Funds and Services")</f>
        <v>Autonomous Funds and Services</v>
      </c>
      <c r="I8" s="1464" t="str">
        <f>IF(Indice_index!$Z$1=1,"Adm. Local e Regional","Local and Regional Government")</f>
        <v>Local and Regional Government</v>
      </c>
      <c r="J8" s="1464" t="str">
        <f>IF(Indice_index!$Z$1=1,"Segurança Social","Social Security")</f>
        <v>Social Security</v>
      </c>
      <c r="K8" s="1464" t="str">
        <f>IF(Indice_index!$Z$1=1,"Adm. Públicas","General Government")</f>
        <v>General Government</v>
      </c>
      <c r="L8" s="1463"/>
      <c r="M8" s="1464" t="str">
        <f>IF(Indice_index!$Z$1=1,"Estado","State")</f>
        <v>State</v>
      </c>
      <c r="N8" s="1464" t="str">
        <f>IF(Indice_index!$Z$1=1,"Serviços e Fundos Autónomos","Autonomous Funds and Services")</f>
        <v>Autonomous Funds and Services</v>
      </c>
      <c r="O8" s="1464" t="str">
        <f>IF(Indice_index!$Z$1=1,"Adm. Local e Regional","Local and Regional Government")</f>
        <v>Local and Regional Government</v>
      </c>
      <c r="P8" s="1464" t="str">
        <f>IF(Indice_index!$Z$1=1,"Segurança Social","Social Security")</f>
        <v>Social Security</v>
      </c>
      <c r="Q8" s="1464" t="str">
        <f>IF(Indice_index!$Z$1=1,"Adm. Públicas","General Government")</f>
        <v>General Government</v>
      </c>
      <c r="R8" s="1463"/>
      <c r="S8" s="1464" t="str">
        <f>IF(Indice_index!$Z$1=1,"Adm. Públicas","General Government")</f>
        <v>General Government</v>
      </c>
      <c r="W8" s="540"/>
      <c r="X8" s="1663"/>
      <c r="Y8" s="1663"/>
      <c r="Z8" s="1663"/>
      <c r="AA8" s="1663"/>
      <c r="AB8" s="1663"/>
      <c r="AC8" s="1663"/>
      <c r="AD8" s="1663"/>
      <c r="AE8" s="1663"/>
    </row>
    <row r="9" spans="2:31" s="538" customFormat="1" ht="15" customHeight="1">
      <c r="C9" s="318" t="str">
        <f>IF(Indice_index!$Z$1=1,"Receita corrente","Current revenue")</f>
        <v>Current revenue</v>
      </c>
      <c r="D9" s="1465"/>
      <c r="E9" s="1466">
        <f>E10+E13+E14+E17+E18</f>
        <v>89765.995140224419</v>
      </c>
      <c r="F9" s="1456"/>
      <c r="G9" s="1466">
        <f>G10+G13+G14+G17+G18</f>
        <v>44056.262581649993</v>
      </c>
      <c r="H9" s="1466">
        <f t="shared" ref="H9:K9" si="0">H10+H13+H14+H17+H18</f>
        <v>30338.022406059994</v>
      </c>
      <c r="I9" s="1466">
        <f t="shared" si="0"/>
        <v>9863.4734388693651</v>
      </c>
      <c r="J9" s="1466">
        <f t="shared" si="0"/>
        <v>28684.316076869996</v>
      </c>
      <c r="K9" s="1466">
        <f t="shared" si="0"/>
        <v>79161.203244809367</v>
      </c>
      <c r="L9" s="1466"/>
      <c r="M9" s="1466">
        <f>M10+M13+M14+M17+M18</f>
        <v>51244.176670199995</v>
      </c>
      <c r="N9" s="1466">
        <f t="shared" ref="N9" si="1">N10+N13+N14+N17+N18</f>
        <v>31697.590205630004</v>
      </c>
      <c r="O9" s="1466">
        <f t="shared" ref="O9" si="2">O10+O13+O14+O17+O18</f>
        <v>11039.810197016943</v>
      </c>
      <c r="P9" s="1466">
        <f t="shared" ref="P9" si="3">P10+P13+P14+P17+P18</f>
        <v>31189.47401089</v>
      </c>
      <c r="Q9" s="1466">
        <f t="shared" ref="Q9" si="4">Q10+Q13+Q14+Q17+Q18</f>
        <v>89487.513785856951</v>
      </c>
      <c r="R9" s="1456"/>
      <c r="S9" s="1466">
        <f>S10+S13+S14+S17+S18</f>
        <v>96777.098562379237</v>
      </c>
      <c r="T9" s="543"/>
      <c r="U9" s="542"/>
      <c r="V9" s="543"/>
      <c r="W9" s="544"/>
      <c r="X9" s="545"/>
      <c r="Y9" s="545"/>
      <c r="Z9" s="545"/>
      <c r="AA9" s="545"/>
      <c r="AB9" s="545"/>
      <c r="AC9" s="545"/>
      <c r="AD9" s="545"/>
      <c r="AE9" s="545"/>
    </row>
    <row r="10" spans="2:31" ht="15" customHeight="1">
      <c r="C10" s="703" t="str">
        <f>IF(Indice_index!$Z$1=1,"Receita Fiscal","Tax")</f>
        <v>Tax</v>
      </c>
      <c r="D10" s="689"/>
      <c r="E10" s="1078">
        <f>E11+E12</f>
        <v>51432.173478075827</v>
      </c>
      <c r="F10" s="1078"/>
      <c r="G10" s="1078">
        <f t="shared" ref="G10:J10" si="5">G11+G12</f>
        <v>40305.956225229995</v>
      </c>
      <c r="H10" s="1078">
        <f t="shared" si="5"/>
        <v>522.83919435999996</v>
      </c>
      <c r="I10" s="1078">
        <f t="shared" si="5"/>
        <v>4179.3990331615778</v>
      </c>
      <c r="J10" s="1078">
        <f t="shared" si="5"/>
        <v>195.51594173999999</v>
      </c>
      <c r="K10" s="1078">
        <f>K11+K12</f>
        <v>45203.710394491573</v>
      </c>
      <c r="L10" s="1078"/>
      <c r="M10" s="1078">
        <f t="shared" ref="M10:P10" si="6">M11+M12</f>
        <v>47359.001035519999</v>
      </c>
      <c r="N10" s="1078">
        <f t="shared" si="6"/>
        <v>578.55669662000003</v>
      </c>
      <c r="O10" s="1078">
        <f t="shared" si="6"/>
        <v>4823.9393933303982</v>
      </c>
      <c r="P10" s="1078">
        <f t="shared" si="6"/>
        <v>213.16249138000001</v>
      </c>
      <c r="Q10" s="1078">
        <f>Q11+Q12</f>
        <v>52974.659616850397</v>
      </c>
      <c r="R10" s="1078"/>
      <c r="S10" s="1078">
        <f>S11+S12</f>
        <v>54751.217192179742</v>
      </c>
      <c r="T10" s="546"/>
      <c r="U10" s="547"/>
      <c r="V10" s="546"/>
      <c r="W10" s="548"/>
      <c r="X10" s="541"/>
      <c r="Y10" s="541"/>
      <c r="Z10" s="541"/>
      <c r="AA10" s="541"/>
      <c r="AB10" s="541"/>
      <c r="AC10" s="541"/>
      <c r="AD10" s="541"/>
      <c r="AE10" s="541"/>
    </row>
    <row r="11" spans="2:31" ht="15" customHeight="1">
      <c r="C11" s="706" t="str">
        <f>IF(Indice_index!$Z$1=1,"Impostos diretos","Direct taxes")</f>
        <v>Direct taxes</v>
      </c>
      <c r="D11" s="689"/>
      <c r="E11" s="1078">
        <v>23916.184590335437</v>
      </c>
      <c r="F11" s="246"/>
      <c r="G11" s="1078">
        <v>16644.14793621</v>
      </c>
      <c r="H11" s="1078">
        <v>1.5595100000000001E-3</v>
      </c>
      <c r="I11" s="1078">
        <v>3185.4406979580308</v>
      </c>
      <c r="J11" s="1078">
        <v>0</v>
      </c>
      <c r="K11" s="1078">
        <v>19829.590193678032</v>
      </c>
      <c r="L11" s="1078"/>
      <c r="M11" s="1078">
        <v>20659.39178826</v>
      </c>
      <c r="N11" s="1078">
        <v>0</v>
      </c>
      <c r="O11" s="1078">
        <v>3765.2040955449625</v>
      </c>
      <c r="P11" s="1078">
        <v>0</v>
      </c>
      <c r="Q11" s="1078">
        <v>24424.595883804963</v>
      </c>
      <c r="R11" s="246"/>
      <c r="S11" s="1078">
        <v>25045.517224378542</v>
      </c>
      <c r="T11" s="546"/>
      <c r="U11" s="547"/>
      <c r="V11" s="546"/>
      <c r="W11" s="548"/>
      <c r="X11" s="541"/>
      <c r="Y11" s="541"/>
      <c r="Z11" s="541"/>
      <c r="AA11" s="541"/>
      <c r="AB11" s="541"/>
      <c r="AC11" s="541"/>
      <c r="AD11" s="541"/>
      <c r="AE11" s="541"/>
    </row>
    <row r="12" spans="2:31" ht="15" customHeight="1">
      <c r="C12" s="706" t="str">
        <f>IF(Indice_index!$Z$1=1,"Impostos indiretos","Indirect taxes")</f>
        <v>Indirect taxes</v>
      </c>
      <c r="D12" s="689"/>
      <c r="E12" s="1078">
        <v>27515.988887740394</v>
      </c>
      <c r="F12" s="246"/>
      <c r="G12" s="1078">
        <v>23661.808289019995</v>
      </c>
      <c r="H12" s="1078">
        <v>522.83763484999997</v>
      </c>
      <c r="I12" s="1078">
        <v>993.95833520354699</v>
      </c>
      <c r="J12" s="1078">
        <v>195.51594173999999</v>
      </c>
      <c r="K12" s="1078">
        <v>25374.120200813541</v>
      </c>
      <c r="L12" s="1078"/>
      <c r="M12" s="1078">
        <v>26699.609247259999</v>
      </c>
      <c r="N12" s="1078">
        <v>578.55669662000003</v>
      </c>
      <c r="O12" s="1078">
        <v>1058.7352977854362</v>
      </c>
      <c r="P12" s="1078">
        <v>213.16249138000001</v>
      </c>
      <c r="Q12" s="1078">
        <v>28550.063733045434</v>
      </c>
      <c r="R12" s="246"/>
      <c r="S12" s="1078">
        <v>29705.699967801203</v>
      </c>
      <c r="T12" s="546"/>
      <c r="U12" s="547"/>
      <c r="V12" s="546"/>
      <c r="W12" s="548"/>
      <c r="X12" s="541"/>
      <c r="Y12" s="541"/>
      <c r="Z12" s="541"/>
      <c r="AA12" s="541"/>
      <c r="AB12" s="541"/>
      <c r="AC12" s="541"/>
      <c r="AD12" s="541"/>
      <c r="AE12" s="541"/>
    </row>
    <row r="13" spans="2:31" ht="15" customHeight="1">
      <c r="C13" s="697" t="str">
        <f>IF(Indice_index!$Z$1=1,"Contribuições de Segurança Social","Social security contributions")</f>
        <v>Social security contributions</v>
      </c>
      <c r="D13" s="689"/>
      <c r="E13" s="1078">
        <v>24205.521009030002</v>
      </c>
      <c r="F13" s="246"/>
      <c r="G13" s="1078">
        <v>58.034161189999999</v>
      </c>
      <c r="H13" s="1078">
        <v>3644.8200914499998</v>
      </c>
      <c r="I13" s="1078">
        <v>0</v>
      </c>
      <c r="J13" s="1078">
        <v>17634.180973099999</v>
      </c>
      <c r="K13" s="1078">
        <v>21337.035225740001</v>
      </c>
      <c r="L13" s="1078"/>
      <c r="M13" s="1078">
        <v>64.551561390000003</v>
      </c>
      <c r="N13" s="1078">
        <v>3540.4903227499995</v>
      </c>
      <c r="O13" s="1078">
        <v>0</v>
      </c>
      <c r="P13" s="1078">
        <v>19743.381412400002</v>
      </c>
      <c r="Q13" s="1078">
        <v>23348.423296540001</v>
      </c>
      <c r="R13" s="246"/>
      <c r="S13" s="1078">
        <v>25361.125842000001</v>
      </c>
      <c r="T13" s="546"/>
      <c r="U13" s="547"/>
      <c r="V13" s="546"/>
      <c r="W13" s="548"/>
      <c r="X13" s="541"/>
      <c r="Y13" s="541"/>
      <c r="Z13" s="541"/>
      <c r="AA13" s="541"/>
      <c r="AB13" s="541"/>
      <c r="AC13" s="541"/>
      <c r="AD13" s="541"/>
      <c r="AE13" s="541"/>
    </row>
    <row r="14" spans="2:31" ht="15" customHeight="1">
      <c r="C14" s="697" t="str">
        <f>IF(Indice_index!$Z$1=1,"Transferências Correntes","Current transfers")</f>
        <v>Current transfers</v>
      </c>
      <c r="D14" s="689"/>
      <c r="E14" s="1078">
        <v>3017.7043054748233</v>
      </c>
      <c r="F14" s="246"/>
      <c r="G14" s="1078">
        <v>1102.1721462299997</v>
      </c>
      <c r="H14" s="1078">
        <v>21119.732173429995</v>
      </c>
      <c r="I14" s="1078">
        <v>4030.0518653202025</v>
      </c>
      <c r="J14" s="1078">
        <v>9968.8577477499985</v>
      </c>
      <c r="K14" s="1078">
        <v>3003.0449102702032</v>
      </c>
      <c r="L14" s="1078"/>
      <c r="M14" s="1078">
        <v>882.9251769399998</v>
      </c>
      <c r="N14" s="1078">
        <v>22104.708216849995</v>
      </c>
      <c r="O14" s="1078">
        <v>4418.4962630839873</v>
      </c>
      <c r="P14" s="1078">
        <v>10294.701293749997</v>
      </c>
      <c r="Q14" s="1078">
        <v>2411.6982604339964</v>
      </c>
      <c r="R14" s="246"/>
      <c r="S14" s="1078">
        <v>4960.3380585247996</v>
      </c>
      <c r="T14" s="546"/>
      <c r="U14" s="547"/>
      <c r="V14" s="546"/>
      <c r="W14" s="548"/>
      <c r="X14" s="541"/>
      <c r="Y14" s="541"/>
      <c r="Z14" s="541"/>
      <c r="AA14" s="541"/>
      <c r="AB14" s="541"/>
      <c r="AC14" s="541"/>
      <c r="AD14" s="541"/>
      <c r="AE14" s="541"/>
    </row>
    <row r="15" spans="2:31" ht="15" customHeight="1">
      <c r="C15" s="1467" t="str">
        <f>IF(Indice_index!$Z$1=1,"Administrações Públicas","General Government subsectors")</f>
        <v>General Government subsectors</v>
      </c>
      <c r="D15" s="689"/>
      <c r="E15" s="1468">
        <v>0</v>
      </c>
      <c r="F15" s="1469"/>
      <c r="G15" s="1468">
        <v>671.62306753999985</v>
      </c>
      <c r="H15" s="1468">
        <v>19995.765121209995</v>
      </c>
      <c r="I15" s="1468">
        <v>3846.8230527600003</v>
      </c>
      <c r="J15" s="1468">
        <v>8703.5577809499991</v>
      </c>
      <c r="K15" s="1468">
        <v>0</v>
      </c>
      <c r="L15" s="1468"/>
      <c r="M15" s="1468">
        <v>677.51538521999998</v>
      </c>
      <c r="N15" s="1468">
        <v>21123.545301719994</v>
      </c>
      <c r="O15" s="1468">
        <v>4191.1775567599907</v>
      </c>
      <c r="P15" s="1468">
        <v>9296.894446489996</v>
      </c>
      <c r="Q15" s="1468">
        <v>0</v>
      </c>
      <c r="R15" s="1469"/>
      <c r="S15" s="1468">
        <v>0</v>
      </c>
      <c r="T15" s="546"/>
      <c r="U15" s="547"/>
      <c r="V15" s="546"/>
      <c r="W15" s="548"/>
      <c r="X15" s="541"/>
      <c r="Y15" s="541"/>
      <c r="Z15" s="541"/>
      <c r="AA15" s="541"/>
      <c r="AB15" s="541"/>
      <c r="AC15" s="541"/>
      <c r="AD15" s="541"/>
      <c r="AE15" s="541"/>
    </row>
    <row r="16" spans="2:31" ht="15" customHeight="1">
      <c r="C16" s="1467" t="str">
        <f>IF(Indice_index!$Z$1=1,"Outras","Others")</f>
        <v>Others</v>
      </c>
      <c r="D16" s="689"/>
      <c r="E16" s="1468">
        <v>3017.7043054748233</v>
      </c>
      <c r="F16" s="1469"/>
      <c r="G16" s="1468">
        <v>430.54907868999982</v>
      </c>
      <c r="H16" s="1468">
        <v>1123.9670522200008</v>
      </c>
      <c r="I16" s="1468">
        <v>183.22881256020236</v>
      </c>
      <c r="J16" s="1468">
        <v>1265.2999668</v>
      </c>
      <c r="K16" s="1468">
        <v>3003.0449102702032</v>
      </c>
      <c r="L16" s="1468"/>
      <c r="M16" s="1468">
        <v>205.40979171999987</v>
      </c>
      <c r="N16" s="1468">
        <v>981.16291512999999</v>
      </c>
      <c r="O16" s="1468">
        <v>227.31870632399659</v>
      </c>
      <c r="P16" s="1468">
        <v>997.80684726000015</v>
      </c>
      <c r="Q16" s="1468">
        <v>2411.6982604339964</v>
      </c>
      <c r="R16" s="1469"/>
      <c r="S16" s="1468">
        <v>4960.3380585247996</v>
      </c>
      <c r="T16" s="546"/>
      <c r="U16" s="547"/>
      <c r="V16" s="546"/>
      <c r="W16" s="548"/>
      <c r="X16" s="541"/>
      <c r="Y16" s="541"/>
      <c r="Z16" s="541"/>
      <c r="AA16" s="541"/>
      <c r="AB16" s="541"/>
      <c r="AC16" s="541"/>
      <c r="AD16" s="541"/>
      <c r="AE16" s="541"/>
    </row>
    <row r="17" spans="3:31" ht="15" customHeight="1">
      <c r="C17" s="697" t="str">
        <f>IF(Indice_index!$Z$1=1,"Outras receitas correntes","Other current revenue")</f>
        <v>Other current revenue</v>
      </c>
      <c r="D17" s="689"/>
      <c r="E17" s="1078">
        <v>11070.632556263767</v>
      </c>
      <c r="F17" s="246"/>
      <c r="G17" s="1078">
        <v>2590.095669100001</v>
      </c>
      <c r="H17" s="1078">
        <v>5036.0560675399993</v>
      </c>
      <c r="I17" s="1078">
        <v>1654.0225403875843</v>
      </c>
      <c r="J17" s="1078">
        <v>885.76141427999994</v>
      </c>
      <c r="K17" s="1078">
        <v>9602.8334551275857</v>
      </c>
      <c r="L17" s="1078"/>
      <c r="M17" s="1078">
        <v>2937.6941978199993</v>
      </c>
      <c r="N17" s="1078">
        <v>5461.0331355000089</v>
      </c>
      <c r="O17" s="1078">
        <v>1793.9045539758893</v>
      </c>
      <c r="P17" s="1078">
        <v>938.22881336</v>
      </c>
      <c r="Q17" s="1078">
        <v>10637.664045585898</v>
      </c>
      <c r="R17" s="246"/>
      <c r="S17" s="1078">
        <v>11695.092231674706</v>
      </c>
      <c r="T17" s="546"/>
      <c r="U17" s="547"/>
      <c r="V17" s="546"/>
      <c r="W17" s="548"/>
      <c r="X17" s="541"/>
      <c r="Y17" s="541"/>
      <c r="Z17" s="541"/>
      <c r="AA17" s="541"/>
      <c r="AB17" s="541"/>
      <c r="AC17" s="541"/>
      <c r="AD17" s="541"/>
      <c r="AE17" s="541"/>
    </row>
    <row r="18" spans="3:31" ht="15" customHeight="1">
      <c r="C18" s="703" t="str">
        <f>IF(Indice_index!$Z$1=1,"Diferenças de consolidação","Consolidation differences")</f>
        <v>Consolidation differences</v>
      </c>
      <c r="D18" s="689"/>
      <c r="E18" s="1078">
        <v>39.963791380003521</v>
      </c>
      <c r="F18" s="246"/>
      <c r="G18" s="1078">
        <v>4.3798999999999999E-3</v>
      </c>
      <c r="H18" s="1078">
        <v>14.574879280001147</v>
      </c>
      <c r="I18" s="1078">
        <v>0</v>
      </c>
      <c r="J18" s="1078">
        <v>0</v>
      </c>
      <c r="K18" s="1078">
        <v>14.579259180001147</v>
      </c>
      <c r="L18" s="1078"/>
      <c r="M18" s="1078">
        <v>4.6985300000000002E-3</v>
      </c>
      <c r="N18" s="1078">
        <v>12.80183391000047</v>
      </c>
      <c r="O18" s="1078">
        <v>3.4699866266666959</v>
      </c>
      <c r="P18" s="1078">
        <v>0</v>
      </c>
      <c r="Q18" s="1078">
        <v>115.06856644666397</v>
      </c>
      <c r="R18" s="246"/>
      <c r="S18" s="1078">
        <v>9.3252379999995192</v>
      </c>
      <c r="T18" s="546"/>
      <c r="U18" s="547"/>
      <c r="V18" s="546"/>
      <c r="W18" s="548"/>
      <c r="X18" s="541"/>
      <c r="Y18" s="541"/>
      <c r="Z18" s="541"/>
      <c r="AA18" s="541"/>
      <c r="AB18" s="541"/>
      <c r="AC18" s="541"/>
      <c r="AD18" s="541"/>
      <c r="AE18" s="541"/>
    </row>
    <row r="19" spans="3:31" s="538" customFormat="1" ht="15" customHeight="1">
      <c r="C19" s="318" t="str">
        <f>IF(Indice_index!$Z$1=1,"Receita de capital","Capital revenue")</f>
        <v>Capital revenue</v>
      </c>
      <c r="D19" s="1470"/>
      <c r="E19" s="1466">
        <f>E20+E21+E24+E25</f>
        <v>2152.4292713541913</v>
      </c>
      <c r="F19" s="246"/>
      <c r="G19" s="1466">
        <f>G20+G21+G24+G25</f>
        <v>79.569197319999986</v>
      </c>
      <c r="H19" s="1466">
        <f t="shared" ref="H19:M19" si="7">H20+H21+H24+H25</f>
        <v>2567.34726933</v>
      </c>
      <c r="I19" s="1466">
        <f t="shared" si="7"/>
        <v>1284.0237421477932</v>
      </c>
      <c r="J19" s="1466">
        <f t="shared" si="7"/>
        <v>0.55213871000000003</v>
      </c>
      <c r="K19" s="1466">
        <f t="shared" si="7"/>
        <v>1750.8357723177935</v>
      </c>
      <c r="L19" s="1466"/>
      <c r="M19" s="1466">
        <f t="shared" si="7"/>
        <v>317.15701522000006</v>
      </c>
      <c r="N19" s="1466">
        <f t="shared" ref="N19" si="8">N20+N21+N24+N25</f>
        <v>2210.709773600001</v>
      </c>
      <c r="O19" s="1466">
        <f t="shared" ref="O19" si="9">O20+O21+O24+O25</f>
        <v>1106.9846750736078</v>
      </c>
      <c r="P19" s="1466">
        <f t="shared" ref="P19" si="10">P20+P21+P24+P25</f>
        <v>0.50239157000000001</v>
      </c>
      <c r="Q19" s="1466">
        <f t="shared" ref="Q19" si="11">Q20+Q21+Q24+Q25</f>
        <v>2048.8007034736079</v>
      </c>
      <c r="R19" s="246"/>
      <c r="S19" s="1466">
        <f>S20+S21+S24+S25</f>
        <v>4617.421407629301</v>
      </c>
      <c r="T19" s="543"/>
      <c r="U19" s="542"/>
      <c r="V19" s="543"/>
      <c r="W19" s="544"/>
      <c r="X19" s="545"/>
      <c r="Y19" s="545"/>
      <c r="Z19" s="545"/>
      <c r="AA19" s="545"/>
      <c r="AB19" s="545"/>
      <c r="AC19" s="545"/>
      <c r="AD19" s="545"/>
      <c r="AE19" s="545"/>
    </row>
    <row r="20" spans="3:31" s="538" customFormat="1" ht="15" customHeight="1">
      <c r="C20" s="697" t="str">
        <f>IF(Indice_index!$Z$1=1,"Venda de bens de investimento","Sale of investment goods")</f>
        <v>Sale of investment goods</v>
      </c>
      <c r="D20" s="1470"/>
      <c r="E20" s="1078">
        <v>234.08499364003021</v>
      </c>
      <c r="F20" s="246"/>
      <c r="G20" s="1078">
        <v>36.513781819999991</v>
      </c>
      <c r="H20" s="1078">
        <v>74.442148389999986</v>
      </c>
      <c r="I20" s="1078">
        <v>70.958671042179873</v>
      </c>
      <c r="J20" s="1078">
        <v>0.55213871000000003</v>
      </c>
      <c r="K20" s="1078">
        <v>182.46673996217984</v>
      </c>
      <c r="L20" s="1078"/>
      <c r="M20" s="1078">
        <v>35.257785650000002</v>
      </c>
      <c r="N20" s="1078">
        <v>91.300439679999997</v>
      </c>
      <c r="O20" s="1078">
        <v>46.692605831938465</v>
      </c>
      <c r="P20" s="1078">
        <v>0.49684954000000003</v>
      </c>
      <c r="Q20" s="1078">
        <v>173.74768070193846</v>
      </c>
      <c r="R20" s="246"/>
      <c r="S20" s="1078">
        <v>260.02846068002685</v>
      </c>
      <c r="T20" s="543"/>
      <c r="U20" s="542"/>
      <c r="V20" s="543"/>
      <c r="W20" s="544"/>
      <c r="X20" s="545"/>
      <c r="Y20" s="545"/>
      <c r="Z20" s="545"/>
      <c r="AA20" s="545"/>
      <c r="AB20" s="545"/>
      <c r="AC20" s="545"/>
      <c r="AD20" s="545"/>
      <c r="AE20" s="545"/>
    </row>
    <row r="21" spans="3:31" s="538" customFormat="1" ht="15" customHeight="1">
      <c r="C21" s="697" t="str">
        <f>IF(Indice_index!$Z$1=1,"Transferências de Capital","Capital transfers")</f>
        <v>Capital transfers</v>
      </c>
      <c r="D21" s="1470"/>
      <c r="E21" s="1078">
        <v>1867.3452393440825</v>
      </c>
      <c r="F21" s="246"/>
      <c r="G21" s="1078">
        <v>41.79538345000001</v>
      </c>
      <c r="H21" s="1078">
        <v>2477.9362845800001</v>
      </c>
      <c r="I21" s="1078">
        <v>1196.7946236269365</v>
      </c>
      <c r="J21" s="1078">
        <v>0</v>
      </c>
      <c r="K21" s="1078">
        <v>1530.9856534869366</v>
      </c>
      <c r="L21" s="1078"/>
      <c r="M21" s="1078">
        <v>261.61792232000005</v>
      </c>
      <c r="N21" s="1078">
        <v>2092.1599655500008</v>
      </c>
      <c r="O21" s="1078">
        <v>1042.2447151183603</v>
      </c>
      <c r="P21" s="1078">
        <v>0</v>
      </c>
      <c r="Q21" s="1078">
        <v>1809.4694509983603</v>
      </c>
      <c r="R21" s="246"/>
      <c r="S21" s="1078">
        <v>4283.4085149757511</v>
      </c>
      <c r="T21" s="543"/>
      <c r="U21" s="542"/>
      <c r="V21" s="543"/>
      <c r="W21" s="544"/>
      <c r="X21" s="545"/>
      <c r="Y21" s="545"/>
      <c r="Z21" s="545"/>
      <c r="AA21" s="545"/>
      <c r="AB21" s="545"/>
      <c r="AC21" s="545"/>
      <c r="AD21" s="545"/>
      <c r="AE21" s="545"/>
    </row>
    <row r="22" spans="3:31" s="538" customFormat="1" ht="15" customHeight="1">
      <c r="C22" s="1467" t="str">
        <f>IF(Indice_index!$Z$1=1,"Administrações Públicas","General Government subsectors")</f>
        <v>General Government subsectors</v>
      </c>
      <c r="D22" s="1470"/>
      <c r="E22" s="1078">
        <v>0</v>
      </c>
      <c r="F22" s="246"/>
      <c r="G22" s="1078">
        <v>11.890612650000001</v>
      </c>
      <c r="H22" s="1078">
        <v>1631.7809645300001</v>
      </c>
      <c r="I22" s="1078">
        <v>541.86906098999998</v>
      </c>
      <c r="J22" s="1078">
        <v>0</v>
      </c>
      <c r="K22" s="1078">
        <v>0</v>
      </c>
      <c r="L22" s="1078"/>
      <c r="M22" s="1078">
        <v>12.75592397</v>
      </c>
      <c r="N22" s="1078">
        <v>1111.5823380600004</v>
      </c>
      <c r="O22" s="1078">
        <v>462.21488995999999</v>
      </c>
      <c r="P22" s="1078">
        <v>0</v>
      </c>
      <c r="Q22" s="1078">
        <v>0</v>
      </c>
      <c r="R22" s="246"/>
      <c r="S22" s="1078">
        <v>0</v>
      </c>
      <c r="T22" s="543"/>
      <c r="U22" s="542"/>
      <c r="V22" s="543"/>
      <c r="W22" s="544"/>
      <c r="X22" s="545"/>
      <c r="Y22" s="545"/>
      <c r="Z22" s="545"/>
      <c r="AA22" s="545"/>
      <c r="AB22" s="545"/>
      <c r="AC22" s="545"/>
      <c r="AD22" s="545"/>
      <c r="AE22" s="545"/>
    </row>
    <row r="23" spans="3:31" s="538" customFormat="1" ht="15" customHeight="1">
      <c r="C23" s="1467" t="str">
        <f>IF(Indice_index!$Z$1=1,"Outras","Others")</f>
        <v>Others</v>
      </c>
      <c r="D23" s="1470"/>
      <c r="E23" s="1468">
        <v>1867.3452393440825</v>
      </c>
      <c r="F23" s="1469"/>
      <c r="G23" s="1468">
        <v>29.904770800000009</v>
      </c>
      <c r="H23" s="1468">
        <v>846.15532005</v>
      </c>
      <c r="I23" s="1468">
        <v>654.92556263693655</v>
      </c>
      <c r="J23" s="1468">
        <v>0</v>
      </c>
      <c r="K23" s="1468">
        <v>1530.9856534869366</v>
      </c>
      <c r="L23" s="1468"/>
      <c r="M23" s="1468">
        <v>248.86199835000002</v>
      </c>
      <c r="N23" s="1468">
        <v>980.57762749000028</v>
      </c>
      <c r="O23" s="1468">
        <v>580.02982515836027</v>
      </c>
      <c r="P23" s="1468">
        <v>0</v>
      </c>
      <c r="Q23" s="1468">
        <v>1809.4694509983603</v>
      </c>
      <c r="R23" s="1469"/>
      <c r="S23" s="1468">
        <v>4283.4085149757511</v>
      </c>
      <c r="T23" s="543"/>
      <c r="U23" s="542"/>
      <c r="V23" s="543"/>
      <c r="W23" s="544"/>
      <c r="X23" s="545"/>
      <c r="Y23" s="545"/>
      <c r="Z23" s="545"/>
      <c r="AA23" s="545"/>
      <c r="AB23" s="545"/>
      <c r="AC23" s="545"/>
      <c r="AD23" s="545"/>
      <c r="AE23" s="545"/>
    </row>
    <row r="24" spans="3:31" s="538" customFormat="1" ht="15" customHeight="1">
      <c r="C24" s="697" t="str">
        <f>IF(Indice_index!$Z$1=1,"Outras receitas de capital","Other capital revenue")</f>
        <v>Other capital revenue</v>
      </c>
      <c r="D24" s="1470"/>
      <c r="E24" s="1468">
        <v>42.809041090078466</v>
      </c>
      <c r="F24" s="1469"/>
      <c r="G24" s="1468">
        <v>0.33489272000000064</v>
      </c>
      <c r="H24" s="1468">
        <v>14.968836359999999</v>
      </c>
      <c r="I24" s="1468">
        <v>16.270447478676815</v>
      </c>
      <c r="J24" s="1468">
        <v>0</v>
      </c>
      <c r="K24" s="1468">
        <v>31.574176558676818</v>
      </c>
      <c r="L24" s="1468"/>
      <c r="M24" s="1468">
        <v>20.281307250000005</v>
      </c>
      <c r="N24" s="1468">
        <v>27.249368369999996</v>
      </c>
      <c r="O24" s="1468">
        <v>18.047354123309173</v>
      </c>
      <c r="P24" s="1468">
        <v>5.5420300000000007E-3</v>
      </c>
      <c r="Q24" s="1468">
        <v>65.583571773309174</v>
      </c>
      <c r="R24" s="1469"/>
      <c r="S24" s="1468">
        <v>64.622553296611642</v>
      </c>
      <c r="T24" s="543"/>
      <c r="U24" s="542"/>
      <c r="V24" s="543"/>
      <c r="W24" s="544"/>
      <c r="X24" s="545"/>
      <c r="Y24" s="545"/>
      <c r="Z24" s="545"/>
      <c r="AA24" s="545"/>
      <c r="AB24" s="545"/>
      <c r="AC24" s="545"/>
      <c r="AD24" s="545"/>
      <c r="AE24" s="545"/>
    </row>
    <row r="25" spans="3:31" ht="15" customHeight="1">
      <c r="C25" s="703" t="str">
        <f>IF(Indice_index!$Z$1=1,"Diferenças de consolidação","Consolidation differences")</f>
        <v>Consolidation differences</v>
      </c>
      <c r="D25" s="689"/>
      <c r="E25" s="1078">
        <v>8.1899972800002416</v>
      </c>
      <c r="F25" s="246"/>
      <c r="G25" s="1078">
        <v>0.92513932999999682</v>
      </c>
      <c r="H25" s="1078">
        <v>0</v>
      </c>
      <c r="I25" s="1078">
        <v>0</v>
      </c>
      <c r="J25" s="1078">
        <v>0</v>
      </c>
      <c r="K25" s="1078">
        <v>5.8092023100001775</v>
      </c>
      <c r="L25" s="1078"/>
      <c r="M25" s="1078">
        <v>0</v>
      </c>
      <c r="N25" s="1078">
        <v>0</v>
      </c>
      <c r="O25" s="1078">
        <v>0</v>
      </c>
      <c r="P25" s="1078">
        <v>0</v>
      </c>
      <c r="Q25" s="1078">
        <v>0</v>
      </c>
      <c r="R25" s="246"/>
      <c r="S25" s="1078">
        <v>9.3618786769106919</v>
      </c>
      <c r="T25" s="546"/>
      <c r="U25" s="547"/>
      <c r="V25" s="546"/>
      <c r="W25" s="548"/>
      <c r="X25" s="541"/>
      <c r="Y25" s="541"/>
      <c r="Z25" s="541"/>
      <c r="AA25" s="541"/>
      <c r="AB25" s="541"/>
      <c r="AC25" s="541"/>
      <c r="AD25" s="541"/>
      <c r="AE25" s="541"/>
    </row>
    <row r="26" spans="3:31" s="549" customFormat="1" ht="4.5" customHeight="1">
      <c r="C26" s="681"/>
      <c r="D26" s="700"/>
      <c r="E26" s="1471"/>
      <c r="F26" s="700"/>
      <c r="G26" s="1471"/>
      <c r="H26" s="1471"/>
      <c r="I26" s="1471"/>
      <c r="J26" s="1471"/>
      <c r="K26" s="1471"/>
      <c r="L26" s="1471"/>
      <c r="M26" s="1471"/>
      <c r="N26" s="1471"/>
      <c r="O26" s="1471"/>
      <c r="P26" s="1471"/>
      <c r="Q26" s="1471"/>
      <c r="R26" s="700"/>
      <c r="S26" s="1471"/>
      <c r="T26" s="546"/>
      <c r="U26" s="550"/>
      <c r="V26" s="546"/>
      <c r="W26" s="548"/>
      <c r="X26" s="541"/>
      <c r="Y26" s="541"/>
      <c r="Z26" s="551"/>
      <c r="AA26" s="551"/>
      <c r="AB26" s="551"/>
      <c r="AC26" s="551"/>
      <c r="AD26" s="541"/>
      <c r="AE26" s="541"/>
    </row>
    <row r="27" spans="3:31" s="538" customFormat="1" ht="13.5" customHeight="1">
      <c r="C27" s="734" t="str">
        <f>IF(Indice_index!$Z$1=1,"Receita efetiva","Effective revenue")</f>
        <v>Effective revenue</v>
      </c>
      <c r="D27" s="318"/>
      <c r="E27" s="1472">
        <f>E9+E19</f>
        <v>91918.424411578613</v>
      </c>
      <c r="F27" s="1466"/>
      <c r="G27" s="1472">
        <f t="shared" ref="G27:J27" si="12">G9+G19</f>
        <v>44135.831778969994</v>
      </c>
      <c r="H27" s="1472">
        <f t="shared" si="12"/>
        <v>32905.369675389993</v>
      </c>
      <c r="I27" s="1472">
        <f t="shared" si="12"/>
        <v>11147.497181017159</v>
      </c>
      <c r="J27" s="1472">
        <f t="shared" si="12"/>
        <v>28684.868215579998</v>
      </c>
      <c r="K27" s="1472">
        <f>K9+K19</f>
        <v>80912.039017127157</v>
      </c>
      <c r="L27" s="1466"/>
      <c r="M27" s="1472">
        <f t="shared" ref="M27:P27" si="13">M9+M19</f>
        <v>51561.333685419995</v>
      </c>
      <c r="N27" s="1472">
        <f t="shared" si="13"/>
        <v>33908.299979230003</v>
      </c>
      <c r="O27" s="1472">
        <f t="shared" si="13"/>
        <v>12146.794872090552</v>
      </c>
      <c r="P27" s="1472">
        <f t="shared" si="13"/>
        <v>31189.976402460001</v>
      </c>
      <c r="Q27" s="1472">
        <f>Q9+Q19</f>
        <v>91536.314489330558</v>
      </c>
      <c r="R27" s="1466"/>
      <c r="S27" s="1472">
        <f>S9+S19</f>
        <v>101394.51997000854</v>
      </c>
      <c r="T27" s="543"/>
      <c r="U27" s="542"/>
      <c r="V27" s="543"/>
      <c r="W27" s="544"/>
      <c r="X27" s="545"/>
      <c r="Y27" s="545"/>
      <c r="Z27" s="545"/>
      <c r="AA27" s="545"/>
      <c r="AB27" s="545"/>
      <c r="AC27" s="545"/>
      <c r="AD27" s="545"/>
      <c r="AE27" s="545"/>
    </row>
    <row r="28" spans="3:31" s="549" customFormat="1" ht="4.5" customHeight="1">
      <c r="C28" s="681"/>
      <c r="D28" s="700"/>
      <c r="E28" s="1471"/>
      <c r="F28" s="700"/>
      <c r="G28" s="1471"/>
      <c r="H28" s="1471"/>
      <c r="I28" s="1471"/>
      <c r="J28" s="1471"/>
      <c r="K28" s="1471"/>
      <c r="L28" s="1471"/>
      <c r="M28" s="1471"/>
      <c r="N28" s="1471"/>
      <c r="O28" s="1471"/>
      <c r="P28" s="1471"/>
      <c r="Q28" s="1471"/>
      <c r="R28" s="700"/>
      <c r="S28" s="1471"/>
      <c r="T28" s="546"/>
      <c r="U28" s="550"/>
      <c r="V28" s="546"/>
      <c r="W28" s="548"/>
      <c r="X28" s="541"/>
      <c r="Y28" s="541"/>
      <c r="Z28" s="551"/>
      <c r="AA28" s="551"/>
      <c r="AB28" s="551"/>
      <c r="AC28" s="551"/>
      <c r="AD28" s="541"/>
      <c r="AE28" s="541"/>
    </row>
    <row r="29" spans="3:31" s="538" customFormat="1" ht="15" customHeight="1">
      <c r="C29" s="318" t="str">
        <f>IF(Indice_index!$Z$1=1,"Despesa corrente","Current expenditure")</f>
        <v>Current expenditure</v>
      </c>
      <c r="D29" s="1470"/>
      <c r="E29" s="1466">
        <f>E30+E34+E35+E36+E39+E40+E41</f>
        <v>92213.860103929823</v>
      </c>
      <c r="F29" s="246"/>
      <c r="G29" s="1466">
        <f>G30+G34+G35+G36+G39+G40+G41</f>
        <v>50180.474782110003</v>
      </c>
      <c r="H29" s="1466">
        <f t="shared" ref="H29:K29" si="14">H30+H34+H35+H36+H39+H40+H41</f>
        <v>28352.073600219988</v>
      </c>
      <c r="I29" s="1466">
        <f t="shared" si="14"/>
        <v>8648.4857712801841</v>
      </c>
      <c r="J29" s="1466">
        <f t="shared" si="14"/>
        <v>27534.676763109997</v>
      </c>
      <c r="K29" s="1466">
        <f t="shared" si="14"/>
        <v>80934.839658080164</v>
      </c>
      <c r="L29" s="1466"/>
      <c r="M29" s="1466">
        <f>M30+M34+M35+M36+M39+M40+M41</f>
        <v>52656.366734299991</v>
      </c>
      <c r="N29" s="1466">
        <f t="shared" ref="N29" si="15">N30+N34+N35+N36+N39+N40+N41</f>
        <v>29607.144031569984</v>
      </c>
      <c r="O29" s="1466">
        <f t="shared" ref="O29" si="16">O30+O34+O35+O36+O39+O40+O41</f>
        <v>9266.8962395143863</v>
      </c>
      <c r="P29" s="1466">
        <f t="shared" ref="P29" si="17">P30+P34+P35+P36+P39+P40+P41</f>
        <v>27342.534511689995</v>
      </c>
      <c r="Q29" s="1466">
        <f t="shared" ref="Q29" si="18">Q30+Q34+Q35+Q36+Q39+Q40+Q41</f>
        <v>83189.404219194374</v>
      </c>
      <c r="R29" s="246"/>
      <c r="S29" s="1466">
        <f>S30+S34+S35+S36+S39+S40+S41</f>
        <v>95189.59823413963</v>
      </c>
      <c r="T29" s="543"/>
      <c r="U29" s="542"/>
      <c r="V29" s="543"/>
      <c r="W29" s="544"/>
      <c r="X29" s="545"/>
      <c r="Y29" s="545"/>
      <c r="Z29" s="545"/>
      <c r="AA29" s="545"/>
      <c r="AB29" s="545"/>
      <c r="AC29" s="545"/>
      <c r="AD29" s="545"/>
      <c r="AE29" s="545"/>
    </row>
    <row r="30" spans="3:31" ht="15" customHeight="1">
      <c r="C30" s="703" t="str">
        <f>IF(Indice_index!$Z$1=1,"Despesas com o pessoal","Compensation of employees")</f>
        <v>Compensation of employees</v>
      </c>
      <c r="D30" s="689"/>
      <c r="E30" s="1078">
        <f>E31+E32+E33</f>
        <v>23503.247919816382</v>
      </c>
      <c r="F30" s="246"/>
      <c r="G30" s="1078">
        <f>G31+G32+G33</f>
        <v>9411.2291222199892</v>
      </c>
      <c r="H30" s="1078">
        <f t="shared" ref="H30:M30" si="19">H31+H32+H33</f>
        <v>7640.1599495700066</v>
      </c>
      <c r="I30" s="1078">
        <f t="shared" si="19"/>
        <v>4089.3096615262871</v>
      </c>
      <c r="J30" s="1078">
        <f t="shared" si="19"/>
        <v>266.39309865000001</v>
      </c>
      <c r="K30" s="1078">
        <f t="shared" si="19"/>
        <v>21407.091831966281</v>
      </c>
      <c r="L30" s="1078"/>
      <c r="M30" s="1078">
        <f t="shared" si="19"/>
        <v>9387.3899588499917</v>
      </c>
      <c r="N30" s="1078">
        <f t="shared" ref="N30" si="20">N31+N32+N33</f>
        <v>7849.6439053399863</v>
      </c>
      <c r="O30" s="1078">
        <f t="shared" ref="O30" si="21">O31+O32+O33</f>
        <v>4473.1210171220382</v>
      </c>
      <c r="P30" s="1078">
        <f t="shared" ref="P30" si="22">P31+P32+P33</f>
        <v>275.79708890000001</v>
      </c>
      <c r="Q30" s="1078">
        <f t="shared" ref="Q30" si="23">Q31+Q32+Q33</f>
        <v>21985.95197021202</v>
      </c>
      <c r="R30" s="246"/>
      <c r="S30" s="1078">
        <f>S31+S32+S33</f>
        <v>24073.728630554066</v>
      </c>
      <c r="T30" s="546"/>
      <c r="U30" s="547"/>
      <c r="V30" s="546"/>
      <c r="W30" s="548"/>
      <c r="X30" s="541"/>
      <c r="Y30" s="541"/>
      <c r="Z30" s="541"/>
      <c r="AA30" s="541"/>
      <c r="AB30" s="541"/>
      <c r="AC30" s="541"/>
      <c r="AD30" s="541"/>
      <c r="AE30" s="541"/>
    </row>
    <row r="31" spans="3:31" ht="15" customHeight="1">
      <c r="C31" s="1467" t="str">
        <f>IF(Indice_index!$Z$1=1,"Remunerações Certas e Permanentes","Certain and permanent wages")</f>
        <v>Certain and permanent wages</v>
      </c>
      <c r="D31" s="689"/>
      <c r="E31" s="1078">
        <v>16863.182267150922</v>
      </c>
      <c r="F31" s="246"/>
      <c r="G31" s="1078">
        <v>6821.5330501399922</v>
      </c>
      <c r="H31" s="1078">
        <v>5366.1265118400052</v>
      </c>
      <c r="I31" s="1078">
        <v>3071.8605210112332</v>
      </c>
      <c r="J31" s="1078">
        <v>215.40642075000002</v>
      </c>
      <c r="K31" s="1078">
        <v>15474.92650374123</v>
      </c>
      <c r="L31" s="1078"/>
      <c r="M31" s="1078">
        <v>6808.4353882299938</v>
      </c>
      <c r="N31" s="1078">
        <v>5536.7592037999893</v>
      </c>
      <c r="O31" s="1078">
        <v>3376.1079237639997</v>
      </c>
      <c r="P31" s="1078">
        <v>223.78098027000004</v>
      </c>
      <c r="Q31" s="1078">
        <v>15945.083496063984</v>
      </c>
      <c r="R31" s="246"/>
      <c r="S31" s="1078">
        <v>17750.481857474613</v>
      </c>
      <c r="T31" s="546"/>
      <c r="U31" s="547"/>
      <c r="V31" s="546"/>
      <c r="W31" s="548"/>
      <c r="X31" s="541"/>
      <c r="Y31" s="541"/>
      <c r="Z31" s="541"/>
      <c r="AA31" s="541"/>
      <c r="AB31" s="541"/>
      <c r="AC31" s="541"/>
      <c r="AD31" s="541"/>
      <c r="AE31" s="541"/>
    </row>
    <row r="32" spans="3:31" ht="15" customHeight="1">
      <c r="C32" s="1467" t="str">
        <f>IF(Indice_index!$Z$1=1,"Abonos Variáveis ou Eventuais","Variable or contingent bonuses")</f>
        <v>Variable or contingent bonuses</v>
      </c>
      <c r="D32" s="689"/>
      <c r="E32" s="1078">
        <v>1572.0595564559444</v>
      </c>
      <c r="F32" s="246"/>
      <c r="G32" s="1078">
        <v>334.850257669999</v>
      </c>
      <c r="H32" s="1078">
        <v>859.06999924000024</v>
      </c>
      <c r="I32" s="1078">
        <v>214.30629843330115</v>
      </c>
      <c r="J32" s="1078">
        <v>4.4319055000000001</v>
      </c>
      <c r="K32" s="1078">
        <v>1412.6584608433006</v>
      </c>
      <c r="L32" s="1078"/>
      <c r="M32" s="1078">
        <v>349.86748387000023</v>
      </c>
      <c r="N32" s="1078">
        <v>872.48875036999993</v>
      </c>
      <c r="O32" s="1078">
        <v>232.96338108280455</v>
      </c>
      <c r="P32" s="1078">
        <v>4.6029236999999998</v>
      </c>
      <c r="Q32" s="1078">
        <v>1459.9225390228046</v>
      </c>
      <c r="R32" s="246"/>
      <c r="S32" s="1078">
        <v>1512.1656374667184</v>
      </c>
      <c r="T32" s="546"/>
      <c r="U32" s="547"/>
      <c r="V32" s="546"/>
      <c r="W32" s="548"/>
      <c r="X32" s="541"/>
      <c r="Y32" s="541"/>
      <c r="Z32" s="541"/>
      <c r="AA32" s="541"/>
      <c r="AB32" s="541"/>
      <c r="AC32" s="541"/>
      <c r="AD32" s="541"/>
      <c r="AE32" s="541"/>
    </row>
    <row r="33" spans="3:31" ht="15" customHeight="1">
      <c r="C33" s="1467" t="str">
        <f>IF(Indice_index!$Z$1=1,"Segurança social","Social security")</f>
        <v>Social security</v>
      </c>
      <c r="D33" s="689"/>
      <c r="E33" s="1078">
        <v>5068.0060962095167</v>
      </c>
      <c r="F33" s="246"/>
      <c r="G33" s="1078">
        <v>2254.8458144099977</v>
      </c>
      <c r="H33" s="1078">
        <v>1414.9634384900007</v>
      </c>
      <c r="I33" s="1078">
        <v>803.14284208175286</v>
      </c>
      <c r="J33" s="1078">
        <v>46.554772400000012</v>
      </c>
      <c r="K33" s="1078">
        <v>4519.5068673817514</v>
      </c>
      <c r="L33" s="1078"/>
      <c r="M33" s="1078">
        <v>2229.0870867499975</v>
      </c>
      <c r="N33" s="1078">
        <v>1440.3959511699973</v>
      </c>
      <c r="O33" s="1078">
        <v>864.04971227523379</v>
      </c>
      <c r="P33" s="1078">
        <v>47.413184929999993</v>
      </c>
      <c r="Q33" s="1078">
        <v>4580.945935125229</v>
      </c>
      <c r="R33" s="246"/>
      <c r="S33" s="1078">
        <v>4811.0811356127342</v>
      </c>
      <c r="T33" s="546"/>
      <c r="U33" s="547"/>
      <c r="V33" s="546"/>
      <c r="W33" s="548"/>
      <c r="X33" s="541"/>
      <c r="Y33" s="541"/>
      <c r="Z33" s="541"/>
      <c r="AA33" s="541"/>
      <c r="AB33" s="541"/>
      <c r="AC33" s="541"/>
      <c r="AD33" s="541"/>
      <c r="AE33" s="541"/>
    </row>
    <row r="34" spans="3:31" ht="15" customHeight="1">
      <c r="C34" s="703" t="str">
        <f>IF(Indice_index!$Z$1=1,"Aquisição de bens e serviços","Purchase of goods and services")</f>
        <v>Purchase of goods and services</v>
      </c>
      <c r="D34" s="689"/>
      <c r="E34" s="1078">
        <v>14824.748358832137</v>
      </c>
      <c r="F34" s="246"/>
      <c r="G34" s="1078">
        <v>1140.6981513400053</v>
      </c>
      <c r="H34" s="1078">
        <v>7763.6546868299802</v>
      </c>
      <c r="I34" s="1078">
        <v>2848.3984407866783</v>
      </c>
      <c r="J34" s="1078">
        <v>81.881336560000008</v>
      </c>
      <c r="K34" s="1078">
        <v>11829.963371006663</v>
      </c>
      <c r="L34" s="1078"/>
      <c r="M34" s="1078">
        <v>1136.90551</v>
      </c>
      <c r="N34" s="1078">
        <v>8477.3806203999993</v>
      </c>
      <c r="O34" s="1078">
        <v>3087.96662638214</v>
      </c>
      <c r="P34" s="1078">
        <v>73.763300629999975</v>
      </c>
      <c r="Q34" s="1078">
        <v>12771.495258132139</v>
      </c>
      <c r="R34" s="246"/>
      <c r="S34" s="1078">
        <v>15878.382236609272</v>
      </c>
      <c r="T34" s="546"/>
      <c r="U34" s="547"/>
      <c r="V34" s="546"/>
      <c r="W34" s="548"/>
      <c r="X34" s="541"/>
      <c r="Y34" s="541"/>
      <c r="Z34" s="541"/>
      <c r="AA34" s="541"/>
      <c r="AB34" s="541"/>
      <c r="AC34" s="541"/>
      <c r="AD34" s="541"/>
      <c r="AE34" s="541"/>
    </row>
    <row r="35" spans="3:31" ht="15" customHeight="1">
      <c r="C35" s="703" t="str">
        <f>IF(Indice_index!$Z$1=1,"Juros e outros encargos","Interests and other charges")</f>
        <v>Interests and other charges</v>
      </c>
      <c r="D35" s="689"/>
      <c r="E35" s="1078">
        <v>6950.9798698186814</v>
      </c>
      <c r="F35" s="246"/>
      <c r="G35" s="1078">
        <v>6310.8840981200001</v>
      </c>
      <c r="H35" s="1078">
        <v>397.09675781999994</v>
      </c>
      <c r="I35" s="1078">
        <v>133.93642364626461</v>
      </c>
      <c r="J35" s="1078">
        <v>5.7459727699999998</v>
      </c>
      <c r="K35" s="1078">
        <v>6709.9503543462642</v>
      </c>
      <c r="L35" s="1078"/>
      <c r="M35" s="1078">
        <v>5984.4431324200004</v>
      </c>
      <c r="N35" s="1078">
        <v>246.73680824999997</v>
      </c>
      <c r="O35" s="1078">
        <v>158.47258329881151</v>
      </c>
      <c r="P35" s="1078">
        <v>6.3777875700000006</v>
      </c>
      <c r="Q35" s="1078">
        <v>6345.6551396488112</v>
      </c>
      <c r="R35" s="246"/>
      <c r="S35" s="1078">
        <v>6811.6674575227453</v>
      </c>
      <c r="T35" s="546"/>
      <c r="U35" s="547"/>
      <c r="V35" s="546"/>
      <c r="W35" s="548"/>
      <c r="X35" s="541"/>
      <c r="Y35" s="541"/>
      <c r="Z35" s="541"/>
      <c r="AA35" s="541"/>
      <c r="AB35" s="541"/>
      <c r="AC35" s="541"/>
      <c r="AD35" s="541"/>
      <c r="AE35" s="541"/>
    </row>
    <row r="36" spans="3:31" ht="15" customHeight="1">
      <c r="C36" s="703" t="str">
        <f>IF(Indice_index!$Z$1=1,"Transferências correntes","Current transfers")</f>
        <v>Current transfers</v>
      </c>
      <c r="D36" s="689"/>
      <c r="E36" s="1078">
        <v>43772.156764577245</v>
      </c>
      <c r="F36" s="246"/>
      <c r="G36" s="1078">
        <v>32861.245465460001</v>
      </c>
      <c r="H36" s="1078">
        <v>11575.888942259999</v>
      </c>
      <c r="I36" s="1078">
        <v>976.96938730950831</v>
      </c>
      <c r="J36" s="1078">
        <v>26357.047777889999</v>
      </c>
      <c r="K36" s="1078">
        <v>38491.716067629503</v>
      </c>
      <c r="L36" s="1078"/>
      <c r="M36" s="1078">
        <v>35584.818835649996</v>
      </c>
      <c r="N36" s="1078">
        <v>12180.05078838</v>
      </c>
      <c r="O36" s="1078">
        <v>954.05837413638073</v>
      </c>
      <c r="P36" s="1078">
        <v>26180.468638669994</v>
      </c>
      <c r="Q36" s="1078">
        <v>39577.801453016378</v>
      </c>
      <c r="R36" s="246"/>
      <c r="S36" s="1078">
        <v>43612.929022356679</v>
      </c>
      <c r="T36" s="546"/>
      <c r="U36" s="547"/>
      <c r="V36" s="546"/>
      <c r="W36" s="548"/>
      <c r="X36" s="541"/>
      <c r="Y36" s="541"/>
      <c r="Z36" s="541"/>
      <c r="AA36" s="541"/>
      <c r="AB36" s="541"/>
      <c r="AC36" s="541"/>
      <c r="AD36" s="541"/>
      <c r="AE36" s="541"/>
    </row>
    <row r="37" spans="3:31" ht="15" customHeight="1">
      <c r="C37" s="1467" t="str">
        <f>IF(Indice_index!$Z$1=1,"Administrações Públicas","General Government subsectors")</f>
        <v>General Government subsectors</v>
      </c>
      <c r="D37" s="689"/>
      <c r="E37" s="1078">
        <v>0</v>
      </c>
      <c r="F37" s="246"/>
      <c r="G37" s="1078">
        <v>30176.79464801</v>
      </c>
      <c r="H37" s="1078">
        <v>994.30539077999993</v>
      </c>
      <c r="I37" s="1078">
        <v>137.62300740999999</v>
      </c>
      <c r="J37" s="1078">
        <v>1970.71245909</v>
      </c>
      <c r="K37" s="1078">
        <v>0</v>
      </c>
      <c r="L37" s="1078"/>
      <c r="M37" s="1078">
        <v>32604.054807749995</v>
      </c>
      <c r="N37" s="1078">
        <v>931.29246299999977</v>
      </c>
      <c r="O37" s="1078">
        <v>166.28619805999998</v>
      </c>
      <c r="P37" s="1078">
        <v>1619.96171501</v>
      </c>
      <c r="Q37" s="1078">
        <v>0</v>
      </c>
      <c r="R37" s="246"/>
      <c r="S37" s="1078">
        <v>0</v>
      </c>
      <c r="T37" s="546"/>
      <c r="U37" s="547"/>
      <c r="V37" s="546"/>
      <c r="W37" s="548"/>
      <c r="X37" s="541"/>
      <c r="Y37" s="541"/>
      <c r="Z37" s="541"/>
      <c r="AA37" s="541"/>
      <c r="AB37" s="541"/>
      <c r="AC37" s="541"/>
      <c r="AD37" s="541"/>
      <c r="AE37" s="541"/>
    </row>
    <row r="38" spans="3:31" ht="15" customHeight="1">
      <c r="C38" s="1467" t="str">
        <f>IF(Indice_index!$Z$1=1,"Outras","Others")</f>
        <v>Others</v>
      </c>
      <c r="D38" s="689"/>
      <c r="E38" s="1468">
        <v>43772.156764577245</v>
      </c>
      <c r="F38" s="1469"/>
      <c r="G38" s="1468">
        <v>2684.4508174499992</v>
      </c>
      <c r="H38" s="1468">
        <v>10581.583551479998</v>
      </c>
      <c r="I38" s="1468">
        <v>839.34637989950829</v>
      </c>
      <c r="J38" s="1468">
        <v>24386.3353188</v>
      </c>
      <c r="K38" s="1468">
        <v>38491.716067629503</v>
      </c>
      <c r="L38" s="1468"/>
      <c r="M38" s="1468">
        <v>2980.7640278999993</v>
      </c>
      <c r="N38" s="1468">
        <v>11248.75832538</v>
      </c>
      <c r="O38" s="1468">
        <v>787.77217607638079</v>
      </c>
      <c r="P38" s="1468">
        <v>24560.506923659996</v>
      </c>
      <c r="Q38" s="1468">
        <v>39577.801453016378</v>
      </c>
      <c r="R38" s="1469"/>
      <c r="S38" s="1468">
        <v>43612.929022356679</v>
      </c>
      <c r="T38" s="546"/>
      <c r="U38" s="547"/>
      <c r="V38" s="546"/>
      <c r="W38" s="548"/>
      <c r="X38" s="541"/>
      <c r="Y38" s="541"/>
      <c r="Z38" s="541"/>
      <c r="AA38" s="541"/>
      <c r="AB38" s="541"/>
      <c r="AC38" s="541"/>
      <c r="AD38" s="541"/>
      <c r="AE38" s="541"/>
    </row>
    <row r="39" spans="3:31" ht="15" customHeight="1">
      <c r="C39" s="703" t="str">
        <f>IF(Indice_index!$Z$1=1,"Subsídios","Subsidies")</f>
        <v>Subsidies</v>
      </c>
      <c r="D39" s="689"/>
      <c r="E39" s="1078">
        <v>2149.9127327166143</v>
      </c>
      <c r="F39" s="246"/>
      <c r="G39" s="1078">
        <v>108.29718691000002</v>
      </c>
      <c r="H39" s="1078">
        <v>807.20227982000017</v>
      </c>
      <c r="I39" s="1078">
        <v>497.74699480809795</v>
      </c>
      <c r="J39" s="1078">
        <v>814.46185185000002</v>
      </c>
      <c r="K39" s="1078">
        <v>1802.9651260080982</v>
      </c>
      <c r="L39" s="1078"/>
      <c r="M39" s="1078">
        <v>164.15438354000005</v>
      </c>
      <c r="N39" s="1078">
        <v>619.69585104999987</v>
      </c>
      <c r="O39" s="1078">
        <v>467.88458699200845</v>
      </c>
      <c r="P39" s="1078">
        <v>795.3982657900001</v>
      </c>
      <c r="Q39" s="1078">
        <v>1740.0869444820084</v>
      </c>
      <c r="R39" s="246"/>
      <c r="S39" s="1078">
        <v>2114.0344561551046</v>
      </c>
      <c r="T39" s="546"/>
      <c r="U39" s="547"/>
      <c r="V39" s="546"/>
      <c r="W39" s="548"/>
      <c r="X39" s="541"/>
      <c r="Y39" s="541"/>
      <c r="Z39" s="541"/>
      <c r="AA39" s="541"/>
      <c r="AB39" s="541"/>
      <c r="AC39" s="541"/>
      <c r="AD39" s="541"/>
      <c r="AE39" s="541"/>
    </row>
    <row r="40" spans="3:31" ht="15" customHeight="1">
      <c r="C40" s="703" t="str">
        <f>IF(Indice_index!$Z$1=1,"Outras despesas correntes","Other current expenditures")</f>
        <v>Other current expenditures</v>
      </c>
      <c r="D40" s="689"/>
      <c r="E40" s="1078">
        <v>767.44553545876136</v>
      </c>
      <c r="F40" s="246"/>
      <c r="G40" s="1078">
        <v>339.93538963999993</v>
      </c>
      <c r="H40" s="1078">
        <v>163.14690909999999</v>
      </c>
      <c r="I40" s="1078">
        <v>101.68892885334705</v>
      </c>
      <c r="J40" s="1078">
        <v>9.1467253900000003</v>
      </c>
      <c r="K40" s="1078">
        <v>613.91795298334705</v>
      </c>
      <c r="L40" s="1078"/>
      <c r="M40" s="1078">
        <v>393.6690693499998</v>
      </c>
      <c r="N40" s="1078">
        <v>225.89086262000001</v>
      </c>
      <c r="O40" s="1078">
        <v>125.39305158300628</v>
      </c>
      <c r="P40" s="1078">
        <v>10.729430130000003</v>
      </c>
      <c r="Q40" s="1078">
        <v>755.68241368300608</v>
      </c>
      <c r="R40" s="246"/>
      <c r="S40" s="1078">
        <v>2461.5376299429199</v>
      </c>
      <c r="T40" s="546"/>
      <c r="U40" s="547"/>
      <c r="V40" s="546"/>
      <c r="W40" s="548"/>
      <c r="X40" s="541"/>
      <c r="Y40" s="541"/>
      <c r="Z40" s="541"/>
      <c r="AA40" s="541"/>
      <c r="AB40" s="541"/>
      <c r="AC40" s="541"/>
      <c r="AD40" s="541"/>
      <c r="AE40" s="541"/>
    </row>
    <row r="41" spans="3:31" ht="15" customHeight="1">
      <c r="C41" s="703" t="str">
        <f>IF(Indice_index!$Z$1=1,"Diferenças de consolidação","Consolidation differences")</f>
        <v>Consolidation differences</v>
      </c>
      <c r="D41" s="689"/>
      <c r="E41" s="1078">
        <v>245.36892270998956</v>
      </c>
      <c r="F41" s="246"/>
      <c r="G41" s="1078">
        <v>8.1853684199999748</v>
      </c>
      <c r="H41" s="1078">
        <v>4.9240748199990776</v>
      </c>
      <c r="I41" s="1078">
        <v>0.43593435000025238</v>
      </c>
      <c r="J41" s="1078">
        <v>0</v>
      </c>
      <c r="K41" s="1078">
        <v>79.234954140000525</v>
      </c>
      <c r="L41" s="1078"/>
      <c r="M41" s="1078">
        <v>4.9858444899999768</v>
      </c>
      <c r="N41" s="1078">
        <v>7.7451955299966935</v>
      </c>
      <c r="O41" s="1078">
        <v>0</v>
      </c>
      <c r="P41" s="1078">
        <v>0</v>
      </c>
      <c r="Q41" s="1078">
        <v>12.731040019996669</v>
      </c>
      <c r="R41" s="246"/>
      <c r="S41" s="1078">
        <v>237.31880099884347</v>
      </c>
      <c r="T41" s="546"/>
      <c r="U41" s="547"/>
      <c r="V41" s="546"/>
      <c r="W41" s="548"/>
      <c r="X41" s="541"/>
      <c r="Y41" s="541"/>
      <c r="Z41" s="541"/>
      <c r="AA41" s="541"/>
      <c r="AB41" s="541"/>
      <c r="AC41" s="541"/>
      <c r="AD41" s="541"/>
      <c r="AE41" s="541"/>
    </row>
    <row r="42" spans="3:31" s="538" customFormat="1" ht="15" customHeight="1">
      <c r="C42" s="318" t="str">
        <f>IF(Indice_index!$Z$1=1,"Despesa de capital","Capital expenditure")</f>
        <v>Capital expenditure</v>
      </c>
      <c r="D42" s="1470"/>
      <c r="E42" s="1466">
        <f>E43+E44+E47+E48</f>
        <v>8347.7309172296245</v>
      </c>
      <c r="F42" s="246"/>
      <c r="G42" s="1466">
        <f>G43+G44+G47+G48</f>
        <v>2626.0442356200006</v>
      </c>
      <c r="H42" s="1466">
        <f t="shared" ref="H42:K42" si="24">H43+H44+H47+H48</f>
        <v>3296.8995441899988</v>
      </c>
      <c r="I42" s="1466">
        <f t="shared" si="24"/>
        <v>2785.3907420752807</v>
      </c>
      <c r="J42" s="1466">
        <f t="shared" si="24"/>
        <v>29.852668359999996</v>
      </c>
      <c r="K42" s="1466">
        <f t="shared" si="24"/>
        <v>6557.5306150552788</v>
      </c>
      <c r="L42" s="1466"/>
      <c r="M42" s="1466">
        <f>M43+M44+M47+M48</f>
        <v>2167.8928423000011</v>
      </c>
      <c r="N42" s="1466">
        <f t="shared" ref="N42" si="25">N43+N44+N47+N48</f>
        <v>3260.3828337699997</v>
      </c>
      <c r="O42" s="1466">
        <f t="shared" ref="O42" si="26">O43+O44+O47+O48</f>
        <v>2616.4363765388307</v>
      </c>
      <c r="P42" s="1466">
        <f t="shared" ref="P42" si="27">P43+P44+P47+P48</f>
        <v>33.747908070000001</v>
      </c>
      <c r="Q42" s="1466">
        <f t="shared" ref="Q42" si="28">Q43+Q44+Q47+Q48</f>
        <v>6491.9068086888328</v>
      </c>
      <c r="R42" s="246"/>
      <c r="S42" s="1466">
        <f>S43+S44+S47+S48</f>
        <v>11396.598151081178</v>
      </c>
      <c r="T42" s="543"/>
      <c r="U42" s="552"/>
      <c r="V42" s="543"/>
      <c r="W42" s="544"/>
      <c r="X42" s="545"/>
      <c r="Y42" s="545"/>
      <c r="Z42" s="545"/>
      <c r="AA42" s="545"/>
      <c r="AB42" s="545"/>
      <c r="AC42" s="545"/>
      <c r="AD42" s="545"/>
      <c r="AE42" s="545"/>
    </row>
    <row r="43" spans="3:31" ht="15" customHeight="1">
      <c r="C43" s="703" t="str">
        <f>IF(Indice_index!$Z$1=1,"Investimentos","Investments")</f>
        <v>Investments</v>
      </c>
      <c r="D43" s="689"/>
      <c r="E43" s="1078">
        <v>6350.2217419787266</v>
      </c>
      <c r="F43" s="246"/>
      <c r="G43" s="1078">
        <v>399.17459536000024</v>
      </c>
      <c r="H43" s="1078">
        <v>2263.9450190099988</v>
      </c>
      <c r="I43" s="1078">
        <v>2339.2475744032249</v>
      </c>
      <c r="J43" s="1078">
        <v>26.967336929999995</v>
      </c>
      <c r="K43" s="1078">
        <v>5029.3345257032233</v>
      </c>
      <c r="L43" s="1078"/>
      <c r="M43" s="1078">
        <v>568.76430235000078</v>
      </c>
      <c r="N43" s="1078">
        <v>2413.0625511599997</v>
      </c>
      <c r="O43" s="1078">
        <v>2215.4227988513585</v>
      </c>
      <c r="P43" s="1078">
        <v>30.892491380000003</v>
      </c>
      <c r="Q43" s="1078">
        <v>5228.1421437413592</v>
      </c>
      <c r="R43" s="246"/>
      <c r="S43" s="1078">
        <v>9105.9564992394389</v>
      </c>
      <c r="T43" s="546"/>
      <c r="U43" s="547"/>
      <c r="V43" s="546"/>
      <c r="W43" s="548"/>
      <c r="X43" s="541"/>
      <c r="Y43" s="541"/>
      <c r="Z43" s="541"/>
      <c r="AA43" s="541"/>
      <c r="AB43" s="541"/>
      <c r="AC43" s="541"/>
      <c r="AD43" s="541"/>
      <c r="AE43" s="541"/>
    </row>
    <row r="44" spans="3:31" ht="15" customHeight="1">
      <c r="C44" s="703" t="str">
        <f>IF(Indice_index!$Z$1=1,"Transferências de capital","Capital transfers")</f>
        <v>Capital transfers</v>
      </c>
      <c r="D44" s="689"/>
      <c r="E44" s="1078">
        <v>1784.3860212726904</v>
      </c>
      <c r="F44" s="246"/>
      <c r="G44" s="1078">
        <v>2199.9627091500001</v>
      </c>
      <c r="H44" s="1078">
        <v>984.59861866000017</v>
      </c>
      <c r="I44" s="1078">
        <v>436.31715498705586</v>
      </c>
      <c r="J44" s="1078">
        <v>2.8853314299999999</v>
      </c>
      <c r="K44" s="1078">
        <v>1443.1072390370559</v>
      </c>
      <c r="L44" s="1078"/>
      <c r="M44" s="1078">
        <v>1587.2728333700004</v>
      </c>
      <c r="N44" s="1078">
        <v>646.68693486999996</v>
      </c>
      <c r="O44" s="1078">
        <v>388.88574158816925</v>
      </c>
      <c r="P44" s="1078">
        <v>2.8554166899999998</v>
      </c>
      <c r="Q44" s="1078">
        <v>1027.3826248781693</v>
      </c>
      <c r="R44" s="246"/>
      <c r="S44" s="1078">
        <v>2030.9235200694229</v>
      </c>
      <c r="T44" s="546"/>
      <c r="U44" s="547"/>
      <c r="V44" s="546"/>
      <c r="W44" s="548"/>
      <c r="X44" s="541"/>
      <c r="Y44" s="541"/>
      <c r="Z44" s="541"/>
      <c r="AA44" s="541"/>
      <c r="AB44" s="541"/>
      <c r="AC44" s="541"/>
      <c r="AD44" s="541"/>
      <c r="AE44" s="541"/>
    </row>
    <row r="45" spans="3:31" ht="15" customHeight="1">
      <c r="C45" s="1467" t="str">
        <f>IF(Indice_index!$Z$1=1,"Administrações Públicas","General Government subsectors")</f>
        <v>General Government subsectors</v>
      </c>
      <c r="D45" s="689"/>
      <c r="E45" s="1078">
        <v>0</v>
      </c>
      <c r="F45" s="246"/>
      <c r="G45" s="1078">
        <v>2138.4365079200002</v>
      </c>
      <c r="H45" s="1078">
        <v>29.75999496</v>
      </c>
      <c r="I45" s="1078">
        <v>12.460072309999999</v>
      </c>
      <c r="J45" s="1078">
        <v>0</v>
      </c>
      <c r="K45" s="1078">
        <v>0</v>
      </c>
      <c r="L45" s="1078"/>
      <c r="M45" s="1078">
        <v>1537.8096965300003</v>
      </c>
      <c r="N45" s="1078">
        <v>46.858052349999994</v>
      </c>
      <c r="O45" s="1078">
        <v>13.650552759999991</v>
      </c>
      <c r="P45" s="1078">
        <v>0</v>
      </c>
      <c r="Q45" s="1078">
        <v>0</v>
      </c>
      <c r="R45" s="246"/>
      <c r="S45" s="1078">
        <v>0</v>
      </c>
      <c r="T45" s="546"/>
      <c r="U45" s="547"/>
      <c r="V45" s="546"/>
      <c r="W45" s="548"/>
      <c r="X45" s="541"/>
      <c r="Y45" s="541"/>
      <c r="Z45" s="541"/>
      <c r="AA45" s="541"/>
      <c r="AB45" s="541"/>
      <c r="AC45" s="541"/>
      <c r="AD45" s="541"/>
      <c r="AE45" s="541"/>
    </row>
    <row r="46" spans="3:31" ht="15" customHeight="1">
      <c r="C46" s="1467" t="str">
        <f>IF(Indice_index!$Z$1=1,"Outras","Others")</f>
        <v>Others</v>
      </c>
      <c r="D46" s="689"/>
      <c r="E46" s="1468">
        <v>1784.3860212726904</v>
      </c>
      <c r="F46" s="1469"/>
      <c r="G46" s="1468">
        <v>61.526201230000005</v>
      </c>
      <c r="H46" s="1468">
        <v>954.8386237000002</v>
      </c>
      <c r="I46" s="1468">
        <v>423.85708267705587</v>
      </c>
      <c r="J46" s="1468">
        <v>2.8853314299999999</v>
      </c>
      <c r="K46" s="1468">
        <v>1443.1072390370559</v>
      </c>
      <c r="L46" s="1468"/>
      <c r="M46" s="1468">
        <v>49.463136839999997</v>
      </c>
      <c r="N46" s="1468">
        <v>599.82888251999998</v>
      </c>
      <c r="O46" s="1468">
        <v>375.23518882816927</v>
      </c>
      <c r="P46" s="1468">
        <v>2.8554166899999998</v>
      </c>
      <c r="Q46" s="1468">
        <v>1027.3826248781693</v>
      </c>
      <c r="R46" s="1469"/>
      <c r="S46" s="1468">
        <v>2030.9235200694229</v>
      </c>
      <c r="T46" s="546"/>
      <c r="U46" s="547"/>
      <c r="V46" s="546"/>
      <c r="W46" s="548"/>
      <c r="X46" s="541"/>
      <c r="Y46" s="541"/>
      <c r="Z46" s="541"/>
      <c r="AA46" s="541"/>
      <c r="AB46" s="541"/>
      <c r="AC46" s="541"/>
      <c r="AD46" s="541"/>
      <c r="AE46" s="541"/>
    </row>
    <row r="47" spans="3:31" ht="15" customHeight="1">
      <c r="C47" s="703" t="str">
        <f>IF(Indice_index!$Z$1=1,"Outras despesas de capital","Other capital expenditures")</f>
        <v>Other capital expenditures</v>
      </c>
      <c r="D47" s="689"/>
      <c r="E47" s="1078">
        <v>161.298410108208</v>
      </c>
      <c r="F47" s="246"/>
      <c r="G47" s="1078">
        <v>26.906931110000002</v>
      </c>
      <c r="H47" s="1078">
        <v>21.271677810000003</v>
      </c>
      <c r="I47" s="1078">
        <v>9.8260126849999985</v>
      </c>
      <c r="J47" s="1078">
        <v>0</v>
      </c>
      <c r="K47" s="1078">
        <v>58.004621605000004</v>
      </c>
      <c r="L47" s="1078"/>
      <c r="M47" s="1078">
        <v>10.729498659999999</v>
      </c>
      <c r="N47" s="1078">
        <v>172.01224834999999</v>
      </c>
      <c r="O47" s="1078">
        <v>11.929199699302913</v>
      </c>
      <c r="P47" s="1078">
        <v>0</v>
      </c>
      <c r="Q47" s="1078">
        <v>194.67094670930288</v>
      </c>
      <c r="R47" s="246"/>
      <c r="S47" s="1078">
        <v>257.19700877231622</v>
      </c>
      <c r="T47" s="546"/>
      <c r="U47" s="547"/>
      <c r="V47" s="546"/>
      <c r="W47" s="548"/>
      <c r="X47" s="541"/>
      <c r="Y47" s="541"/>
      <c r="Z47" s="541"/>
      <c r="AA47" s="541"/>
      <c r="AB47" s="541"/>
      <c r="AC47" s="541"/>
      <c r="AD47" s="541"/>
      <c r="AE47" s="541"/>
    </row>
    <row r="48" spans="3:31" ht="15" customHeight="1">
      <c r="C48" s="703" t="str">
        <f>IF(Indice_index!$Z$1=1,"Diferenças de consolidação","Consolidation differences")</f>
        <v>Consolidation differences</v>
      </c>
      <c r="D48" s="689"/>
      <c r="E48" s="1078">
        <v>51.824743870000162</v>
      </c>
      <c r="F48" s="246"/>
      <c r="G48" s="1078">
        <v>0</v>
      </c>
      <c r="H48" s="1078">
        <v>27.084228710000076</v>
      </c>
      <c r="I48" s="1078">
        <v>0</v>
      </c>
      <c r="J48" s="1078">
        <v>0</v>
      </c>
      <c r="K48" s="1078">
        <v>27.084228710000076</v>
      </c>
      <c r="L48" s="1078"/>
      <c r="M48" s="1078">
        <v>1.1262079200000006</v>
      </c>
      <c r="N48" s="1078">
        <v>28.621099390000268</v>
      </c>
      <c r="O48" s="1078">
        <v>0.19863639999999805</v>
      </c>
      <c r="P48" s="1078">
        <v>0</v>
      </c>
      <c r="Q48" s="1078">
        <v>41.711093360000504</v>
      </c>
      <c r="R48" s="246"/>
      <c r="S48" s="1078">
        <v>2.5211229999999887</v>
      </c>
      <c r="T48" s="546"/>
      <c r="U48" s="547"/>
      <c r="V48" s="546"/>
      <c r="W48" s="548"/>
      <c r="X48" s="541"/>
      <c r="Y48" s="541"/>
      <c r="Z48" s="541"/>
      <c r="AA48" s="541"/>
      <c r="AB48" s="541"/>
      <c r="AC48" s="541"/>
      <c r="AD48" s="541"/>
      <c r="AE48" s="541"/>
    </row>
    <row r="49" spans="3:31" s="549" customFormat="1" ht="4.5" customHeight="1">
      <c r="C49" s="700"/>
      <c r="D49" s="700"/>
      <c r="E49" s="1473"/>
      <c r="F49" s="700"/>
      <c r="G49" s="1473"/>
      <c r="H49" s="1473"/>
      <c r="I49" s="1473"/>
      <c r="J49" s="1473"/>
      <c r="K49" s="1473"/>
      <c r="L49" s="1473"/>
      <c r="M49" s="1473"/>
      <c r="N49" s="1473"/>
      <c r="O49" s="1473"/>
      <c r="P49" s="1473"/>
      <c r="Q49" s="1473"/>
      <c r="R49" s="700"/>
      <c r="S49" s="1473"/>
      <c r="T49" s="546"/>
      <c r="U49" s="547"/>
      <c r="V49" s="547"/>
      <c r="W49" s="548"/>
      <c r="X49" s="541"/>
      <c r="Y49" s="541"/>
      <c r="Z49" s="547"/>
      <c r="AA49" s="547"/>
      <c r="AB49" s="548"/>
      <c r="AC49" s="541"/>
      <c r="AD49" s="541"/>
      <c r="AE49" s="541"/>
    </row>
    <row r="50" spans="3:31" s="538" customFormat="1" ht="15" customHeight="1">
      <c r="C50" s="734" t="str">
        <f>IF(Indice_index!$Z$1=1,"Despesa efetiva","Effective expenditure")</f>
        <v>Effective expenditure</v>
      </c>
      <c r="D50" s="318"/>
      <c r="E50" s="1472">
        <f>E29+E42</f>
        <v>100561.59102115945</v>
      </c>
      <c r="F50" s="1466"/>
      <c r="G50" s="1472">
        <f t="shared" ref="G50:J50" si="29">G29+G42</f>
        <v>52806.519017730003</v>
      </c>
      <c r="H50" s="1472">
        <f t="shared" si="29"/>
        <v>31648.973144409989</v>
      </c>
      <c r="I50" s="1472">
        <f t="shared" si="29"/>
        <v>11433.876513355464</v>
      </c>
      <c r="J50" s="1472">
        <f t="shared" si="29"/>
        <v>27564.529431469997</v>
      </c>
      <c r="K50" s="1472">
        <f>K29+K42</f>
        <v>87492.370273135442</v>
      </c>
      <c r="L50" s="1466"/>
      <c r="M50" s="1472">
        <f t="shared" ref="M50:P50" si="30">M29+M42</f>
        <v>54824.259576599994</v>
      </c>
      <c r="N50" s="1472">
        <f t="shared" si="30"/>
        <v>32867.526865339983</v>
      </c>
      <c r="O50" s="1472">
        <f t="shared" si="30"/>
        <v>11883.332616053216</v>
      </c>
      <c r="P50" s="1472">
        <f t="shared" si="30"/>
        <v>27376.282419759995</v>
      </c>
      <c r="Q50" s="1472">
        <f>Q29+Q42</f>
        <v>89681.311027883203</v>
      </c>
      <c r="R50" s="1466"/>
      <c r="S50" s="1472">
        <f>S29+S42</f>
        <v>106586.19638522081</v>
      </c>
      <c r="T50" s="543"/>
      <c r="U50" s="552"/>
      <c r="V50" s="543"/>
      <c r="W50" s="544"/>
      <c r="X50" s="545"/>
      <c r="Y50" s="545"/>
      <c r="Z50" s="552"/>
      <c r="AA50" s="543"/>
      <c r="AB50" s="544"/>
      <c r="AC50" s="545"/>
      <c r="AD50" s="545"/>
      <c r="AE50" s="545"/>
    </row>
    <row r="51" spans="3:31" s="549" customFormat="1" ht="4.5" customHeight="1">
      <c r="C51" s="703"/>
      <c r="D51" s="703"/>
      <c r="E51" s="1474"/>
      <c r="F51" s="1475"/>
      <c r="G51" s="1474"/>
      <c r="H51" s="1474"/>
      <c r="I51" s="1474"/>
      <c r="J51" s="1474"/>
      <c r="K51" s="1474"/>
      <c r="L51" s="1476"/>
      <c r="M51" s="1474"/>
      <c r="N51" s="1474"/>
      <c r="O51" s="1474"/>
      <c r="P51" s="1474"/>
      <c r="Q51" s="1474"/>
      <c r="R51" s="1475"/>
      <c r="S51" s="1474"/>
      <c r="T51" s="546"/>
      <c r="U51" s="547"/>
      <c r="V51" s="546"/>
      <c r="W51" s="548"/>
      <c r="X51" s="541"/>
      <c r="Y51" s="541"/>
      <c r="Z51" s="541"/>
      <c r="AA51" s="541"/>
      <c r="AB51" s="541"/>
      <c r="AC51" s="541"/>
      <c r="AD51" s="541"/>
      <c r="AE51" s="541"/>
    </row>
    <row r="52" spans="3:31" s="538" customFormat="1" ht="15" customHeight="1">
      <c r="C52" s="734" t="str">
        <f>IF(Indice_index!$Z$1=1,"Saldo global","Overall balance")</f>
        <v>Overall balance</v>
      </c>
      <c r="D52" s="318"/>
      <c r="E52" s="1472">
        <f>+E27-E50</f>
        <v>-8643.1666095808323</v>
      </c>
      <c r="F52" s="1466"/>
      <c r="G52" s="1472">
        <f t="shared" ref="G52:J52" si="31">+G27-G50</f>
        <v>-8670.6872387600088</v>
      </c>
      <c r="H52" s="1472">
        <f t="shared" si="31"/>
        <v>1256.3965309800042</v>
      </c>
      <c r="I52" s="1472">
        <f t="shared" si="31"/>
        <v>-286.37933233830518</v>
      </c>
      <c r="J52" s="1472">
        <f t="shared" si="31"/>
        <v>1120.3387841100011</v>
      </c>
      <c r="K52" s="1472">
        <f>+K27-K50</f>
        <v>-6580.331256008285</v>
      </c>
      <c r="L52" s="1466"/>
      <c r="M52" s="1472">
        <f t="shared" ref="M52:P52" si="32">+M27-M50</f>
        <v>-3262.9258911799989</v>
      </c>
      <c r="N52" s="1472">
        <f t="shared" si="32"/>
        <v>1040.7731138900199</v>
      </c>
      <c r="O52" s="1472">
        <f t="shared" si="32"/>
        <v>263.46225603733546</v>
      </c>
      <c r="P52" s="1472">
        <f t="shared" si="32"/>
        <v>3813.693982700006</v>
      </c>
      <c r="Q52" s="1472">
        <f>+Q27-Q50</f>
        <v>1855.0034614473552</v>
      </c>
      <c r="R52" s="1466"/>
      <c r="S52" s="1472">
        <f>+S27-S50</f>
        <v>-5191.6764152122778</v>
      </c>
      <c r="T52" s="543"/>
      <c r="AD52" s="545"/>
      <c r="AE52" s="545"/>
    </row>
    <row r="53" spans="3:31" ht="15" customHeight="1">
      <c r="C53" s="698" t="str">
        <f>IF(Indice_index!$Z$1=1,"Despesa primária","Primary expenditure")</f>
        <v>Primary expenditure</v>
      </c>
      <c r="D53" s="699"/>
      <c r="E53" s="699">
        <f t="shared" ref="E53" si="33">E50-E35</f>
        <v>93610.611151340767</v>
      </c>
      <c r="F53" s="699"/>
      <c r="G53" s="699">
        <f t="shared" ref="G53:K53" si="34">G50-G35</f>
        <v>46495.634919610005</v>
      </c>
      <c r="H53" s="699">
        <f t="shared" si="34"/>
        <v>31251.876386589989</v>
      </c>
      <c r="I53" s="699">
        <f t="shared" si="34"/>
        <v>11299.9400897092</v>
      </c>
      <c r="J53" s="699">
        <f t="shared" si="34"/>
        <v>27558.783458699996</v>
      </c>
      <c r="K53" s="699">
        <f t="shared" si="34"/>
        <v>80782.419918789179</v>
      </c>
      <c r="L53" s="699"/>
      <c r="M53" s="699">
        <f t="shared" ref="M53:Q53" si="35">M50-M35</f>
        <v>48839.816444179996</v>
      </c>
      <c r="N53" s="699">
        <f t="shared" si="35"/>
        <v>32620.790057089984</v>
      </c>
      <c r="O53" s="699">
        <f t="shared" si="35"/>
        <v>11724.860032754405</v>
      </c>
      <c r="P53" s="699">
        <f t="shared" si="35"/>
        <v>27369.904632189995</v>
      </c>
      <c r="Q53" s="699">
        <f t="shared" si="35"/>
        <v>83335.655888234396</v>
      </c>
      <c r="R53" s="699"/>
      <c r="S53" s="699">
        <f t="shared" ref="S53" si="36">S50-S35</f>
        <v>99774.528927698062</v>
      </c>
      <c r="T53" s="546"/>
      <c r="X53" s="17"/>
      <c r="Y53" s="17"/>
      <c r="Z53" s="17"/>
      <c r="AA53" s="17"/>
      <c r="AB53" s="17"/>
      <c r="AC53" s="17"/>
      <c r="AD53" s="541"/>
      <c r="AE53" s="541"/>
    </row>
    <row r="54" spans="3:31" ht="15" customHeight="1">
      <c r="C54" s="698" t="str">
        <f>IF(Indice_index!$Z$1=1," Saldo corrente","Current balance")</f>
        <v>Current balance</v>
      </c>
      <c r="D54" s="699"/>
      <c r="E54" s="699">
        <f t="shared" ref="E54" si="37">E9-E29</f>
        <v>-2447.8649637054041</v>
      </c>
      <c r="F54" s="699"/>
      <c r="G54" s="699">
        <f t="shared" ref="G54:K54" si="38">G9-G29</f>
        <v>-6124.2122004600096</v>
      </c>
      <c r="H54" s="699">
        <f t="shared" si="38"/>
        <v>1985.9488058400057</v>
      </c>
      <c r="I54" s="699">
        <f t="shared" si="38"/>
        <v>1214.987667589181</v>
      </c>
      <c r="J54" s="699">
        <f t="shared" si="38"/>
        <v>1149.6393137599989</v>
      </c>
      <c r="K54" s="699">
        <f t="shared" si="38"/>
        <v>-1773.6364132707968</v>
      </c>
      <c r="L54" s="699"/>
      <c r="M54" s="699">
        <f>M9-M29</f>
        <v>-1412.1900640999957</v>
      </c>
      <c r="N54" s="699">
        <f t="shared" ref="N54:Q54" si="39">N9-N29</f>
        <v>2090.44617406002</v>
      </c>
      <c r="O54" s="699">
        <f t="shared" si="39"/>
        <v>1772.9139575025565</v>
      </c>
      <c r="P54" s="699">
        <f t="shared" si="39"/>
        <v>3846.9394992000052</v>
      </c>
      <c r="Q54" s="699">
        <f t="shared" si="39"/>
        <v>6298.109566662577</v>
      </c>
      <c r="R54" s="699"/>
      <c r="S54" s="699">
        <f t="shared" ref="S54" si="40">S9-S29</f>
        <v>1587.5003282396065</v>
      </c>
      <c r="T54" s="546"/>
      <c r="X54" s="17"/>
      <c r="Y54" s="17"/>
      <c r="Z54" s="17"/>
      <c r="AA54" s="17"/>
      <c r="AB54" s="17"/>
      <c r="AC54" s="17"/>
      <c r="AD54" s="541"/>
      <c r="AE54" s="541"/>
    </row>
    <row r="55" spans="3:31" ht="15" customHeight="1">
      <c r="C55" s="698" t="str">
        <f>IF(Indice_index!$Z$1=1,"Saldo de capital","Capital balance")</f>
        <v>Capital balance</v>
      </c>
      <c r="D55" s="179"/>
      <c r="E55" s="1078">
        <f t="shared" ref="E55" si="41">E19-E42</f>
        <v>-6195.3016458754337</v>
      </c>
      <c r="F55" s="1078"/>
      <c r="G55" s="1078">
        <f t="shared" ref="G55:K55" si="42">G19-G42</f>
        <v>-2546.4750383000005</v>
      </c>
      <c r="H55" s="1078">
        <f t="shared" si="42"/>
        <v>-729.55227485999876</v>
      </c>
      <c r="I55" s="1078">
        <f t="shared" si="42"/>
        <v>-1501.3669999274875</v>
      </c>
      <c r="J55" s="1078">
        <f t="shared" si="42"/>
        <v>-29.300529649999994</v>
      </c>
      <c r="K55" s="1078">
        <f t="shared" si="42"/>
        <v>-4806.6948427374855</v>
      </c>
      <c r="L55" s="1078"/>
      <c r="M55" s="1078">
        <f>M19-M42</f>
        <v>-1850.7358270800009</v>
      </c>
      <c r="N55" s="1078">
        <f t="shared" ref="N55:Q55" si="43">N19-N42</f>
        <v>-1049.6730601699987</v>
      </c>
      <c r="O55" s="1078">
        <f t="shared" si="43"/>
        <v>-1509.4517014652229</v>
      </c>
      <c r="P55" s="1078">
        <f t="shared" si="43"/>
        <v>-33.245516500000001</v>
      </c>
      <c r="Q55" s="1078">
        <f t="shared" si="43"/>
        <v>-4443.1061052152254</v>
      </c>
      <c r="R55" s="1078"/>
      <c r="S55" s="1078">
        <f t="shared" ref="S55" si="44">S19-S42</f>
        <v>-6779.176743451877</v>
      </c>
      <c r="T55" s="546"/>
      <c r="X55" s="17"/>
      <c r="Y55" s="17"/>
      <c r="Z55" s="17"/>
      <c r="AA55" s="17"/>
      <c r="AB55" s="17"/>
      <c r="AC55" s="17"/>
      <c r="AD55" s="541"/>
      <c r="AE55" s="541"/>
    </row>
    <row r="56" spans="3:31" s="20" customFormat="1" ht="15" customHeight="1">
      <c r="C56" s="835" t="str">
        <f>IF(Indice_index!$Z$1=1,"Saldo primário","Primary balance")</f>
        <v>Primary balance</v>
      </c>
      <c r="D56" s="1477"/>
      <c r="E56" s="735">
        <f t="shared" ref="E56" si="45">E27-E53</f>
        <v>-1692.1867397621536</v>
      </c>
      <c r="F56" s="735"/>
      <c r="G56" s="735">
        <f t="shared" ref="G56:K56" si="46">G27-G53</f>
        <v>-2359.8031406400114</v>
      </c>
      <c r="H56" s="735">
        <f t="shared" si="46"/>
        <v>1653.4932888000039</v>
      </c>
      <c r="I56" s="735">
        <f t="shared" si="46"/>
        <v>-152.44290869204087</v>
      </c>
      <c r="J56" s="735">
        <f t="shared" si="46"/>
        <v>1126.0847568800018</v>
      </c>
      <c r="K56" s="735">
        <f t="shared" si="46"/>
        <v>129.61909833797836</v>
      </c>
      <c r="L56" s="735"/>
      <c r="M56" s="735">
        <f>M27-M53</f>
        <v>2721.5172412399988</v>
      </c>
      <c r="N56" s="735">
        <f t="shared" ref="N56:Q56" si="47">N27-N53</f>
        <v>1287.5099221400196</v>
      </c>
      <c r="O56" s="735">
        <f t="shared" si="47"/>
        <v>421.93483933614698</v>
      </c>
      <c r="P56" s="735">
        <f t="shared" si="47"/>
        <v>3820.0717702700058</v>
      </c>
      <c r="Q56" s="735">
        <f t="shared" si="47"/>
        <v>8200.6586010961619</v>
      </c>
      <c r="R56" s="735"/>
      <c r="S56" s="735">
        <f t="shared" ref="S56" si="48">S27-S53</f>
        <v>1619.9910423104739</v>
      </c>
      <c r="T56" s="546"/>
      <c r="U56" s="553"/>
      <c r="V56" s="17"/>
      <c r="W56" s="17"/>
      <c r="X56" s="17"/>
      <c r="Y56" s="17"/>
      <c r="Z56" s="17"/>
      <c r="AA56" s="17"/>
      <c r="AB56" s="17"/>
      <c r="AC56" s="17"/>
      <c r="AD56" s="541"/>
      <c r="AE56" s="541"/>
    </row>
    <row r="57" spans="3:31" ht="4.5" customHeight="1">
      <c r="C57" s="1666"/>
      <c r="D57" s="1666"/>
      <c r="E57" s="1666"/>
      <c r="F57" s="1666"/>
      <c r="G57" s="1666"/>
      <c r="H57" s="1666"/>
      <c r="I57" s="1666"/>
      <c r="J57" s="1666"/>
      <c r="K57" s="1666"/>
      <c r="L57" s="1666"/>
      <c r="M57" s="1666"/>
      <c r="N57" s="1666"/>
      <c r="O57" s="1666"/>
      <c r="P57" s="1666"/>
      <c r="Q57" s="1666"/>
      <c r="R57" s="1478"/>
      <c r="S57" s="1478"/>
      <c r="X57" s="17"/>
      <c r="Y57" s="17"/>
      <c r="Z57" s="17"/>
      <c r="AA57" s="17"/>
      <c r="AB57" s="17"/>
      <c r="AC57" s="17"/>
      <c r="AD57" s="541"/>
      <c r="AE57" s="541"/>
    </row>
    <row r="58" spans="3:31" ht="15" customHeight="1">
      <c r="C58" s="1479" t="str">
        <f>IF(Indice_index!$Z$1=1,"Notas:","Notes:")</f>
        <v>Notes:</v>
      </c>
      <c r="D58" s="689"/>
      <c r="E58" s="690"/>
      <c r="F58" s="689"/>
      <c r="G58" s="689"/>
      <c r="H58" s="689"/>
      <c r="I58" s="689"/>
      <c r="J58" s="689"/>
      <c r="K58" s="689"/>
      <c r="L58" s="691"/>
      <c r="M58" s="689"/>
      <c r="N58" s="689"/>
      <c r="O58" s="689"/>
      <c r="P58" s="689"/>
      <c r="Q58" s="1480"/>
      <c r="R58" s="689"/>
      <c r="S58" s="690"/>
      <c r="X58" s="17"/>
      <c r="Y58" s="17"/>
      <c r="Z58" s="17"/>
      <c r="AA58" s="17"/>
      <c r="AB58" s="17"/>
      <c r="AC58" s="17"/>
      <c r="AD58" s="541"/>
      <c r="AE58" s="541"/>
    </row>
    <row r="59" spans="3:31" ht="18.75" customHeight="1">
      <c r="C59" s="1666" t="str">
        <f>IF(Indice_index!$Z$1=1,"A execução da Administração Regional e Local acima identificada difere da soma da execução dos setores (14 - Adm R e 15 - Adm Loc) devido à inclusão de uma estimativa das freguesias na conta consolidada.","The Regional and Local Government data identified in the table above differs from the sum of each sector (14 - Adm R and 15 - Adm Loc) due to the inclusion in the consolidated account of a budget execution estimate for parishes.")</f>
        <v>The Regional and Local Government data identified in the table above differs from the sum of each sector (14 - Adm R and 15 - Adm Loc) due to the inclusion in the consolidated account of a budget execution estimate for parishes.</v>
      </c>
      <c r="D59" s="1666"/>
      <c r="E59" s="1666"/>
      <c r="F59" s="1666"/>
      <c r="G59" s="1666"/>
      <c r="H59" s="1666"/>
      <c r="I59" s="1666"/>
      <c r="J59" s="1666"/>
      <c r="K59" s="1666"/>
      <c r="L59" s="1666"/>
      <c r="M59" s="1666"/>
      <c r="N59" s="1666"/>
      <c r="O59" s="1666"/>
      <c r="P59" s="1666"/>
      <c r="Q59" s="1666"/>
      <c r="R59" s="1666"/>
      <c r="S59" s="1666"/>
      <c r="U59" s="554"/>
      <c r="X59" s="17"/>
      <c r="Y59" s="17"/>
      <c r="Z59" s="17"/>
      <c r="AA59" s="17"/>
      <c r="AB59" s="17"/>
      <c r="AC59" s="17"/>
      <c r="AD59" s="541"/>
      <c r="AE59" s="541"/>
    </row>
    <row r="60" spans="3:31" ht="14.15" hidden="1" customHeight="1">
      <c r="C60" s="1667"/>
      <c r="D60" s="1667"/>
      <c r="E60" s="1667"/>
      <c r="F60" s="1667"/>
      <c r="G60" s="1667"/>
      <c r="H60" s="1667"/>
      <c r="I60" s="1667"/>
      <c r="J60" s="1667"/>
      <c r="K60" s="1667"/>
      <c r="L60" s="1667"/>
      <c r="M60" s="1667"/>
      <c r="N60" s="1667"/>
      <c r="O60" s="1667"/>
      <c r="P60" s="1667"/>
      <c r="Q60" s="1667"/>
      <c r="R60" s="1481"/>
      <c r="S60" s="1481"/>
      <c r="X60" s="17"/>
      <c r="Y60" s="17"/>
      <c r="Z60" s="17"/>
      <c r="AA60" s="17"/>
      <c r="AB60" s="17"/>
      <c r="AC60" s="17"/>
      <c r="AD60" s="541"/>
      <c r="AE60" s="541"/>
    </row>
    <row r="61" spans="3:31" s="20" customFormat="1" ht="15" customHeight="1">
      <c r="C61" s="1482" t="str">
        <f>IF(Indice_index!$Z$1=1,"Fonte: Direção-Geral do Orçamento","Source: Budget General Directorate")</f>
        <v>Source: Budget General Directorate</v>
      </c>
      <c r="D61" s="681"/>
      <c r="E61" s="681"/>
      <c r="F61" s="681"/>
      <c r="G61" s="681"/>
      <c r="H61" s="681"/>
      <c r="I61" s="681"/>
      <c r="J61" s="681"/>
      <c r="K61" s="681"/>
      <c r="L61" s="681"/>
      <c r="M61" s="681"/>
      <c r="N61" s="681"/>
      <c r="O61" s="681"/>
      <c r="P61" s="681"/>
      <c r="Q61" s="681"/>
      <c r="R61" s="681"/>
      <c r="S61" s="681"/>
      <c r="W61" s="555"/>
      <c r="X61" s="556"/>
      <c r="Y61" s="556"/>
      <c r="Z61" s="556"/>
      <c r="AA61" s="556"/>
      <c r="AB61" s="556"/>
      <c r="AC61" s="556"/>
      <c r="AD61" s="556"/>
      <c r="AE61" s="556"/>
    </row>
    <row r="62" spans="3:31" s="20" customFormat="1" ht="15" customHeight="1">
      <c r="C62" s="1482"/>
      <c r="D62" s="681"/>
      <c r="E62" s="681"/>
      <c r="F62" s="681"/>
      <c r="G62" s="681"/>
      <c r="H62" s="681"/>
      <c r="I62" s="681"/>
      <c r="J62" s="681"/>
      <c r="K62" s="681"/>
      <c r="L62" s="681"/>
      <c r="M62" s="681"/>
      <c r="N62" s="681"/>
      <c r="O62" s="681"/>
      <c r="P62" s="681"/>
      <c r="Q62" s="681"/>
      <c r="R62" s="681"/>
      <c r="S62" s="681"/>
      <c r="W62" s="555"/>
      <c r="X62" s="556"/>
      <c r="Y62" s="556"/>
      <c r="Z62" s="556"/>
      <c r="AA62" s="556"/>
      <c r="AB62" s="556"/>
      <c r="AC62" s="556"/>
      <c r="AD62" s="556"/>
      <c r="AE62" s="556"/>
    </row>
    <row r="63" spans="3:31" s="20" customFormat="1" ht="15" customHeight="1">
      <c r="C63" s="1482"/>
      <c r="D63" s="681"/>
      <c r="E63" s="681"/>
      <c r="F63" s="681"/>
      <c r="G63" s="681"/>
      <c r="H63" s="681"/>
      <c r="I63" s="681"/>
      <c r="J63" s="681"/>
      <c r="K63" s="681"/>
      <c r="L63" s="681"/>
      <c r="M63" s="681"/>
      <c r="N63" s="681"/>
      <c r="O63" s="681"/>
      <c r="P63" s="681"/>
      <c r="Q63" s="681"/>
      <c r="R63" s="681"/>
      <c r="S63" s="681"/>
      <c r="W63" s="555"/>
      <c r="X63" s="556"/>
      <c r="Y63" s="556"/>
      <c r="Z63" s="556"/>
      <c r="AA63" s="556"/>
      <c r="AB63" s="556"/>
      <c r="AC63" s="556"/>
      <c r="AD63" s="556"/>
      <c r="AE63" s="556"/>
    </row>
    <row r="64" spans="3:31" s="557" customFormat="1" ht="15" customHeight="1">
      <c r="C64" s="1000" t="str">
        <f>+'5 - Conta AC + SS'!C5</f>
        <v>Period: January to November</v>
      </c>
      <c r="D64" s="1483"/>
      <c r="E64" s="1483"/>
      <c r="F64" s="1483"/>
      <c r="G64" s="1483"/>
      <c r="H64" s="1483"/>
      <c r="I64" s="1483"/>
      <c r="J64" s="1483"/>
      <c r="K64" s="1483"/>
      <c r="L64" s="1483"/>
      <c r="M64" s="1483"/>
      <c r="N64" s="1483"/>
      <c r="O64" s="1483"/>
      <c r="P64" s="1483"/>
      <c r="Q64" s="1483"/>
      <c r="R64" s="681"/>
      <c r="S64" s="681"/>
      <c r="W64" s="558"/>
      <c r="X64" s="559"/>
      <c r="Y64" s="559"/>
      <c r="Z64" s="559"/>
      <c r="AA64" s="559"/>
      <c r="AB64" s="559"/>
      <c r="AC64" s="559"/>
      <c r="AD64" s="559"/>
      <c r="AE64" s="559"/>
    </row>
    <row r="65" spans="3:32" ht="20.5" customHeight="1">
      <c r="C65" s="1484"/>
      <c r="D65" s="1484"/>
      <c r="E65" s="1484"/>
      <c r="F65" s="1484"/>
      <c r="G65" s="1664" t="str">
        <f>IF(Indice_index!$Z$1=1,"Variação Homóloga Absoluta","YOY Variation")</f>
        <v>YOY Variation</v>
      </c>
      <c r="H65" s="1664"/>
      <c r="I65" s="1664"/>
      <c r="J65" s="1664"/>
      <c r="K65" s="1664"/>
      <c r="L65" s="1485"/>
      <c r="M65" s="1664" t="str">
        <f>IF(Indice_index!$Z$1=1,"Variação Homóloga Relativa (%)","Relative YOY Variation")</f>
        <v>Relative YOY Variation</v>
      </c>
      <c r="N65" s="1664"/>
      <c r="O65" s="1664"/>
      <c r="P65" s="1664"/>
      <c r="Q65" s="1664"/>
      <c r="R65" s="681"/>
      <c r="S65" s="681"/>
      <c r="U65" s="540"/>
      <c r="V65" s="541"/>
      <c r="W65" s="541"/>
      <c r="X65" s="541"/>
      <c r="Y65" s="541"/>
      <c r="Z65" s="541"/>
      <c r="AA65" s="541"/>
      <c r="AB65" s="541"/>
      <c r="AC65" s="541"/>
      <c r="AD65" s="17"/>
      <c r="AE65" s="17"/>
    </row>
    <row r="66" spans="3:32" ht="36" customHeight="1">
      <c r="C66" s="1486"/>
      <c r="D66" s="1486"/>
      <c r="E66" s="1486"/>
      <c r="F66" s="1486"/>
      <c r="G66" s="1487" t="str">
        <f>IF(Indice_index!$Z$1=1,"Estado","State")</f>
        <v>State</v>
      </c>
      <c r="H66" s="1487" t="str">
        <f>IF(Indice_index!$Z$1=1,"Serviços e Fundos Autónomos","Autonomous Funds and Services")</f>
        <v>Autonomous Funds and Services</v>
      </c>
      <c r="I66" s="1487" t="str">
        <f>IF(Indice_index!$Z$1=1,"Adm. Local e Regional","Local and Regional Government")</f>
        <v>Local and Regional Government</v>
      </c>
      <c r="J66" s="1487" t="str">
        <f>IF(Indice_index!$Z$1=1,"Segurança Social","Social Security")</f>
        <v>Social Security</v>
      </c>
      <c r="K66" s="1487" t="str">
        <f>IF(Indice_index!$Z$1=1,"Adm. Públicas","General Government")</f>
        <v>General Government</v>
      </c>
      <c r="L66" s="1488"/>
      <c r="M66" s="1487" t="str">
        <f>IF(Indice_index!$Z$1=1,"Estado","State")</f>
        <v>State</v>
      </c>
      <c r="N66" s="1487" t="str">
        <f>IF(Indice_index!$Z$1=1,"Serviços e Fundos Autónomos","Autonomous Funds and Services")</f>
        <v>Autonomous Funds and Services</v>
      </c>
      <c r="O66" s="1487" t="str">
        <f>IF(Indice_index!$Z$1=1,"Adm. Local e Regional","Local and Regional Government")</f>
        <v>Local and Regional Government</v>
      </c>
      <c r="P66" s="1487" t="str">
        <f>IF(Indice_index!$Z$1=1,"Segurança Social","Social Security")</f>
        <v>Social Security</v>
      </c>
      <c r="Q66" s="1487" t="str">
        <f>IF(Indice_index!$Z$1=1,"Adm. Públicas","General Government")</f>
        <v>General Government</v>
      </c>
      <c r="R66" s="681"/>
      <c r="S66" s="681"/>
      <c r="U66" s="540"/>
      <c r="V66" s="541"/>
      <c r="W66" s="541"/>
      <c r="X66" s="541"/>
      <c r="Y66" s="541"/>
      <c r="Z66" s="541"/>
      <c r="AA66" s="541"/>
      <c r="AB66" s="541"/>
      <c r="AC66" s="541"/>
      <c r="AD66" s="17"/>
      <c r="AE66" s="17"/>
    </row>
    <row r="67" spans="3:32" s="538" customFormat="1" ht="15" customHeight="1">
      <c r="C67" s="318" t="str">
        <f>IF(Indice_index!$Z$1=1,"Receita corrente","Current revenue")</f>
        <v>Current revenue</v>
      </c>
      <c r="D67" s="318"/>
      <c r="E67" s="318"/>
      <c r="F67" s="318"/>
      <c r="G67" s="1489">
        <f t="shared" ref="G67:G83" si="49">M9-G9</f>
        <v>7187.9140885500019</v>
      </c>
      <c r="H67" s="1489">
        <f t="shared" ref="H67:H83" si="50">N9-H9</f>
        <v>1359.5677995700098</v>
      </c>
      <c r="I67" s="1489">
        <f t="shared" ref="I67:I83" si="51">O9-I9</f>
        <v>1176.3367581475777</v>
      </c>
      <c r="J67" s="1489">
        <f t="shared" ref="J67:J83" si="52">P9-J9</f>
        <v>2505.1579340200042</v>
      </c>
      <c r="K67" s="1489">
        <f t="shared" ref="K67:K83" si="53">Q9-K9</f>
        <v>10326.310541047584</v>
      </c>
      <c r="L67" s="1489"/>
      <c r="M67" s="1490">
        <f t="shared" ref="M67:M75" si="54">IF(IFERROR((M9-G9)/G9*100,"")&gt;500,"-",IFERROR((M9-G9)/G9*100,""))</f>
        <v>16.315306082145657</v>
      </c>
      <c r="N67" s="1490">
        <f t="shared" ref="N67:N75" si="55">IF(IFERROR((N9-H9)/H9*100,"")&gt;500,"-",IFERROR((N9-H9)/H9*100,""))</f>
        <v>4.4813988907148978</v>
      </c>
      <c r="O67" s="1490">
        <f t="shared" ref="O67:O75" si="56">IF(IFERROR((O9-I9)/I9*100,"")&gt;500,"-",IFERROR((O9-I9)/I9*100,""))</f>
        <v>11.926191776539314</v>
      </c>
      <c r="P67" s="1490">
        <f t="shared" ref="P67:P75" si="57">IF(IFERROR((P9-J9)/J9*100,"")&gt;500,"-",IFERROR((P9-J9)/J9*100,""))</f>
        <v>8.7335459813876266</v>
      </c>
      <c r="Q67" s="1490">
        <f t="shared" ref="Q67:Q75" si="58">IF(IFERROR((Q9-K9)/K9*100,"")&gt;500,"-",IFERROR((Q9-K9)/K9*100,""))</f>
        <v>13.044660916930523</v>
      </c>
      <c r="R67" s="681"/>
      <c r="S67" s="681"/>
      <c r="T67" s="560"/>
      <c r="U67" s="544"/>
      <c r="V67" s="545"/>
      <c r="W67" s="545"/>
      <c r="X67" s="545"/>
      <c r="Y67" s="545"/>
      <c r="Z67" s="545"/>
      <c r="AA67" s="545"/>
      <c r="AB67" s="545"/>
      <c r="AC67" s="545"/>
      <c r="AD67" s="560"/>
      <c r="AE67" s="560"/>
      <c r="AF67" s="560"/>
    </row>
    <row r="68" spans="3:32" ht="15" customHeight="1">
      <c r="C68" s="703" t="str">
        <f>IF(Indice_index!$Z$1=1,"Receita Fiscal","Tax")</f>
        <v>Tax</v>
      </c>
      <c r="D68" s="681"/>
      <c r="E68" s="703"/>
      <c r="F68" s="681"/>
      <c r="G68" s="1468">
        <f t="shared" si="49"/>
        <v>7053.0448102900045</v>
      </c>
      <c r="H68" s="1468">
        <f t="shared" si="50"/>
        <v>55.71750226000006</v>
      </c>
      <c r="I68" s="1468">
        <f t="shared" si="51"/>
        <v>644.54036016882037</v>
      </c>
      <c r="J68" s="1468">
        <f t="shared" si="52"/>
        <v>17.646549640000018</v>
      </c>
      <c r="K68" s="1468">
        <f t="shared" si="53"/>
        <v>7770.949222358824</v>
      </c>
      <c r="L68" s="1468"/>
      <c r="M68" s="1468">
        <f t="shared" si="54"/>
        <v>17.498765618851802</v>
      </c>
      <c r="N68" s="1468">
        <f t="shared" si="55"/>
        <v>10.656718712185123</v>
      </c>
      <c r="O68" s="1468">
        <f t="shared" si="56"/>
        <v>15.421843070132665</v>
      </c>
      <c r="P68" s="1468">
        <f t="shared" si="57"/>
        <v>9.0256321213267938</v>
      </c>
      <c r="Q68" s="1468">
        <f t="shared" si="58"/>
        <v>17.190954358706307</v>
      </c>
      <c r="R68" s="681"/>
      <c r="S68" s="681"/>
      <c r="T68" s="561"/>
      <c r="U68" s="548"/>
      <c r="V68" s="541"/>
      <c r="W68" s="541"/>
      <c r="X68" s="541"/>
      <c r="Y68" s="541"/>
      <c r="Z68" s="541"/>
      <c r="AA68" s="541"/>
      <c r="AB68" s="541"/>
      <c r="AC68" s="541"/>
      <c r="AD68" s="561"/>
      <c r="AE68" s="561"/>
      <c r="AF68" s="561"/>
    </row>
    <row r="69" spans="3:32" ht="15" customHeight="1">
      <c r="C69" s="698" t="str">
        <f>IF(Indice_index!$Z$1=1,"Impostos diretos","Direct taxes")</f>
        <v>Direct taxes</v>
      </c>
      <c r="D69" s="681"/>
      <c r="E69" s="698"/>
      <c r="F69" s="681"/>
      <c r="G69" s="1468">
        <f t="shared" si="49"/>
        <v>4015.24385205</v>
      </c>
      <c r="H69" s="1468">
        <f t="shared" si="50"/>
        <v>-1.5595100000000001E-3</v>
      </c>
      <c r="I69" s="1468">
        <f t="shared" si="51"/>
        <v>579.76339758693166</v>
      </c>
      <c r="J69" s="1468">
        <f t="shared" si="52"/>
        <v>0</v>
      </c>
      <c r="K69" s="1468">
        <f t="shared" si="53"/>
        <v>4595.0056901269309</v>
      </c>
      <c r="L69" s="1468"/>
      <c r="M69" s="1468">
        <f t="shared" si="54"/>
        <v>24.124057701474033</v>
      </c>
      <c r="N69" s="1468">
        <f t="shared" si="55"/>
        <v>-100</v>
      </c>
      <c r="O69" s="1468">
        <f t="shared" si="56"/>
        <v>18.200414088969811</v>
      </c>
      <c r="P69" s="1468" t="str">
        <f t="shared" si="57"/>
        <v>-</v>
      </c>
      <c r="Q69" s="1468">
        <f t="shared" si="58"/>
        <v>23.172469250483488</v>
      </c>
      <c r="R69" s="681"/>
      <c r="S69" s="681"/>
      <c r="T69" s="561"/>
      <c r="U69" s="548"/>
      <c r="V69" s="541"/>
      <c r="W69" s="541"/>
      <c r="X69" s="541"/>
      <c r="Y69" s="541"/>
      <c r="Z69" s="541"/>
      <c r="AA69" s="541"/>
      <c r="AB69" s="541"/>
      <c r="AC69" s="541"/>
      <c r="AD69" s="561"/>
      <c r="AE69" s="561"/>
      <c r="AF69" s="561"/>
    </row>
    <row r="70" spans="3:32" ht="15" customHeight="1">
      <c r="C70" s="698" t="str">
        <f>IF(Indice_index!$Z$1=1,"Impostos indiretos","Indirect taxes")</f>
        <v>Indirect taxes</v>
      </c>
      <c r="D70" s="681"/>
      <c r="E70" s="698"/>
      <c r="F70" s="681"/>
      <c r="G70" s="1468">
        <f t="shared" si="49"/>
        <v>3037.8009582400045</v>
      </c>
      <c r="H70" s="1468">
        <f t="shared" si="50"/>
        <v>55.719061770000053</v>
      </c>
      <c r="I70" s="1468">
        <f t="shared" si="51"/>
        <v>64.776962581889165</v>
      </c>
      <c r="J70" s="1468">
        <f t="shared" si="52"/>
        <v>17.646549640000018</v>
      </c>
      <c r="K70" s="1468">
        <f t="shared" si="53"/>
        <v>3175.9435322318932</v>
      </c>
      <c r="L70" s="1468"/>
      <c r="M70" s="1468">
        <f t="shared" si="54"/>
        <v>12.838414212195538</v>
      </c>
      <c r="N70" s="1468">
        <f t="shared" si="55"/>
        <v>10.657048776908654</v>
      </c>
      <c r="O70" s="1468">
        <f t="shared" si="56"/>
        <v>6.5170702118639472</v>
      </c>
      <c r="P70" s="1468">
        <f t="shared" si="57"/>
        <v>9.0256321213267938</v>
      </c>
      <c r="Q70" s="1468">
        <f t="shared" si="58"/>
        <v>12.516467594135802</v>
      </c>
      <c r="R70" s="681"/>
      <c r="S70" s="681"/>
      <c r="T70" s="561"/>
      <c r="U70" s="548"/>
      <c r="V70" s="541"/>
      <c r="W70" s="541"/>
      <c r="X70" s="541"/>
      <c r="Y70" s="541"/>
      <c r="Z70" s="541"/>
      <c r="AA70" s="541"/>
      <c r="AB70" s="541"/>
      <c r="AC70" s="541"/>
      <c r="AD70" s="561"/>
      <c r="AE70" s="561"/>
      <c r="AF70" s="561"/>
    </row>
    <row r="71" spans="3:32" ht="15" customHeight="1">
      <c r="C71" s="697" t="str">
        <f>IF(Indice_index!$Z$1=1,"Contribuições de Segurança Social","Social security contributions")</f>
        <v>Social security contributions</v>
      </c>
      <c r="D71" s="681"/>
      <c r="E71" s="697"/>
      <c r="F71" s="681"/>
      <c r="G71" s="1468">
        <f t="shared" si="49"/>
        <v>6.5174002000000044</v>
      </c>
      <c r="H71" s="1468">
        <f t="shared" si="50"/>
        <v>-104.32976870000039</v>
      </c>
      <c r="I71" s="1468">
        <f t="shared" si="51"/>
        <v>0</v>
      </c>
      <c r="J71" s="1468">
        <f t="shared" si="52"/>
        <v>2109.2004393000025</v>
      </c>
      <c r="K71" s="1468">
        <f t="shared" si="53"/>
        <v>2011.3880707999997</v>
      </c>
      <c r="L71" s="1468"/>
      <c r="M71" s="1468">
        <f t="shared" si="54"/>
        <v>11.230282417044796</v>
      </c>
      <c r="N71" s="1468">
        <f t="shared" si="55"/>
        <v>-2.8624120280925971</v>
      </c>
      <c r="O71" s="1468" t="str">
        <f t="shared" si="56"/>
        <v>-</v>
      </c>
      <c r="P71" s="1468">
        <f t="shared" si="57"/>
        <v>11.96086420184456</v>
      </c>
      <c r="Q71" s="1468">
        <f t="shared" si="58"/>
        <v>9.4267457944370605</v>
      </c>
      <c r="R71" s="681"/>
      <c r="S71" s="681"/>
      <c r="T71" s="561"/>
      <c r="U71" s="548"/>
      <c r="V71" s="541"/>
      <c r="W71" s="541"/>
      <c r="X71" s="541"/>
      <c r="Y71" s="541"/>
      <c r="Z71" s="541"/>
      <c r="AA71" s="541"/>
      <c r="AB71" s="541"/>
      <c r="AC71" s="541"/>
      <c r="AD71" s="561"/>
      <c r="AE71" s="561"/>
      <c r="AF71" s="561"/>
    </row>
    <row r="72" spans="3:32" ht="15" customHeight="1">
      <c r="C72" s="697" t="str">
        <f>IF(Indice_index!$Z$1=1,"Transferências Correntes","Current transfers")</f>
        <v>Current transfers</v>
      </c>
      <c r="D72" s="681"/>
      <c r="E72" s="697"/>
      <c r="F72" s="681"/>
      <c r="G72" s="1468">
        <f t="shared" si="49"/>
        <v>-219.24696928999992</v>
      </c>
      <c r="H72" s="1468">
        <f t="shared" si="50"/>
        <v>984.97604341999977</v>
      </c>
      <c r="I72" s="1468">
        <f t="shared" si="51"/>
        <v>388.44439776378476</v>
      </c>
      <c r="J72" s="1468">
        <f t="shared" si="52"/>
        <v>325.84354599999824</v>
      </c>
      <c r="K72" s="1468">
        <f t="shared" si="53"/>
        <v>-591.34664983620678</v>
      </c>
      <c r="L72" s="1468"/>
      <c r="M72" s="1468">
        <f t="shared" si="54"/>
        <v>-19.892261843119357</v>
      </c>
      <c r="N72" s="1468">
        <f t="shared" si="55"/>
        <v>4.6637714689354066</v>
      </c>
      <c r="O72" s="1468">
        <f t="shared" si="56"/>
        <v>9.6386947549351554</v>
      </c>
      <c r="P72" s="1468">
        <f t="shared" si="57"/>
        <v>3.2686146622319106</v>
      </c>
      <c r="Q72" s="1468">
        <f t="shared" si="58"/>
        <v>-19.691568641342748</v>
      </c>
      <c r="R72" s="681"/>
      <c r="S72" s="681"/>
      <c r="T72" s="561"/>
      <c r="U72" s="548"/>
      <c r="V72" s="541"/>
      <c r="W72" s="541"/>
      <c r="X72" s="541"/>
      <c r="Y72" s="541"/>
      <c r="Z72" s="541"/>
      <c r="AA72" s="541"/>
      <c r="AB72" s="541"/>
      <c r="AC72" s="541"/>
      <c r="AD72" s="561"/>
      <c r="AE72" s="561"/>
      <c r="AF72" s="561"/>
    </row>
    <row r="73" spans="3:32" ht="15" customHeight="1">
      <c r="C73" s="1467" t="str">
        <f>IF(Indice_index!$Z$1=1,"Administrações Públicas","General Government subsectors")</f>
        <v>General Government subsectors</v>
      </c>
      <c r="D73" s="681"/>
      <c r="E73" s="697"/>
      <c r="F73" s="681"/>
      <c r="G73" s="1468">
        <f t="shared" si="49"/>
        <v>5.8923176800001329</v>
      </c>
      <c r="H73" s="1468">
        <f t="shared" si="50"/>
        <v>1127.7801805099989</v>
      </c>
      <c r="I73" s="1468">
        <f t="shared" si="51"/>
        <v>344.35450399999036</v>
      </c>
      <c r="J73" s="1468">
        <f t="shared" si="52"/>
        <v>593.33666553999683</v>
      </c>
      <c r="K73" s="1468">
        <f t="shared" si="53"/>
        <v>0</v>
      </c>
      <c r="L73" s="1468"/>
      <c r="M73" s="1468">
        <f t="shared" si="54"/>
        <v>0.87732508973855405</v>
      </c>
      <c r="N73" s="1468">
        <f t="shared" si="55"/>
        <v>5.6400951585180152</v>
      </c>
      <c r="O73" s="1468">
        <f t="shared" si="56"/>
        <v>8.9516595714722182</v>
      </c>
      <c r="P73" s="1468">
        <f t="shared" si="57"/>
        <v>6.8171738554854953</v>
      </c>
      <c r="Q73" s="1468" t="str">
        <f t="shared" si="58"/>
        <v>-</v>
      </c>
      <c r="R73" s="681"/>
      <c r="S73" s="681"/>
      <c r="T73" s="561"/>
      <c r="U73" s="548"/>
      <c r="V73" s="541"/>
      <c r="W73" s="541"/>
      <c r="X73" s="541"/>
      <c r="Y73" s="541"/>
      <c r="Z73" s="541"/>
      <c r="AA73" s="541"/>
      <c r="AB73" s="541"/>
      <c r="AC73" s="541"/>
      <c r="AD73" s="561"/>
      <c r="AE73" s="561"/>
      <c r="AF73" s="561"/>
    </row>
    <row r="74" spans="3:32" ht="15" customHeight="1">
      <c r="C74" s="1467" t="str">
        <f>IF(Indice_index!$Z$1=1,"Outras","Others")</f>
        <v>Others</v>
      </c>
      <c r="D74" s="681"/>
      <c r="E74" s="697"/>
      <c r="F74" s="681"/>
      <c r="G74" s="1468">
        <f t="shared" si="49"/>
        <v>-225.13928696999994</v>
      </c>
      <c r="H74" s="1468">
        <f t="shared" si="50"/>
        <v>-142.80413709000084</v>
      </c>
      <c r="I74" s="1468">
        <f t="shared" si="51"/>
        <v>44.089893763794237</v>
      </c>
      <c r="J74" s="1468">
        <f t="shared" si="52"/>
        <v>-267.49311953999984</v>
      </c>
      <c r="K74" s="1468">
        <f t="shared" si="53"/>
        <v>-591.34664983620678</v>
      </c>
      <c r="L74" s="1468"/>
      <c r="M74" s="1468">
        <f t="shared" si="54"/>
        <v>-52.291201656966678</v>
      </c>
      <c r="N74" s="1468">
        <f t="shared" si="55"/>
        <v>-12.705366835081294</v>
      </c>
      <c r="O74" s="1468">
        <f t="shared" si="56"/>
        <v>24.06275145690195</v>
      </c>
      <c r="P74" s="1468">
        <f t="shared" si="57"/>
        <v>-21.140688102324216</v>
      </c>
      <c r="Q74" s="1468">
        <f t="shared" si="58"/>
        <v>-19.691568641342748</v>
      </c>
      <c r="R74" s="681"/>
      <c r="S74" s="681"/>
      <c r="T74" s="561"/>
      <c r="U74" s="548"/>
      <c r="V74" s="541"/>
      <c r="W74" s="541"/>
      <c r="X74" s="541"/>
      <c r="Y74" s="541"/>
      <c r="Z74" s="541"/>
      <c r="AA74" s="541"/>
      <c r="AB74" s="541"/>
      <c r="AC74" s="541"/>
      <c r="AD74" s="561"/>
      <c r="AE74" s="561"/>
      <c r="AF74" s="561"/>
    </row>
    <row r="75" spans="3:32" ht="15" customHeight="1">
      <c r="C75" s="697" t="str">
        <f>IF(Indice_index!$Z$1=1,"Outras receitas correntes","Other current revenue")</f>
        <v>Other current revenue</v>
      </c>
      <c r="D75" s="681"/>
      <c r="E75" s="697"/>
      <c r="F75" s="681"/>
      <c r="G75" s="1468">
        <f t="shared" si="49"/>
        <v>347.59852871999828</v>
      </c>
      <c r="H75" s="1468">
        <f t="shared" si="50"/>
        <v>424.97706796000966</v>
      </c>
      <c r="I75" s="1468">
        <f t="shared" si="51"/>
        <v>139.88201358830497</v>
      </c>
      <c r="J75" s="1468">
        <f t="shared" si="52"/>
        <v>52.467399080000064</v>
      </c>
      <c r="K75" s="1468">
        <f t="shared" si="53"/>
        <v>1034.8305904583121</v>
      </c>
      <c r="L75" s="1468"/>
      <c r="M75" s="1468">
        <f t="shared" si="54"/>
        <v>13.420296897403054</v>
      </c>
      <c r="N75" s="1468">
        <f t="shared" si="55"/>
        <v>8.4386881770282081</v>
      </c>
      <c r="O75" s="1468">
        <f t="shared" si="56"/>
        <v>8.4570802496758404</v>
      </c>
      <c r="P75" s="1468">
        <f t="shared" si="57"/>
        <v>5.9234234223951505</v>
      </c>
      <c r="Q75" s="1468">
        <f t="shared" si="58"/>
        <v>10.776304673968367</v>
      </c>
      <c r="R75" s="681"/>
      <c r="S75" s="681"/>
      <c r="T75" s="561"/>
      <c r="U75" s="548"/>
      <c r="V75" s="541"/>
      <c r="W75" s="541"/>
      <c r="X75" s="541"/>
      <c r="Y75" s="541"/>
      <c r="Z75" s="541"/>
      <c r="AA75" s="541"/>
      <c r="AB75" s="541"/>
      <c r="AC75" s="541"/>
      <c r="AD75" s="561"/>
      <c r="AE75" s="561"/>
      <c r="AF75" s="561"/>
    </row>
    <row r="76" spans="3:32" ht="15" customHeight="1">
      <c r="C76" s="703" t="str">
        <f>IF(Indice_index!$Z$1=1,"Diferenças de consolidação","Consolidation differences")</f>
        <v>Consolidation differences</v>
      </c>
      <c r="D76" s="681"/>
      <c r="E76" s="1491"/>
      <c r="F76" s="681"/>
      <c r="G76" s="1468">
        <f t="shared" si="49"/>
        <v>3.186300000000003E-4</v>
      </c>
      <c r="H76" s="1468">
        <f t="shared" si="50"/>
        <v>-1.773045370000677</v>
      </c>
      <c r="I76" s="1468">
        <f t="shared" si="51"/>
        <v>3.4699866266666959</v>
      </c>
      <c r="J76" s="1468">
        <f t="shared" si="52"/>
        <v>0</v>
      </c>
      <c r="K76" s="1468">
        <f t="shared" si="53"/>
        <v>100.48930726666282</v>
      </c>
      <c r="L76" s="1468"/>
      <c r="M76" s="1492" t="s">
        <v>2</v>
      </c>
      <c r="N76" s="1492" t="s">
        <v>2</v>
      </c>
      <c r="O76" s="1492" t="s">
        <v>2</v>
      </c>
      <c r="P76" s="1492" t="s">
        <v>2</v>
      </c>
      <c r="Q76" s="1492" t="s">
        <v>2</v>
      </c>
      <c r="R76" s="681"/>
      <c r="S76" s="681"/>
      <c r="T76" s="561"/>
      <c r="U76" s="548"/>
      <c r="V76" s="541"/>
      <c r="W76" s="541"/>
      <c r="X76" s="541"/>
      <c r="Y76" s="541"/>
      <c r="Z76" s="541"/>
      <c r="AA76" s="541"/>
      <c r="AB76" s="541"/>
      <c r="AC76" s="541"/>
      <c r="AD76" s="561"/>
      <c r="AE76" s="561"/>
      <c r="AF76" s="561"/>
    </row>
    <row r="77" spans="3:32" s="538" customFormat="1" ht="15" customHeight="1">
      <c r="C77" s="318" t="str">
        <f>IF(Indice_index!$Z$1=1,"Receita de capital","Capital revenue")</f>
        <v>Capital revenue</v>
      </c>
      <c r="D77" s="318"/>
      <c r="E77" s="318"/>
      <c r="F77" s="318"/>
      <c r="G77" s="1489">
        <f t="shared" si="49"/>
        <v>237.58781790000006</v>
      </c>
      <c r="H77" s="1489">
        <f t="shared" si="50"/>
        <v>-356.63749572999905</v>
      </c>
      <c r="I77" s="1489">
        <f t="shared" si="51"/>
        <v>-177.03906707418537</v>
      </c>
      <c r="J77" s="1489">
        <f t="shared" si="52"/>
        <v>-4.9747140000000023E-2</v>
      </c>
      <c r="K77" s="1489">
        <f t="shared" si="53"/>
        <v>297.96493115581438</v>
      </c>
      <c r="L77" s="1489"/>
      <c r="M77" s="1489">
        <f t="shared" ref="M77:Q82" si="59">IF(IFERROR((M19-G19)/G19*100,"")&gt;500,"-",IFERROR((M19-G19)/G19*100,""))</f>
        <v>298.59270408937698</v>
      </c>
      <c r="N77" s="1489">
        <f t="shared" si="59"/>
        <v>-13.89128381619642</v>
      </c>
      <c r="O77" s="1489">
        <f t="shared" si="59"/>
        <v>-13.787834388330793</v>
      </c>
      <c r="P77" s="1489">
        <f t="shared" si="59"/>
        <v>-9.0098989799139453</v>
      </c>
      <c r="Q77" s="1489">
        <f t="shared" si="59"/>
        <v>17.018439756994574</v>
      </c>
      <c r="R77" s="318"/>
      <c r="S77" s="681"/>
      <c r="T77" s="560"/>
      <c r="U77" s="544"/>
      <c r="V77" s="545"/>
      <c r="W77" s="545"/>
      <c r="X77" s="545"/>
      <c r="Y77" s="545"/>
      <c r="Z77" s="545"/>
      <c r="AA77" s="545"/>
      <c r="AB77" s="545"/>
      <c r="AC77" s="545"/>
      <c r="AD77" s="560"/>
      <c r="AE77" s="560"/>
      <c r="AF77" s="560"/>
    </row>
    <row r="78" spans="3:32" s="538" customFormat="1" ht="15" customHeight="1">
      <c r="C78" s="697" t="str">
        <f>IF(Indice_index!$Z$1=1,"Venda de bens de investimento","Sale of investment goods")</f>
        <v>Sale of investment goods</v>
      </c>
      <c r="D78" s="318"/>
      <c r="E78" s="318"/>
      <c r="F78" s="318"/>
      <c r="G78" s="1468">
        <f t="shared" si="49"/>
        <v>-1.2559961699999889</v>
      </c>
      <c r="H78" s="1468">
        <f t="shared" si="50"/>
        <v>16.858291290000011</v>
      </c>
      <c r="I78" s="1468">
        <f t="shared" si="51"/>
        <v>-24.266065210241408</v>
      </c>
      <c r="J78" s="1468">
        <f t="shared" si="52"/>
        <v>-5.5289169999999999E-2</v>
      </c>
      <c r="K78" s="1468">
        <f t="shared" si="53"/>
        <v>-8.7190592602413801</v>
      </c>
      <c r="L78" s="1489"/>
      <c r="M78" s="1468">
        <f t="shared" si="59"/>
        <v>-3.4397865885040479</v>
      </c>
      <c r="N78" s="1468">
        <f t="shared" si="59"/>
        <v>22.646164376772113</v>
      </c>
      <c r="O78" s="1468">
        <f t="shared" si="59"/>
        <v>-34.197462908820491</v>
      </c>
      <c r="P78" s="1468">
        <f t="shared" si="59"/>
        <v>-10.01363769622311</v>
      </c>
      <c r="Q78" s="1468">
        <f t="shared" si="59"/>
        <v>-4.7784375728138686</v>
      </c>
      <c r="R78" s="318"/>
      <c r="S78" s="681"/>
      <c r="T78" s="560"/>
      <c r="U78" s="544"/>
      <c r="V78" s="545"/>
      <c r="W78" s="545"/>
      <c r="X78" s="545"/>
      <c r="Y78" s="545"/>
      <c r="Z78" s="545"/>
      <c r="AA78" s="545"/>
      <c r="AB78" s="545"/>
      <c r="AC78" s="545"/>
      <c r="AD78" s="560"/>
      <c r="AE78" s="560"/>
      <c r="AF78" s="560"/>
    </row>
    <row r="79" spans="3:32" s="538" customFormat="1" ht="15" customHeight="1">
      <c r="C79" s="703" t="str">
        <f>IF(Indice_index!$Z$1=1,"Transferências de Capital","Capital transfers")</f>
        <v>Capital transfers</v>
      </c>
      <c r="D79" s="318"/>
      <c r="E79" s="318"/>
      <c r="F79" s="318"/>
      <c r="G79" s="1468">
        <f t="shared" si="49"/>
        <v>219.82253887000005</v>
      </c>
      <c r="H79" s="1468">
        <f t="shared" si="50"/>
        <v>-385.77631902999929</v>
      </c>
      <c r="I79" s="1468">
        <f t="shared" si="51"/>
        <v>-154.54990850857621</v>
      </c>
      <c r="J79" s="1468">
        <f t="shared" si="52"/>
        <v>0</v>
      </c>
      <c r="K79" s="1468">
        <f t="shared" si="53"/>
        <v>278.48379751142375</v>
      </c>
      <c r="L79" s="1489"/>
      <c r="M79" s="1468" t="str">
        <f t="shared" si="59"/>
        <v>-</v>
      </c>
      <c r="N79" s="1468">
        <f t="shared" si="59"/>
        <v>-15.568451918261763</v>
      </c>
      <c r="O79" s="1468">
        <f t="shared" si="59"/>
        <v>-12.913653308385209</v>
      </c>
      <c r="P79" s="1468" t="str">
        <f t="shared" si="59"/>
        <v>-</v>
      </c>
      <c r="Q79" s="1468">
        <f t="shared" si="59"/>
        <v>18.189837173010449</v>
      </c>
      <c r="R79" s="318"/>
      <c r="S79" s="681"/>
      <c r="T79" s="560"/>
      <c r="U79" s="544"/>
      <c r="V79" s="545"/>
      <c r="W79" s="545"/>
      <c r="X79" s="545"/>
      <c r="Y79" s="545"/>
      <c r="Z79" s="545"/>
      <c r="AA79" s="545"/>
      <c r="AB79" s="545"/>
      <c r="AC79" s="545"/>
      <c r="AD79" s="560"/>
      <c r="AE79" s="560"/>
      <c r="AF79" s="560"/>
    </row>
    <row r="80" spans="3:32" s="538" customFormat="1" ht="15" customHeight="1">
      <c r="C80" s="1467" t="str">
        <f>IF(Indice_index!$Z$1=1,"Administrações Públicas","General Government subsectors")</f>
        <v>General Government subsectors</v>
      </c>
      <c r="D80" s="318"/>
      <c r="E80" s="318"/>
      <c r="F80" s="318"/>
      <c r="G80" s="1468">
        <f t="shared" si="49"/>
        <v>0.86531131999999822</v>
      </c>
      <c r="H80" s="1468">
        <f t="shared" si="50"/>
        <v>-520.19862646999968</v>
      </c>
      <c r="I80" s="1468">
        <f t="shared" si="51"/>
        <v>-79.654171029999986</v>
      </c>
      <c r="J80" s="1468">
        <f t="shared" si="52"/>
        <v>0</v>
      </c>
      <c r="K80" s="1468">
        <f t="shared" si="53"/>
        <v>0</v>
      </c>
      <c r="L80" s="1489"/>
      <c r="M80" s="1468">
        <f t="shared" si="59"/>
        <v>7.2772643888958752</v>
      </c>
      <c r="N80" s="1468">
        <f t="shared" si="59"/>
        <v>-31.879194437093577</v>
      </c>
      <c r="O80" s="1468">
        <f t="shared" si="59"/>
        <v>-14.699892790422661</v>
      </c>
      <c r="P80" s="1468" t="str">
        <f t="shared" si="59"/>
        <v>-</v>
      </c>
      <c r="Q80" s="1468" t="str">
        <f t="shared" si="59"/>
        <v>-</v>
      </c>
      <c r="R80" s="318"/>
      <c r="S80" s="681"/>
      <c r="T80" s="560"/>
      <c r="U80" s="544"/>
      <c r="V80" s="545"/>
      <c r="W80" s="545"/>
      <c r="X80" s="545"/>
      <c r="Y80" s="545"/>
      <c r="Z80" s="545"/>
      <c r="AA80" s="545"/>
      <c r="AB80" s="545"/>
      <c r="AC80" s="545"/>
      <c r="AD80" s="560"/>
      <c r="AE80" s="560"/>
      <c r="AF80" s="560"/>
    </row>
    <row r="81" spans="2:32" s="538" customFormat="1" ht="15" customHeight="1">
      <c r="C81" s="1467" t="str">
        <f>IF(Indice_index!$Z$1=1,"Outras","Others")</f>
        <v>Others</v>
      </c>
      <c r="D81" s="318"/>
      <c r="E81" s="318"/>
      <c r="F81" s="318"/>
      <c r="G81" s="1468">
        <f t="shared" si="49"/>
        <v>218.95722755000003</v>
      </c>
      <c r="H81" s="1468">
        <f t="shared" si="50"/>
        <v>134.42230744000028</v>
      </c>
      <c r="I81" s="1468">
        <f t="shared" si="51"/>
        <v>-74.895737478576279</v>
      </c>
      <c r="J81" s="1468">
        <f t="shared" si="52"/>
        <v>0</v>
      </c>
      <c r="K81" s="1468">
        <f t="shared" si="53"/>
        <v>278.48379751142375</v>
      </c>
      <c r="L81" s="1489"/>
      <c r="M81" s="1468" t="str">
        <f t="shared" si="59"/>
        <v>-</v>
      </c>
      <c r="N81" s="1468">
        <f t="shared" si="59"/>
        <v>15.886245025565421</v>
      </c>
      <c r="O81" s="1468">
        <f t="shared" si="59"/>
        <v>-11.435763352559098</v>
      </c>
      <c r="P81" s="1468" t="str">
        <f t="shared" si="59"/>
        <v>-</v>
      </c>
      <c r="Q81" s="1468">
        <f t="shared" si="59"/>
        <v>18.189837173010449</v>
      </c>
      <c r="R81" s="318"/>
      <c r="S81" s="681"/>
      <c r="T81" s="560"/>
      <c r="U81" s="544"/>
      <c r="V81" s="545"/>
      <c r="W81" s="545"/>
      <c r="X81" s="545"/>
      <c r="Y81" s="545"/>
      <c r="Z81" s="545"/>
      <c r="AA81" s="545"/>
      <c r="AB81" s="545"/>
      <c r="AC81" s="545"/>
      <c r="AD81" s="560"/>
      <c r="AE81" s="560"/>
      <c r="AF81" s="560"/>
    </row>
    <row r="82" spans="2:32" ht="15" customHeight="1">
      <c r="C82" s="697" t="str">
        <f>IF(Indice_index!$Z$1=1,"Outras receitas de capital","Other capital revenue")</f>
        <v>Other capital revenue</v>
      </c>
      <c r="D82" s="681"/>
      <c r="E82" s="1493"/>
      <c r="F82" s="681"/>
      <c r="G82" s="1468">
        <f t="shared" si="49"/>
        <v>19.946414530000006</v>
      </c>
      <c r="H82" s="1468">
        <f t="shared" si="50"/>
        <v>12.280532009999996</v>
      </c>
      <c r="I82" s="1468">
        <f t="shared" si="51"/>
        <v>1.7769066446323585</v>
      </c>
      <c r="J82" s="1468">
        <f t="shared" si="52"/>
        <v>5.5420300000000007E-3</v>
      </c>
      <c r="K82" s="1468">
        <f t="shared" si="53"/>
        <v>34.009395214632356</v>
      </c>
      <c r="L82" s="1489"/>
      <c r="M82" s="1468" t="str">
        <f t="shared" si="59"/>
        <v>-</v>
      </c>
      <c r="N82" s="1468">
        <f t="shared" si="59"/>
        <v>82.040659104379415</v>
      </c>
      <c r="O82" s="1468">
        <f t="shared" si="59"/>
        <v>10.92106807118291</v>
      </c>
      <c r="P82" s="1468" t="str">
        <f t="shared" si="59"/>
        <v>-</v>
      </c>
      <c r="Q82" s="1468">
        <f t="shared" si="59"/>
        <v>107.71269094359428</v>
      </c>
      <c r="R82" s="681"/>
      <c r="S82" s="681"/>
      <c r="T82" s="561"/>
      <c r="U82" s="548"/>
      <c r="V82" s="541"/>
      <c r="W82" s="541"/>
      <c r="X82" s="541"/>
      <c r="Y82" s="541"/>
      <c r="Z82" s="541"/>
      <c r="AA82" s="541"/>
      <c r="AB82" s="541"/>
      <c r="AC82" s="541"/>
      <c r="AD82" s="561"/>
      <c r="AE82" s="561"/>
      <c r="AF82" s="561"/>
    </row>
    <row r="83" spans="2:32" ht="15" customHeight="1">
      <c r="B83" s="549"/>
      <c r="C83" s="703" t="str">
        <f>IF(Indice_index!$Z$1=1,"Diferenças de consolidação","Consolidation differences")</f>
        <v>Consolidation differences</v>
      </c>
      <c r="D83" s="681"/>
      <c r="E83" s="681"/>
      <c r="F83" s="681"/>
      <c r="G83" s="1468">
        <f t="shared" si="49"/>
        <v>-0.92513932999999682</v>
      </c>
      <c r="H83" s="1468">
        <f t="shared" si="50"/>
        <v>0</v>
      </c>
      <c r="I83" s="1468">
        <f t="shared" si="51"/>
        <v>0</v>
      </c>
      <c r="J83" s="1468">
        <f t="shared" si="52"/>
        <v>0</v>
      </c>
      <c r="K83" s="1468">
        <f t="shared" si="53"/>
        <v>-5.8092023100001775</v>
      </c>
      <c r="L83" s="1468"/>
      <c r="M83" s="1492" t="s">
        <v>2</v>
      </c>
      <c r="N83" s="1492" t="s">
        <v>2</v>
      </c>
      <c r="O83" s="1492" t="s">
        <v>2</v>
      </c>
      <c r="P83" s="1492" t="s">
        <v>2</v>
      </c>
      <c r="Q83" s="1492" t="s">
        <v>2</v>
      </c>
      <c r="R83" s="681"/>
      <c r="S83" s="681"/>
      <c r="T83" s="561"/>
      <c r="U83" s="548"/>
      <c r="V83" s="541"/>
      <c r="W83" s="541"/>
      <c r="X83" s="541"/>
      <c r="Y83" s="541"/>
      <c r="Z83" s="541"/>
      <c r="AA83" s="541"/>
      <c r="AB83" s="541"/>
      <c r="AC83" s="541"/>
      <c r="AD83" s="561"/>
      <c r="AE83" s="561"/>
      <c r="AF83" s="561"/>
    </row>
    <row r="84" spans="2:32" s="538" customFormat="1" ht="4.5" customHeight="1">
      <c r="C84" s="681"/>
      <c r="D84" s="318"/>
      <c r="E84" s="318"/>
      <c r="F84" s="318"/>
      <c r="G84" s="1494"/>
      <c r="H84" s="1494"/>
      <c r="I84" s="1494"/>
      <c r="J84" s="1494"/>
      <c r="K84" s="1494"/>
      <c r="L84" s="1494"/>
      <c r="M84" s="1494"/>
      <c r="N84" s="1494"/>
      <c r="O84" s="1494"/>
      <c r="P84" s="1494"/>
      <c r="Q84" s="1494"/>
      <c r="R84" s="318"/>
      <c r="S84" s="681"/>
      <c r="T84" s="560"/>
      <c r="U84" s="544"/>
      <c r="V84" s="545"/>
      <c r="W84" s="545"/>
      <c r="X84" s="545"/>
      <c r="Y84" s="545"/>
      <c r="Z84" s="545"/>
      <c r="AA84" s="545"/>
      <c r="AB84" s="545"/>
      <c r="AC84" s="545"/>
      <c r="AD84" s="560"/>
      <c r="AE84" s="560"/>
      <c r="AF84" s="560"/>
    </row>
    <row r="85" spans="2:32" ht="15" customHeight="1">
      <c r="B85" s="549"/>
      <c r="C85" s="734" t="str">
        <f>IF(Indice_index!$Z$1=1,"Receita efetiva","Effective revenue")</f>
        <v>Effective revenue</v>
      </c>
      <c r="D85" s="734"/>
      <c r="E85" s="734"/>
      <c r="F85" s="734"/>
      <c r="G85" s="1495">
        <f>M27-G27</f>
        <v>7425.5019064500011</v>
      </c>
      <c r="H85" s="1495">
        <f>N27-H27</f>
        <v>1002.9303038400103</v>
      </c>
      <c r="I85" s="1495">
        <f>O27-I27</f>
        <v>999.29769107339234</v>
      </c>
      <c r="J85" s="1495">
        <f>P27-J27</f>
        <v>2505.1081868800029</v>
      </c>
      <c r="K85" s="1495">
        <f>Q27-K27</f>
        <v>10624.275472203401</v>
      </c>
      <c r="L85" s="1489"/>
      <c r="M85" s="1495">
        <f>IF(IFERROR((M27-G27)/G27*100,"")&gt;500,"-",IFERROR((M27-G27)/G27*100,""))</f>
        <v>16.824202937052458</v>
      </c>
      <c r="N85" s="1495">
        <f>IF(IFERROR((N27-H27)/H27*100,"")&gt;500,"-",IFERROR((N27-H27)/H27*100,""))</f>
        <v>3.0479229187633297</v>
      </c>
      <c r="O85" s="1495">
        <f>IF(IFERROR((O27-I27)/I27*100,"")&gt;500,"-",IFERROR((O27-I27)/I27*100,""))</f>
        <v>8.9643233350628293</v>
      </c>
      <c r="P85" s="1495">
        <f>IF(IFERROR((P27-J27)/J27*100,"")&gt;500,"-",IFERROR((P27-J27)/J27*100,""))</f>
        <v>8.7332044479094719</v>
      </c>
      <c r="Q85" s="1495">
        <f>IF(IFERROR((Q27-K27)/K27*100,"")&gt;500,"-",IFERROR((Q27-K27)/K27*100,""))</f>
        <v>13.130648542863311</v>
      </c>
      <c r="R85" s="734"/>
      <c r="S85" s="681"/>
      <c r="T85" s="561"/>
      <c r="U85" s="561"/>
      <c r="V85" s="19"/>
      <c r="W85" s="19"/>
      <c r="AD85" s="561"/>
      <c r="AE85" s="561"/>
      <c r="AF85" s="561"/>
    </row>
    <row r="86" spans="2:32" s="538" customFormat="1" ht="4.5" customHeight="1">
      <c r="C86" s="681"/>
      <c r="D86" s="318"/>
      <c r="E86" s="318"/>
      <c r="F86" s="318"/>
      <c r="G86" s="1494"/>
      <c r="H86" s="1494"/>
      <c r="I86" s="1494"/>
      <c r="J86" s="1494"/>
      <c r="K86" s="1496"/>
      <c r="L86" s="1494"/>
      <c r="M86" s="1494"/>
      <c r="N86" s="1494"/>
      <c r="O86" s="1494"/>
      <c r="P86" s="1494"/>
      <c r="Q86" s="1494"/>
      <c r="R86" s="318"/>
      <c r="S86" s="681"/>
      <c r="T86" s="560"/>
      <c r="U86" s="560"/>
      <c r="V86" s="539"/>
      <c r="W86" s="539"/>
      <c r="X86" s="539"/>
      <c r="Y86" s="539"/>
      <c r="Z86" s="539"/>
      <c r="AA86" s="539"/>
      <c r="AB86" s="539"/>
      <c r="AC86" s="539"/>
      <c r="AD86" s="560"/>
      <c r="AE86" s="560"/>
      <c r="AF86" s="560"/>
    </row>
    <row r="87" spans="2:32" ht="15" customHeight="1">
      <c r="C87" s="318" t="str">
        <f>IF(Indice_index!$Z$1=1,"Despesa corrente","Current expenditure")</f>
        <v>Current expenditure</v>
      </c>
      <c r="D87" s="681"/>
      <c r="E87" s="703"/>
      <c r="F87" s="681"/>
      <c r="G87" s="1489">
        <f t="shared" ref="G87:G106" si="60">M29-G29</f>
        <v>2475.8919521899879</v>
      </c>
      <c r="H87" s="1489">
        <f t="shared" ref="H87:H106" si="61">N29-H29</f>
        <v>1255.0704313499955</v>
      </c>
      <c r="I87" s="1489">
        <f t="shared" ref="I87:I106" si="62">O29-I29</f>
        <v>618.4104682342022</v>
      </c>
      <c r="J87" s="1489">
        <f t="shared" ref="J87:J106" si="63">P29-J29</f>
        <v>-192.14225142000214</v>
      </c>
      <c r="K87" s="1489">
        <f t="shared" ref="K87:K106" si="64">Q29-K29</f>
        <v>2254.5645611142099</v>
      </c>
      <c r="L87" s="1489"/>
      <c r="M87" s="1489">
        <f t="shared" ref="M87:M98" si="65">IF(IFERROR((M29-G29)/G29*100,"")&gt;500,"-",IFERROR((M29-G29)/G29*100,""))</f>
        <v>4.9339747440426285</v>
      </c>
      <c r="N87" s="1489">
        <f t="shared" ref="N87:N98" si="66">IF(IFERROR((N29-H29)/H29*100,"")&gt;500,"-",IFERROR((N29-H29)/H29*100,""))</f>
        <v>4.4267324113473556</v>
      </c>
      <c r="O87" s="1489">
        <f t="shared" ref="O87:O98" si="67">IF(IFERROR((O29-I29)/I29*100,"")&gt;500,"-",IFERROR((O29-I29)/I29*100,""))</f>
        <v>7.1505057022561598</v>
      </c>
      <c r="P87" s="1489">
        <f t="shared" ref="P87:P98" si="68">IF(IFERROR((P29-J29)/J29*100,"")&gt;500,"-",IFERROR((P29-J29)/J29*100,""))</f>
        <v>-0.69781916480467876</v>
      </c>
      <c r="Q87" s="1489">
        <f t="shared" ref="Q87:Q98" si="69">IF(IFERROR((Q29-K29)/K29*100,"")&gt;500,"-",IFERROR((Q29-K29)/K29*100,""))</f>
        <v>2.7856539540189531</v>
      </c>
      <c r="R87" s="681"/>
      <c r="S87" s="681"/>
      <c r="T87" s="561"/>
      <c r="U87" s="561"/>
      <c r="V87" s="19"/>
      <c r="W87" s="19"/>
      <c r="AD87" s="561"/>
      <c r="AE87" s="561"/>
      <c r="AF87" s="561"/>
    </row>
    <row r="88" spans="2:32" ht="15" customHeight="1">
      <c r="C88" s="703" t="str">
        <f>IF(Indice_index!$Z$1=1,"Despesas com o pessoal","Compensation of employees")</f>
        <v>Compensation of employees</v>
      </c>
      <c r="D88" s="681"/>
      <c r="E88" s="703"/>
      <c r="F88" s="681"/>
      <c r="G88" s="1468">
        <f t="shared" si="60"/>
        <v>-23.83916336999755</v>
      </c>
      <c r="H88" s="1468">
        <f t="shared" si="61"/>
        <v>209.48395576997973</v>
      </c>
      <c r="I88" s="1468">
        <f t="shared" si="62"/>
        <v>383.81135559575114</v>
      </c>
      <c r="J88" s="1468">
        <f t="shared" si="63"/>
        <v>9.4039902499999926</v>
      </c>
      <c r="K88" s="1468">
        <f t="shared" si="64"/>
        <v>578.8601382457382</v>
      </c>
      <c r="L88" s="1468"/>
      <c r="M88" s="1468">
        <f t="shared" si="65"/>
        <v>-0.25330552535070144</v>
      </c>
      <c r="N88" s="1468">
        <f t="shared" si="66"/>
        <v>2.7418791903927304</v>
      </c>
      <c r="O88" s="1468">
        <f t="shared" si="67"/>
        <v>9.3857249111454681</v>
      </c>
      <c r="P88" s="1468">
        <f t="shared" si="68"/>
        <v>3.5301178212410842</v>
      </c>
      <c r="Q88" s="1468">
        <f t="shared" si="69"/>
        <v>2.7040578084565019</v>
      </c>
      <c r="R88" s="681"/>
      <c r="S88" s="681"/>
      <c r="T88" s="561"/>
      <c r="U88" s="561"/>
      <c r="V88" s="19"/>
      <c r="W88" s="19"/>
      <c r="AD88" s="561"/>
      <c r="AE88" s="561"/>
      <c r="AF88" s="561"/>
    </row>
    <row r="89" spans="2:32" ht="15" customHeight="1">
      <c r="C89" s="1016" t="str">
        <f>IF(Indice_index!$Z$1=1,"Remunerações Certas e Permanentes","Certain and permanent wages")</f>
        <v>Certain and permanent wages</v>
      </c>
      <c r="D89" s="681"/>
      <c r="E89" s="703"/>
      <c r="F89" s="681"/>
      <c r="G89" s="1468">
        <f t="shared" si="60"/>
        <v>-13.097661909998351</v>
      </c>
      <c r="H89" s="1468">
        <f t="shared" si="61"/>
        <v>170.63269195998419</v>
      </c>
      <c r="I89" s="1468">
        <f t="shared" si="62"/>
        <v>304.24740275276645</v>
      </c>
      <c r="J89" s="1468">
        <f t="shared" si="63"/>
        <v>8.3745595200000196</v>
      </c>
      <c r="K89" s="1468">
        <f t="shared" si="64"/>
        <v>470.15699232275438</v>
      </c>
      <c r="L89" s="1468"/>
      <c r="M89" s="1468">
        <f t="shared" si="65"/>
        <v>-0.19200466836013583</v>
      </c>
      <c r="N89" s="1468">
        <f t="shared" si="66"/>
        <v>3.1798112024286862</v>
      </c>
      <c r="O89" s="1468">
        <f t="shared" si="67"/>
        <v>9.9043364980845716</v>
      </c>
      <c r="P89" s="1468">
        <f t="shared" si="68"/>
        <v>3.8877947513549311</v>
      </c>
      <c r="Q89" s="1468">
        <f t="shared" si="69"/>
        <v>3.0381856237513558</v>
      </c>
      <c r="R89" s="681"/>
      <c r="S89" s="681"/>
      <c r="T89" s="561"/>
      <c r="U89" s="561"/>
      <c r="V89" s="19"/>
      <c r="W89" s="19"/>
      <c r="AD89" s="561"/>
      <c r="AE89" s="561"/>
      <c r="AF89" s="561"/>
    </row>
    <row r="90" spans="2:32" ht="15" customHeight="1">
      <c r="C90" s="1016" t="str">
        <f>IF(Indice_index!$Z$1=1,"Abonos Variáveis ou Eventuais","Variable or contingent bonuses")</f>
        <v>Variable or contingent bonuses</v>
      </c>
      <c r="D90" s="681"/>
      <c r="E90" s="703"/>
      <c r="F90" s="681"/>
      <c r="G90" s="1468">
        <f t="shared" si="60"/>
        <v>15.017226200001232</v>
      </c>
      <c r="H90" s="1468">
        <f t="shared" si="61"/>
        <v>13.418751129999691</v>
      </c>
      <c r="I90" s="1468">
        <f t="shared" si="62"/>
        <v>18.657082649503394</v>
      </c>
      <c r="J90" s="1468">
        <f t="shared" si="63"/>
        <v>0.17101819999999979</v>
      </c>
      <c r="K90" s="1468">
        <f t="shared" si="64"/>
        <v>47.26407817950394</v>
      </c>
      <c r="L90" s="1468"/>
      <c r="M90" s="1468">
        <f t="shared" si="65"/>
        <v>4.4847587409656349</v>
      </c>
      <c r="N90" s="1468">
        <f t="shared" si="66"/>
        <v>1.5620090495385657</v>
      </c>
      <c r="O90" s="1468">
        <f t="shared" si="67"/>
        <v>8.7058022960114076</v>
      </c>
      <c r="P90" s="1468">
        <f t="shared" si="68"/>
        <v>3.8587961769491654</v>
      </c>
      <c r="Q90" s="1468">
        <f t="shared" si="69"/>
        <v>3.3457540863266537</v>
      </c>
      <c r="R90" s="681"/>
      <c r="S90" s="681"/>
      <c r="T90" s="561"/>
      <c r="U90" s="561"/>
      <c r="V90" s="19"/>
      <c r="W90" s="19"/>
      <c r="AD90" s="561"/>
      <c r="AE90" s="561"/>
      <c r="AF90" s="561"/>
    </row>
    <row r="91" spans="2:32" ht="15" customHeight="1">
      <c r="C91" s="1016" t="str">
        <f>IF(Indice_index!$Z$1=1,"Segurança social","Social security")</f>
        <v>Social security</v>
      </c>
      <c r="D91" s="681"/>
      <c r="E91" s="703"/>
      <c r="F91" s="681"/>
      <c r="G91" s="1468">
        <f t="shared" si="60"/>
        <v>-25.758727660000204</v>
      </c>
      <c r="H91" s="1468">
        <f t="shared" si="61"/>
        <v>25.432512679996535</v>
      </c>
      <c r="I91" s="1468">
        <f t="shared" si="62"/>
        <v>60.906870193480927</v>
      </c>
      <c r="J91" s="1468">
        <f t="shared" si="63"/>
        <v>0.85841252999998119</v>
      </c>
      <c r="K91" s="1468">
        <f t="shared" si="64"/>
        <v>61.439067743477608</v>
      </c>
      <c r="L91" s="1468"/>
      <c r="M91" s="1468">
        <f t="shared" si="65"/>
        <v>-1.1423720192034605</v>
      </c>
      <c r="N91" s="1468">
        <f t="shared" si="66"/>
        <v>1.797397161522224</v>
      </c>
      <c r="O91" s="1468">
        <f t="shared" si="67"/>
        <v>7.5835663349261537</v>
      </c>
      <c r="P91" s="1468">
        <f t="shared" si="68"/>
        <v>1.8438765474449639</v>
      </c>
      <c r="Q91" s="1468">
        <f t="shared" si="69"/>
        <v>1.3594197231316654</v>
      </c>
      <c r="R91" s="681"/>
      <c r="S91" s="681"/>
      <c r="T91" s="561"/>
      <c r="U91" s="561"/>
      <c r="V91" s="19"/>
      <c r="W91" s="19"/>
      <c r="AD91" s="561"/>
      <c r="AE91" s="561"/>
      <c r="AF91" s="561"/>
    </row>
    <row r="92" spans="2:32" ht="15" customHeight="1">
      <c r="C92" s="703" t="str">
        <f>IF(Indice_index!$Z$1=1,"Aquisição de bens e serviços","Purchase of goods and services")</f>
        <v>Purchase of goods and services</v>
      </c>
      <c r="D92" s="681"/>
      <c r="E92" s="703"/>
      <c r="F92" s="681"/>
      <c r="G92" s="1468">
        <f t="shared" si="60"/>
        <v>-3.7926413400052752</v>
      </c>
      <c r="H92" s="1468">
        <f t="shared" si="61"/>
        <v>713.72593357001915</v>
      </c>
      <c r="I92" s="1468">
        <f t="shared" si="62"/>
        <v>239.56818559546173</v>
      </c>
      <c r="J92" s="1468">
        <f t="shared" si="63"/>
        <v>-8.1180359300000333</v>
      </c>
      <c r="K92" s="1468">
        <f t="shared" si="64"/>
        <v>941.53188712547671</v>
      </c>
      <c r="L92" s="1468"/>
      <c r="M92" s="1468">
        <f t="shared" si="65"/>
        <v>-0.33248421903287639</v>
      </c>
      <c r="N92" s="1468">
        <f t="shared" si="66"/>
        <v>9.1931694847371492</v>
      </c>
      <c r="O92" s="1468">
        <f t="shared" si="67"/>
        <v>8.4106276062030538</v>
      </c>
      <c r="P92" s="1468">
        <f t="shared" si="68"/>
        <v>-9.9143910823333936</v>
      </c>
      <c r="Q92" s="1468">
        <f t="shared" si="69"/>
        <v>7.9588740691540929</v>
      </c>
      <c r="R92" s="681"/>
      <c r="S92" s="681"/>
      <c r="T92" s="561"/>
      <c r="U92" s="561"/>
      <c r="V92" s="19"/>
      <c r="W92" s="19"/>
      <c r="AD92" s="561"/>
      <c r="AE92" s="561"/>
      <c r="AF92" s="561"/>
    </row>
    <row r="93" spans="2:32" ht="15" customHeight="1">
      <c r="C93" s="703" t="str">
        <f>IF(Indice_index!$Z$1=1,"Juros e outros encargos","Interests and other charges")</f>
        <v>Interests and other charges</v>
      </c>
      <c r="D93" s="681"/>
      <c r="E93" s="703"/>
      <c r="F93" s="681"/>
      <c r="G93" s="1468">
        <f t="shared" si="60"/>
        <v>-326.44096569999965</v>
      </c>
      <c r="H93" s="1468">
        <f t="shared" si="61"/>
        <v>-150.35994956999997</v>
      </c>
      <c r="I93" s="1468">
        <f t="shared" si="62"/>
        <v>24.5361596525469</v>
      </c>
      <c r="J93" s="1468">
        <f t="shared" si="63"/>
        <v>0.63181480000000079</v>
      </c>
      <c r="K93" s="1468">
        <f t="shared" si="64"/>
        <v>-364.29521469745305</v>
      </c>
      <c r="L93" s="1468"/>
      <c r="M93" s="1468">
        <f t="shared" si="65"/>
        <v>-5.172666153023564</v>
      </c>
      <c r="N93" s="1468">
        <f t="shared" si="66"/>
        <v>-37.864814206858036</v>
      </c>
      <c r="O93" s="1468">
        <f t="shared" si="67"/>
        <v>18.319258484419894</v>
      </c>
      <c r="P93" s="1468">
        <f t="shared" si="68"/>
        <v>10.99578479206752</v>
      </c>
      <c r="Q93" s="1468">
        <f t="shared" si="69"/>
        <v>-5.4291789873152574</v>
      </c>
      <c r="R93" s="681"/>
      <c r="S93" s="681"/>
      <c r="T93" s="561"/>
      <c r="U93" s="561"/>
      <c r="V93" s="19"/>
      <c r="W93" s="19"/>
      <c r="AD93" s="561"/>
      <c r="AE93" s="561"/>
      <c r="AF93" s="561"/>
    </row>
    <row r="94" spans="2:32" ht="15" customHeight="1">
      <c r="C94" s="703" t="str">
        <f>IF(Indice_index!$Z$1=1,"Transferências correntes","Current transfers")</f>
        <v>Current transfers</v>
      </c>
      <c r="D94" s="681"/>
      <c r="E94" s="703"/>
      <c r="F94" s="681"/>
      <c r="G94" s="1468">
        <f t="shared" si="60"/>
        <v>2723.5733701899953</v>
      </c>
      <c r="H94" s="1468">
        <f t="shared" si="61"/>
        <v>604.16184612000143</v>
      </c>
      <c r="I94" s="1468">
        <f t="shared" si="62"/>
        <v>-22.911013173127571</v>
      </c>
      <c r="J94" s="1468">
        <f t="shared" si="63"/>
        <v>-176.57913922000444</v>
      </c>
      <c r="K94" s="1468">
        <f t="shared" si="64"/>
        <v>1086.0853853868757</v>
      </c>
      <c r="L94" s="1468"/>
      <c r="M94" s="1468">
        <f t="shared" si="65"/>
        <v>8.288101475194253</v>
      </c>
      <c r="N94" s="1468">
        <f t="shared" si="66"/>
        <v>5.2191399652634276</v>
      </c>
      <c r="O94" s="1468">
        <f t="shared" si="67"/>
        <v>-2.3451106524660492</v>
      </c>
      <c r="P94" s="1468">
        <f t="shared" si="68"/>
        <v>-0.66995037042096373</v>
      </c>
      <c r="Q94" s="1468">
        <f t="shared" si="69"/>
        <v>2.8216081181692085</v>
      </c>
      <c r="R94" s="681"/>
      <c r="S94" s="681"/>
      <c r="T94" s="561"/>
      <c r="U94" s="561"/>
      <c r="V94" s="19"/>
      <c r="W94" s="19"/>
      <c r="AD94" s="561"/>
      <c r="AE94" s="561"/>
      <c r="AF94" s="561"/>
    </row>
    <row r="95" spans="2:32" ht="15" customHeight="1">
      <c r="C95" s="1467" t="str">
        <f>IF(Indice_index!$Z$1=1,"Administrações Públicas","General Government subsectors")</f>
        <v>General Government subsectors</v>
      </c>
      <c r="D95" s="681"/>
      <c r="E95" s="703"/>
      <c r="F95" s="681"/>
      <c r="G95" s="1468">
        <f t="shared" si="60"/>
        <v>2427.2601597399953</v>
      </c>
      <c r="H95" s="1468">
        <f t="shared" si="61"/>
        <v>-63.012927780000155</v>
      </c>
      <c r="I95" s="1468">
        <f t="shared" si="62"/>
        <v>28.66319064999999</v>
      </c>
      <c r="J95" s="1468">
        <f t="shared" si="63"/>
        <v>-350.75074408</v>
      </c>
      <c r="K95" s="1468">
        <f t="shared" si="64"/>
        <v>0</v>
      </c>
      <c r="L95" s="1468"/>
      <c r="M95" s="1468">
        <f t="shared" si="65"/>
        <v>8.0434658089177145</v>
      </c>
      <c r="N95" s="1468">
        <f t="shared" si="66"/>
        <v>-6.3373816902037099</v>
      </c>
      <c r="O95" s="1468">
        <f t="shared" si="67"/>
        <v>20.827324725296812</v>
      </c>
      <c r="P95" s="1468">
        <f t="shared" si="68"/>
        <v>-17.798169512865584</v>
      </c>
      <c r="Q95" s="1468" t="str">
        <f t="shared" si="69"/>
        <v>-</v>
      </c>
      <c r="R95" s="681"/>
      <c r="S95" s="681"/>
      <c r="T95" s="561"/>
      <c r="U95" s="561"/>
      <c r="V95" s="19"/>
      <c r="W95" s="19"/>
      <c r="AD95" s="561"/>
      <c r="AE95" s="561"/>
      <c r="AF95" s="561"/>
    </row>
    <row r="96" spans="2:32" ht="15" customHeight="1">
      <c r="C96" s="1467" t="str">
        <f>IF(Indice_index!$Z$1=1,"Outras","Others")</f>
        <v>Others</v>
      </c>
      <c r="D96" s="681"/>
      <c r="E96" s="703"/>
      <c r="F96" s="681"/>
      <c r="G96" s="1468">
        <f t="shared" si="60"/>
        <v>296.31321045000004</v>
      </c>
      <c r="H96" s="1468">
        <f t="shared" si="61"/>
        <v>667.17477390000204</v>
      </c>
      <c r="I96" s="1468">
        <f t="shared" si="62"/>
        <v>-51.574203823127505</v>
      </c>
      <c r="J96" s="1468">
        <f t="shared" si="63"/>
        <v>174.17160485999557</v>
      </c>
      <c r="K96" s="1468">
        <f t="shared" si="64"/>
        <v>1086.0853853868757</v>
      </c>
      <c r="L96" s="1468"/>
      <c r="M96" s="1468">
        <f t="shared" si="65"/>
        <v>11.038131468971091</v>
      </c>
      <c r="N96" s="1468">
        <f t="shared" si="66"/>
        <v>6.3050560500151924</v>
      </c>
      <c r="O96" s="1468">
        <f t="shared" si="67"/>
        <v>-6.144567375068954</v>
      </c>
      <c r="P96" s="1468">
        <f t="shared" si="68"/>
        <v>0.71421803474391898</v>
      </c>
      <c r="Q96" s="1468">
        <f t="shared" si="69"/>
        <v>2.8216081181692085</v>
      </c>
      <c r="R96" s="681"/>
      <c r="S96" s="681"/>
      <c r="T96" s="561"/>
      <c r="U96" s="561"/>
      <c r="V96" s="19"/>
      <c r="W96" s="19"/>
      <c r="AD96" s="561"/>
      <c r="AE96" s="561"/>
      <c r="AF96" s="561"/>
    </row>
    <row r="97" spans="2:32" ht="15" customHeight="1">
      <c r="C97" s="703" t="str">
        <f>IF(Indice_index!$Z$1=1,"Subsídios","Subsidies")</f>
        <v>Subsidies</v>
      </c>
      <c r="D97" s="681"/>
      <c r="E97" s="703"/>
      <c r="F97" s="681"/>
      <c r="G97" s="1468">
        <f t="shared" si="60"/>
        <v>55.857196630000033</v>
      </c>
      <c r="H97" s="1468">
        <f t="shared" si="61"/>
        <v>-187.5064287700003</v>
      </c>
      <c r="I97" s="1468">
        <f t="shared" si="62"/>
        <v>-29.862407816089501</v>
      </c>
      <c r="J97" s="1468">
        <f t="shared" si="63"/>
        <v>-19.063586059999921</v>
      </c>
      <c r="K97" s="1468">
        <f t="shared" si="64"/>
        <v>-62.878181526089747</v>
      </c>
      <c r="L97" s="1468"/>
      <c r="M97" s="1468">
        <f t="shared" si="65"/>
        <v>51.577698575328604</v>
      </c>
      <c r="N97" s="1468">
        <f t="shared" si="66"/>
        <v>-23.229174824904209</v>
      </c>
      <c r="O97" s="1468">
        <f t="shared" si="67"/>
        <v>-5.9995154420977856</v>
      </c>
      <c r="P97" s="1468">
        <f t="shared" si="68"/>
        <v>-2.3406358464424279</v>
      </c>
      <c r="Q97" s="1468">
        <f t="shared" si="69"/>
        <v>-3.487487396126558</v>
      </c>
      <c r="R97" s="681"/>
      <c r="S97" s="681"/>
      <c r="T97" s="561"/>
      <c r="U97" s="561"/>
      <c r="V97" s="19"/>
      <c r="W97" s="19"/>
      <c r="AD97" s="561"/>
      <c r="AE97" s="561"/>
      <c r="AF97" s="561"/>
    </row>
    <row r="98" spans="2:32" ht="15" customHeight="1">
      <c r="C98" s="703" t="str">
        <f>IF(Indice_index!$Z$1=1,"Outras despesas correntes","Other current expenditures")</f>
        <v>Other current expenditures</v>
      </c>
      <c r="D98" s="681"/>
      <c r="E98" s="1497"/>
      <c r="F98" s="681"/>
      <c r="G98" s="1468">
        <f t="shared" si="60"/>
        <v>53.733679709999876</v>
      </c>
      <c r="H98" s="1468">
        <f t="shared" si="61"/>
        <v>62.743953520000019</v>
      </c>
      <c r="I98" s="1468">
        <f t="shared" si="62"/>
        <v>23.704122729659233</v>
      </c>
      <c r="J98" s="1468">
        <f t="shared" si="63"/>
        <v>1.5827047400000023</v>
      </c>
      <c r="K98" s="1468">
        <f t="shared" si="64"/>
        <v>141.76446069965903</v>
      </c>
      <c r="L98" s="1468"/>
      <c r="M98" s="1468">
        <f t="shared" si="65"/>
        <v>15.807027260946613</v>
      </c>
      <c r="N98" s="1468">
        <f t="shared" si="66"/>
        <v>38.458560978033276</v>
      </c>
      <c r="O98" s="1468">
        <f t="shared" si="67"/>
        <v>23.31042621546802</v>
      </c>
      <c r="P98" s="1468">
        <f t="shared" si="68"/>
        <v>17.303512158901736</v>
      </c>
      <c r="Q98" s="1468">
        <f t="shared" si="69"/>
        <v>23.091760065127868</v>
      </c>
      <c r="R98" s="681"/>
      <c r="S98" s="681"/>
      <c r="T98" s="561"/>
      <c r="U98" s="561"/>
      <c r="V98" s="19"/>
      <c r="W98" s="19"/>
      <c r="AD98" s="561"/>
      <c r="AE98" s="561"/>
      <c r="AF98" s="561"/>
    </row>
    <row r="99" spans="2:32" s="538" customFormat="1" ht="15" customHeight="1">
      <c r="C99" s="703" t="str">
        <f>IF(Indice_index!$Z$1=1,"Diferenças de consolidação","Consolidation differences")</f>
        <v>Consolidation differences</v>
      </c>
      <c r="D99" s="318"/>
      <c r="E99" s="318"/>
      <c r="F99" s="318"/>
      <c r="G99" s="1468">
        <f t="shared" si="60"/>
        <v>-3.199523929999998</v>
      </c>
      <c r="H99" s="1468">
        <f t="shared" si="61"/>
        <v>2.8211207099976159</v>
      </c>
      <c r="I99" s="1468">
        <f t="shared" si="62"/>
        <v>-0.43593435000025238</v>
      </c>
      <c r="J99" s="1468">
        <f t="shared" si="63"/>
        <v>0</v>
      </c>
      <c r="K99" s="1468">
        <f t="shared" si="64"/>
        <v>-66.503914120003856</v>
      </c>
      <c r="L99" s="1468"/>
      <c r="M99" s="1492" t="s">
        <v>2</v>
      </c>
      <c r="N99" s="1492" t="s">
        <v>2</v>
      </c>
      <c r="O99" s="1492" t="s">
        <v>2</v>
      </c>
      <c r="P99" s="1492" t="s">
        <v>2</v>
      </c>
      <c r="Q99" s="1492" t="s">
        <v>2</v>
      </c>
      <c r="R99" s="1492"/>
      <c r="S99" s="681"/>
      <c r="T99" s="560"/>
      <c r="U99" s="560"/>
      <c r="V99" s="539"/>
      <c r="W99" s="539"/>
      <c r="X99" s="539"/>
      <c r="Y99" s="539"/>
      <c r="Z99" s="539"/>
      <c r="AA99" s="539"/>
      <c r="AB99" s="539"/>
      <c r="AC99" s="539"/>
      <c r="AD99" s="560"/>
      <c r="AE99" s="560"/>
      <c r="AF99" s="560"/>
    </row>
    <row r="100" spans="2:32" ht="15" customHeight="1">
      <c r="C100" s="318" t="str">
        <f>IF(Indice_index!$Z$1=1,"Despesa de capital","Capital expenditure")</f>
        <v>Capital expenditure</v>
      </c>
      <c r="D100" s="681"/>
      <c r="E100" s="703"/>
      <c r="F100" s="681"/>
      <c r="G100" s="1489">
        <f t="shared" si="60"/>
        <v>-458.15139331999944</v>
      </c>
      <c r="H100" s="1489">
        <f t="shared" si="61"/>
        <v>-36.516710419999072</v>
      </c>
      <c r="I100" s="1489">
        <f t="shared" si="62"/>
        <v>-168.95436553645004</v>
      </c>
      <c r="J100" s="1489">
        <f t="shared" si="63"/>
        <v>3.8952397100000056</v>
      </c>
      <c r="K100" s="1489">
        <f t="shared" si="64"/>
        <v>-65.623806366445933</v>
      </c>
      <c r="L100" s="1489"/>
      <c r="M100" s="1489">
        <f t="shared" ref="M100:Q105" si="70">IF(IFERROR((M42-G42)/G42*100,"")&gt;500,"-",IFERROR((M42-G42)/G42*100,""))</f>
        <v>-17.446446145330501</v>
      </c>
      <c r="N100" s="1489">
        <f t="shared" si="70"/>
        <v>-1.1076076152927101</v>
      </c>
      <c r="O100" s="1489">
        <f t="shared" si="70"/>
        <v>-6.065733004144656</v>
      </c>
      <c r="P100" s="1489">
        <f t="shared" si="70"/>
        <v>13.048212853291504</v>
      </c>
      <c r="Q100" s="1489">
        <f t="shared" si="70"/>
        <v>-1.000739610971572</v>
      </c>
      <c r="R100" s="681"/>
      <c r="S100" s="681"/>
      <c r="T100" s="561"/>
      <c r="U100" s="561"/>
      <c r="V100" s="19"/>
      <c r="W100" s="19"/>
      <c r="AD100" s="561"/>
      <c r="AE100" s="561"/>
      <c r="AF100" s="561"/>
    </row>
    <row r="101" spans="2:32" ht="15" customHeight="1">
      <c r="C101" s="703" t="str">
        <f>IF(Indice_index!$Z$1=1,"Investimentos","Investments")</f>
        <v>Investments</v>
      </c>
      <c r="D101" s="681"/>
      <c r="E101" s="703"/>
      <c r="F101" s="681"/>
      <c r="G101" s="1468">
        <f t="shared" si="60"/>
        <v>169.58970699000054</v>
      </c>
      <c r="H101" s="1468">
        <f t="shared" si="61"/>
        <v>149.1175321500009</v>
      </c>
      <c r="I101" s="1468">
        <f t="shared" si="62"/>
        <v>-123.82477555186642</v>
      </c>
      <c r="J101" s="1468">
        <f t="shared" si="63"/>
        <v>3.925154450000008</v>
      </c>
      <c r="K101" s="1468">
        <f t="shared" si="64"/>
        <v>198.80761803813584</v>
      </c>
      <c r="L101" s="1468"/>
      <c r="M101" s="1468">
        <f t="shared" si="70"/>
        <v>42.485095234343277</v>
      </c>
      <c r="N101" s="1468">
        <f t="shared" si="70"/>
        <v>6.5866233896090174</v>
      </c>
      <c r="O101" s="1468">
        <f t="shared" si="70"/>
        <v>-5.2933591513269329</v>
      </c>
      <c r="P101" s="1468">
        <f t="shared" si="70"/>
        <v>14.555217150987732</v>
      </c>
      <c r="Q101" s="1468">
        <f t="shared" si="70"/>
        <v>3.9529607152218156</v>
      </c>
      <c r="R101" s="681"/>
      <c r="S101" s="681"/>
      <c r="T101" s="561"/>
      <c r="U101" s="561"/>
      <c r="V101" s="19"/>
      <c r="W101" s="19"/>
      <c r="AD101" s="561"/>
      <c r="AE101" s="561"/>
      <c r="AF101" s="561"/>
    </row>
    <row r="102" spans="2:32" ht="15" customHeight="1">
      <c r="C102" s="703" t="str">
        <f>IF(Indice_index!$Z$1=1,"Transferências de capital","Capital transfers")</f>
        <v>Capital transfers</v>
      </c>
      <c r="D102" s="681"/>
      <c r="E102" s="703"/>
      <c r="F102" s="681"/>
      <c r="G102" s="1468">
        <f t="shared" si="60"/>
        <v>-612.68987577999974</v>
      </c>
      <c r="H102" s="1468">
        <f t="shared" si="61"/>
        <v>-337.91168379000021</v>
      </c>
      <c r="I102" s="1468">
        <f t="shared" si="62"/>
        <v>-47.431413398886605</v>
      </c>
      <c r="J102" s="1468">
        <f t="shared" si="63"/>
        <v>-2.9914740000000162E-2</v>
      </c>
      <c r="K102" s="1468">
        <f t="shared" si="64"/>
        <v>-415.72461415888665</v>
      </c>
      <c r="L102" s="1468"/>
      <c r="M102" s="1468">
        <f t="shared" si="70"/>
        <v>-27.850011876643343</v>
      </c>
      <c r="N102" s="1468">
        <f t="shared" si="70"/>
        <v>-34.319739778823241</v>
      </c>
      <c r="O102" s="1468">
        <f t="shared" si="70"/>
        <v>-10.870856865642549</v>
      </c>
      <c r="P102" s="1468">
        <f t="shared" si="70"/>
        <v>-1.0367869593407564</v>
      </c>
      <c r="Q102" s="1468">
        <f t="shared" si="70"/>
        <v>-28.807603684137</v>
      </c>
      <c r="R102" s="681"/>
      <c r="S102" s="681"/>
      <c r="T102" s="561"/>
      <c r="U102" s="561"/>
      <c r="V102" s="19"/>
      <c r="W102" s="19"/>
      <c r="AD102" s="561"/>
      <c r="AE102" s="561"/>
      <c r="AF102" s="561"/>
    </row>
    <row r="103" spans="2:32" ht="15" customHeight="1">
      <c r="C103" s="1467" t="str">
        <f>IF(Indice_index!$Z$1=1,"Administrações Públicas","General Government subsectors")</f>
        <v>General Government subsectors</v>
      </c>
      <c r="D103" s="681"/>
      <c r="E103" s="703"/>
      <c r="F103" s="681"/>
      <c r="G103" s="1468">
        <f t="shared" si="60"/>
        <v>-600.62681138999983</v>
      </c>
      <c r="H103" s="1468">
        <f t="shared" si="61"/>
        <v>17.098057389999994</v>
      </c>
      <c r="I103" s="1468">
        <f t="shared" si="62"/>
        <v>1.1904804499999919</v>
      </c>
      <c r="J103" s="1468">
        <f t="shared" si="63"/>
        <v>0</v>
      </c>
      <c r="K103" s="1468">
        <f t="shared" si="64"/>
        <v>0</v>
      </c>
      <c r="L103" s="1468"/>
      <c r="M103" s="1468">
        <f t="shared" si="70"/>
        <v>-28.087194039453312</v>
      </c>
      <c r="N103" s="1468">
        <f t="shared" si="70"/>
        <v>57.453159561959801</v>
      </c>
      <c r="O103" s="1468">
        <f t="shared" si="70"/>
        <v>9.5543622892505677</v>
      </c>
      <c r="P103" s="1468" t="str">
        <f t="shared" si="70"/>
        <v>-</v>
      </c>
      <c r="Q103" s="1468" t="str">
        <f t="shared" si="70"/>
        <v>-</v>
      </c>
      <c r="R103" s="681"/>
      <c r="S103" s="681"/>
      <c r="T103" s="561"/>
      <c r="U103" s="561"/>
      <c r="V103" s="19"/>
      <c r="W103" s="19"/>
      <c r="AD103" s="561"/>
      <c r="AE103" s="561"/>
      <c r="AF103" s="561"/>
    </row>
    <row r="104" spans="2:32" ht="15" customHeight="1">
      <c r="C104" s="1467" t="str">
        <f>IF(Indice_index!$Z$1=1,"Outras","Others")</f>
        <v>Others</v>
      </c>
      <c r="D104" s="681"/>
      <c r="E104" s="703"/>
      <c r="F104" s="681"/>
      <c r="G104" s="1468">
        <f t="shared" si="60"/>
        <v>-12.063064390000008</v>
      </c>
      <c r="H104" s="1468">
        <f t="shared" si="61"/>
        <v>-355.00974118000022</v>
      </c>
      <c r="I104" s="1468">
        <f t="shared" si="62"/>
        <v>-48.6218938488866</v>
      </c>
      <c r="J104" s="1468">
        <f t="shared" si="63"/>
        <v>-2.9914740000000162E-2</v>
      </c>
      <c r="K104" s="1468">
        <f t="shared" si="64"/>
        <v>-415.72461415888665</v>
      </c>
      <c r="L104" s="1468"/>
      <c r="M104" s="1468">
        <f t="shared" si="70"/>
        <v>-19.606385814240863</v>
      </c>
      <c r="N104" s="1468">
        <f t="shared" si="70"/>
        <v>-37.180077593042611</v>
      </c>
      <c r="O104" s="1468">
        <f t="shared" si="70"/>
        <v>-11.471294414096761</v>
      </c>
      <c r="P104" s="1468">
        <f t="shared" si="70"/>
        <v>-1.0367869593407564</v>
      </c>
      <c r="Q104" s="1468">
        <f t="shared" si="70"/>
        <v>-28.807603684137</v>
      </c>
      <c r="R104" s="681"/>
      <c r="S104" s="681"/>
      <c r="T104" s="561"/>
      <c r="U104" s="561"/>
      <c r="V104" s="19"/>
      <c r="W104" s="19"/>
      <c r="AD104" s="561"/>
      <c r="AE104" s="561"/>
      <c r="AF104" s="561"/>
    </row>
    <row r="105" spans="2:32" ht="15" customHeight="1">
      <c r="C105" s="703" t="str">
        <f>IF(Indice_index!$Z$1=1,"Outras despesas de capital","Other capital expenditures")</f>
        <v>Other capital expenditures</v>
      </c>
      <c r="D105" s="681"/>
      <c r="E105" s="1497"/>
      <c r="F105" s="681"/>
      <c r="G105" s="1468">
        <f t="shared" si="60"/>
        <v>-16.177432450000005</v>
      </c>
      <c r="H105" s="1468">
        <f t="shared" si="61"/>
        <v>150.74057053999999</v>
      </c>
      <c r="I105" s="1468">
        <f t="shared" si="62"/>
        <v>2.1031870143029145</v>
      </c>
      <c r="J105" s="1468">
        <f t="shared" si="63"/>
        <v>0</v>
      </c>
      <c r="K105" s="1468">
        <f t="shared" si="64"/>
        <v>136.66632510430287</v>
      </c>
      <c r="L105" s="1468"/>
      <c r="M105" s="1468">
        <f t="shared" si="70"/>
        <v>-60.123662501174792</v>
      </c>
      <c r="N105" s="1468" t="str">
        <f t="shared" si="70"/>
        <v>-</v>
      </c>
      <c r="O105" s="1468">
        <f t="shared" si="70"/>
        <v>21.404277418790194</v>
      </c>
      <c r="P105" s="1468" t="str">
        <f t="shared" si="70"/>
        <v>-</v>
      </c>
      <c r="Q105" s="1468">
        <f t="shared" si="70"/>
        <v>235.61282070758688</v>
      </c>
      <c r="R105" s="681"/>
      <c r="S105" s="681"/>
      <c r="T105" s="561"/>
      <c r="U105" s="561"/>
      <c r="V105" s="19"/>
      <c r="W105" s="19"/>
      <c r="AD105" s="561"/>
      <c r="AE105" s="561"/>
      <c r="AF105" s="561"/>
    </row>
    <row r="106" spans="2:32" ht="15" customHeight="1">
      <c r="B106" s="549"/>
      <c r="C106" s="703" t="str">
        <f>IF(Indice_index!$Z$1=1,"Diferenças de consolidação","Consolidation differences")</f>
        <v>Consolidation differences</v>
      </c>
      <c r="D106" s="681"/>
      <c r="E106" s="700"/>
      <c r="F106" s="681"/>
      <c r="G106" s="1468">
        <f t="shared" si="60"/>
        <v>1.1262079200000006</v>
      </c>
      <c r="H106" s="1468">
        <f t="shared" si="61"/>
        <v>1.5368706800001917</v>
      </c>
      <c r="I106" s="1468">
        <f t="shared" si="62"/>
        <v>0.19863639999999805</v>
      </c>
      <c r="J106" s="1468">
        <f t="shared" si="63"/>
        <v>0</v>
      </c>
      <c r="K106" s="1468">
        <f t="shared" si="64"/>
        <v>14.626864650000428</v>
      </c>
      <c r="L106" s="1468"/>
      <c r="M106" s="1492" t="s">
        <v>2</v>
      </c>
      <c r="N106" s="1492" t="s">
        <v>2</v>
      </c>
      <c r="O106" s="1492" t="s">
        <v>2</v>
      </c>
      <c r="P106" s="1492" t="s">
        <v>2</v>
      </c>
      <c r="Q106" s="1492" t="s">
        <v>2</v>
      </c>
      <c r="R106" s="681"/>
      <c r="S106" s="681"/>
      <c r="T106" s="561"/>
      <c r="U106" s="561"/>
      <c r="V106" s="19"/>
      <c r="W106" s="19"/>
      <c r="AD106" s="561"/>
      <c r="AE106" s="561"/>
      <c r="AF106" s="561"/>
    </row>
    <row r="107" spans="2:32" s="538" customFormat="1" ht="4.5" customHeight="1">
      <c r="C107" s="700"/>
      <c r="D107" s="318"/>
      <c r="E107" s="318"/>
      <c r="F107" s="318"/>
      <c r="G107" s="1498"/>
      <c r="H107" s="1498"/>
      <c r="I107" s="1498"/>
      <c r="J107" s="1498"/>
      <c r="K107" s="1498"/>
      <c r="L107" s="1498"/>
      <c r="M107" s="1498"/>
      <c r="N107" s="1498"/>
      <c r="O107" s="1498"/>
      <c r="P107" s="1498"/>
      <c r="Q107" s="1498"/>
      <c r="R107" s="318"/>
      <c r="S107" s="681"/>
      <c r="T107" s="560"/>
      <c r="U107" s="560"/>
      <c r="V107" s="539"/>
      <c r="W107" s="539"/>
      <c r="X107" s="539"/>
      <c r="Y107" s="539"/>
      <c r="Z107" s="539"/>
      <c r="AA107" s="539"/>
      <c r="AB107" s="539"/>
      <c r="AC107" s="539"/>
      <c r="AD107" s="560"/>
      <c r="AE107" s="560"/>
      <c r="AF107" s="560"/>
    </row>
    <row r="108" spans="2:32" ht="15" customHeight="1">
      <c r="B108" s="549"/>
      <c r="C108" s="734" t="str">
        <f>IF(Indice_index!$Z$1=1,"Despesa efetiva","Effective expenditure")</f>
        <v>Effective expenditure</v>
      </c>
      <c r="D108" s="734"/>
      <c r="E108" s="734"/>
      <c r="F108" s="734"/>
      <c r="G108" s="1495">
        <f>M50-G50</f>
        <v>2017.7405588699912</v>
      </c>
      <c r="H108" s="1495">
        <f>N50-H50</f>
        <v>1218.5537209299946</v>
      </c>
      <c r="I108" s="1495">
        <f>O50-I50</f>
        <v>449.4561026977517</v>
      </c>
      <c r="J108" s="1495">
        <f>P50-J50</f>
        <v>-188.24701171000197</v>
      </c>
      <c r="K108" s="1495">
        <f>Q50-K50</f>
        <v>2188.9407547477604</v>
      </c>
      <c r="L108" s="1489"/>
      <c r="M108" s="1495">
        <f>IF(IFERROR((M50-G50)/G50*100,"")&gt;500,"-",IFERROR((M50-G50)/G50*100,""))</f>
        <v>3.8210065658607921</v>
      </c>
      <c r="N108" s="1495">
        <f>IF(IFERROR((N50-H50)/H50*100,"")&gt;500,"-",IFERROR((N50-H50)/H50*100,""))</f>
        <v>3.8502156621951009</v>
      </c>
      <c r="O108" s="1495">
        <f>IF(IFERROR((O50-I50)/I50*100,"")&gt;500,"-",IFERROR((O50-I50)/I50*100,""))</f>
        <v>3.9309161872857343</v>
      </c>
      <c r="P108" s="1495">
        <f>IF(IFERROR((P50-J50)/J50*100,"")&gt;500,"-",IFERROR((P50-J50)/J50*100,""))</f>
        <v>-0.68293207100819675</v>
      </c>
      <c r="Q108" s="1495">
        <f>IF(IFERROR((Q50-K50)/K50*100,"")&gt;500,"-",IFERROR((Q50-K50)/K50*100,""))</f>
        <v>2.5018647316494924</v>
      </c>
      <c r="R108" s="734"/>
      <c r="S108" s="681"/>
      <c r="T108" s="561"/>
      <c r="U108" s="561"/>
      <c r="V108" s="19"/>
      <c r="W108" s="19"/>
      <c r="AD108" s="561"/>
      <c r="AE108" s="561"/>
      <c r="AF108" s="561"/>
    </row>
    <row r="109" spans="2:32" s="538" customFormat="1" ht="4.5" customHeight="1">
      <c r="C109" s="318"/>
      <c r="D109" s="1499"/>
      <c r="E109" s="703"/>
      <c r="F109" s="1499"/>
      <c r="G109" s="1500"/>
      <c r="H109" s="1500"/>
      <c r="I109" s="1500"/>
      <c r="J109" s="1500"/>
      <c r="K109" s="1500"/>
      <c r="L109" s="1501"/>
      <c r="M109" s="1500"/>
      <c r="N109" s="1500"/>
      <c r="O109" s="1500"/>
      <c r="P109" s="1500"/>
      <c r="Q109" s="1500"/>
      <c r="R109" s="1499"/>
      <c r="S109" s="681"/>
      <c r="T109" s="560"/>
      <c r="U109" s="560"/>
      <c r="V109" s="539"/>
      <c r="W109" s="539"/>
      <c r="X109" s="539"/>
      <c r="Y109" s="539"/>
      <c r="Z109" s="539"/>
      <c r="AA109" s="539"/>
      <c r="AB109" s="539"/>
      <c r="AC109" s="539"/>
      <c r="AD109" s="560"/>
      <c r="AE109" s="560"/>
      <c r="AF109" s="560"/>
    </row>
    <row r="110" spans="2:32" ht="15" customHeight="1">
      <c r="C110" s="734" t="str">
        <f>IF(Indice_index!$Z$1=1,"Saldo global","Overall balance")</f>
        <v>Overall balance</v>
      </c>
      <c r="D110" s="734"/>
      <c r="E110" s="734"/>
      <c r="F110" s="734"/>
      <c r="G110" s="1495">
        <f t="shared" ref="G110:K114" si="71">M52-G52</f>
        <v>5407.7613475800099</v>
      </c>
      <c r="H110" s="1495">
        <f t="shared" si="71"/>
        <v>-215.62341708998429</v>
      </c>
      <c r="I110" s="1495">
        <f t="shared" si="71"/>
        <v>549.84158837564064</v>
      </c>
      <c r="J110" s="1495">
        <f t="shared" si="71"/>
        <v>2693.3551985900049</v>
      </c>
      <c r="K110" s="1495">
        <f t="shared" si="71"/>
        <v>8435.3347174556402</v>
      </c>
      <c r="L110" s="1489"/>
      <c r="M110" s="1495"/>
      <c r="N110" s="1495"/>
      <c r="O110" s="1495"/>
      <c r="P110" s="1495"/>
      <c r="Q110" s="1495"/>
      <c r="R110" s="734"/>
      <c r="S110" s="681"/>
      <c r="T110" s="561"/>
      <c r="U110" s="561"/>
      <c r="V110" s="19"/>
      <c r="W110" s="19"/>
      <c r="AD110" s="561"/>
      <c r="AE110" s="561"/>
      <c r="AF110" s="561"/>
    </row>
    <row r="111" spans="2:32" ht="15" customHeight="1">
      <c r="C111" s="698" t="str">
        <f>IF(Indice_index!$Z$1=1,"Despesa primária","Primary expenditure")</f>
        <v>Primary expenditure</v>
      </c>
      <c r="D111" s="699"/>
      <c r="E111" s="698"/>
      <c r="F111" s="699"/>
      <c r="G111" s="736">
        <f t="shared" si="71"/>
        <v>2344.1815245699909</v>
      </c>
      <c r="H111" s="736">
        <f t="shared" si="71"/>
        <v>1368.9136704999946</v>
      </c>
      <c r="I111" s="736">
        <f t="shared" si="71"/>
        <v>424.91994304520449</v>
      </c>
      <c r="J111" s="736">
        <f t="shared" si="71"/>
        <v>-188.87882651000109</v>
      </c>
      <c r="K111" s="736">
        <f t="shared" si="71"/>
        <v>2553.2359694452171</v>
      </c>
      <c r="L111" s="736"/>
      <c r="M111" s="1468">
        <f>IF(IFERROR((M53-G53)/G53*100,"")&gt;500,"-",IFERROR((M53-G53)/G53*100,""))</f>
        <v>5.0417238706881458</v>
      </c>
      <c r="N111" s="1468">
        <f>IF(IFERROR((N53-H53)/H53*100,"")&gt;500,"-",IFERROR((N53-H53)/H53*100,""))</f>
        <v>4.3802607355998253</v>
      </c>
      <c r="O111" s="1468">
        <f>IF(IFERROR((O53-I53)/I53*100,"")&gt;500,"-",IFERROR((O53-I53)/I53*100,""))</f>
        <v>3.7603734150075452</v>
      </c>
      <c r="P111" s="1468">
        <f>IF(IFERROR((P53-J53)/J53*100,"")&gt;500,"-",IFERROR((P53-J53)/J53*100,""))</f>
        <v>-0.6853670692433057</v>
      </c>
      <c r="Q111" s="1468">
        <f>IF(IFERROR((Q53-K53)/K53*100,"")&gt;500,"-",IFERROR((Q53-K53)/K53*100,""))</f>
        <v>3.1606331823334743</v>
      </c>
      <c r="R111" s="1468"/>
      <c r="S111" s="681"/>
      <c r="T111" s="561"/>
      <c r="U111" s="561"/>
      <c r="V111" s="19"/>
      <c r="W111" s="19"/>
      <c r="AD111" s="561"/>
      <c r="AE111" s="561"/>
      <c r="AF111" s="561"/>
    </row>
    <row r="112" spans="2:32" ht="15" customHeight="1">
      <c r="C112" s="698" t="str">
        <f>IF(Indice_index!$Z$1=1,"Saldo corrente","Current balance")</f>
        <v>Current balance</v>
      </c>
      <c r="D112" s="699"/>
      <c r="E112" s="698"/>
      <c r="F112" s="699"/>
      <c r="G112" s="736">
        <f t="shared" si="71"/>
        <v>4712.022136360014</v>
      </c>
      <c r="H112" s="736">
        <f t="shared" si="71"/>
        <v>104.49736822001432</v>
      </c>
      <c r="I112" s="736">
        <f t="shared" si="71"/>
        <v>557.92628991337551</v>
      </c>
      <c r="J112" s="736">
        <f t="shared" si="71"/>
        <v>2697.3001854400063</v>
      </c>
      <c r="K112" s="736">
        <f t="shared" si="71"/>
        <v>8071.7459799333737</v>
      </c>
      <c r="L112" s="736"/>
      <c r="M112" s="736"/>
      <c r="N112" s="736"/>
      <c r="O112" s="736"/>
      <c r="P112" s="736"/>
      <c r="Q112" s="736"/>
      <c r="R112" s="699"/>
      <c r="S112" s="681"/>
      <c r="T112" s="561"/>
      <c r="U112" s="561"/>
      <c r="V112" s="19"/>
      <c r="W112" s="19"/>
      <c r="AD112" s="561"/>
      <c r="AE112" s="561"/>
      <c r="AF112" s="561"/>
    </row>
    <row r="113" spans="2:32" ht="15" customHeight="1">
      <c r="B113" s="20"/>
      <c r="C113" s="698" t="str">
        <f>IF(Indice_index!$Z$1=1,"Saldo de capital","Capital balance")</f>
        <v>Capital balance</v>
      </c>
      <c r="D113" s="179"/>
      <c r="E113" s="698"/>
      <c r="F113" s="179"/>
      <c r="G113" s="1468">
        <f t="shared" si="71"/>
        <v>695.73921121999956</v>
      </c>
      <c r="H113" s="1468">
        <f t="shared" si="71"/>
        <v>-320.12078530999997</v>
      </c>
      <c r="I113" s="1468">
        <f t="shared" si="71"/>
        <v>-8.0847015377353273</v>
      </c>
      <c r="J113" s="1468">
        <f t="shared" si="71"/>
        <v>-3.9449868500000065</v>
      </c>
      <c r="K113" s="1468">
        <f t="shared" si="71"/>
        <v>363.58873752226009</v>
      </c>
      <c r="L113" s="1468"/>
      <c r="M113" s="1468"/>
      <c r="N113" s="1468"/>
      <c r="O113" s="1468"/>
      <c r="P113" s="1468"/>
      <c r="Q113" s="1468"/>
      <c r="R113" s="179"/>
      <c r="S113" s="681"/>
      <c r="T113" s="561"/>
      <c r="U113" s="561"/>
      <c r="V113" s="19"/>
      <c r="W113" s="19"/>
      <c r="AD113" s="561"/>
      <c r="AE113" s="561"/>
      <c r="AF113" s="561"/>
    </row>
    <row r="114" spans="2:32" ht="15" customHeight="1">
      <c r="C114" s="737" t="str">
        <f>IF(Indice_index!$Z$1=1,"Saldo primário","Primary balance")</f>
        <v>Primary balance</v>
      </c>
      <c r="D114" s="735"/>
      <c r="E114" s="737"/>
      <c r="F114" s="735"/>
      <c r="G114" s="735">
        <f t="shared" si="71"/>
        <v>5081.3203818800102</v>
      </c>
      <c r="H114" s="735">
        <f t="shared" si="71"/>
        <v>-365.98336665998431</v>
      </c>
      <c r="I114" s="735">
        <f t="shared" si="71"/>
        <v>574.37774802818785</v>
      </c>
      <c r="J114" s="735">
        <f t="shared" si="71"/>
        <v>2693.987013390004</v>
      </c>
      <c r="K114" s="735">
        <f t="shared" si="71"/>
        <v>8071.0395027581835</v>
      </c>
      <c r="L114" s="735"/>
      <c r="M114" s="735"/>
      <c r="N114" s="735"/>
      <c r="O114" s="735"/>
      <c r="P114" s="735"/>
      <c r="Q114" s="735"/>
      <c r="R114" s="735"/>
      <c r="S114" s="681"/>
      <c r="T114" s="561"/>
      <c r="U114" s="561"/>
      <c r="V114" s="19"/>
      <c r="W114" s="19"/>
      <c r="AD114" s="561"/>
      <c r="AE114" s="561"/>
      <c r="AF114" s="561"/>
    </row>
    <row r="115" spans="2:32" ht="4.5" customHeight="1">
      <c r="C115" s="1666"/>
      <c r="D115" s="1666"/>
      <c r="E115" s="1666"/>
      <c r="F115" s="1666"/>
      <c r="G115" s="1666"/>
      <c r="H115" s="1666"/>
      <c r="I115" s="1666"/>
      <c r="J115" s="1666"/>
      <c r="K115" s="1666"/>
      <c r="L115" s="1666"/>
      <c r="M115" s="1666"/>
      <c r="N115" s="1666"/>
      <c r="O115" s="1666"/>
      <c r="P115" s="1666"/>
      <c r="Q115" s="1666"/>
      <c r="R115" s="1478"/>
      <c r="S115" s="681"/>
      <c r="X115" s="17"/>
      <c r="Y115" s="17"/>
      <c r="Z115" s="17"/>
      <c r="AA115" s="17"/>
      <c r="AB115" s="17"/>
      <c r="AC115" s="17"/>
      <c r="AD115" s="541"/>
      <c r="AE115" s="541"/>
    </row>
    <row r="116" spans="2:32" ht="15" customHeight="1">
      <c r="C116" s="1502" t="str">
        <f>IF(Indice_index!$Z$1=1,"Fonte: Direção-Geral do Orçamento","Source: Budget General Directorate")</f>
        <v>Source: Budget General Directorate</v>
      </c>
      <c r="D116" s="1503"/>
      <c r="E116" s="1502"/>
      <c r="F116" s="1503"/>
      <c r="G116" s="689"/>
      <c r="H116" s="689"/>
      <c r="I116" s="689"/>
      <c r="J116" s="689"/>
      <c r="K116" s="689"/>
      <c r="L116" s="691"/>
      <c r="M116" s="689"/>
      <c r="N116" s="689"/>
      <c r="O116" s="689"/>
      <c r="P116" s="689"/>
      <c r="Q116" s="689"/>
      <c r="R116" s="1503"/>
      <c r="S116" s="681"/>
      <c r="V116" s="19"/>
      <c r="W116" s="19"/>
      <c r="AD116" s="17"/>
      <c r="AE116" s="17"/>
    </row>
    <row r="117" spans="2:32">
      <c r="C117" s="690"/>
      <c r="D117" s="689"/>
      <c r="E117" s="690"/>
      <c r="F117" s="689"/>
      <c r="G117" s="692"/>
      <c r="H117" s="692"/>
      <c r="I117" s="692"/>
      <c r="J117" s="692"/>
      <c r="K117" s="692"/>
      <c r="L117" s="691"/>
      <c r="M117" s="693"/>
      <c r="N117" s="693"/>
      <c r="O117" s="693"/>
      <c r="P117" s="693"/>
      <c r="Q117" s="693"/>
      <c r="R117" s="689"/>
      <c r="S117" s="681"/>
      <c r="V117" s="19"/>
      <c r="W117" s="19"/>
      <c r="AD117" s="17"/>
      <c r="AE117" s="17"/>
    </row>
    <row r="118" spans="2:32">
      <c r="C118" s="689"/>
      <c r="D118" s="689"/>
      <c r="E118" s="689"/>
      <c r="F118" s="689"/>
      <c r="G118" s="692"/>
      <c r="H118" s="692"/>
      <c r="I118" s="692"/>
      <c r="J118" s="692"/>
      <c r="K118" s="692"/>
      <c r="L118" s="691"/>
      <c r="M118" s="693"/>
      <c r="N118" s="693"/>
      <c r="O118" s="693"/>
      <c r="P118" s="693"/>
      <c r="Q118" s="693"/>
      <c r="R118" s="689"/>
      <c r="S118" s="681"/>
      <c r="V118" s="19"/>
      <c r="W118" s="19"/>
      <c r="AD118" s="17"/>
      <c r="AE118" s="17"/>
    </row>
    <row r="119" spans="2:32" ht="13">
      <c r="G119" s="562"/>
      <c r="H119" s="562"/>
      <c r="I119" s="562"/>
      <c r="J119" s="562"/>
      <c r="K119" s="562"/>
      <c r="L119" s="648"/>
      <c r="M119" s="647"/>
      <c r="N119" s="647"/>
      <c r="O119" s="647"/>
      <c r="P119" s="647"/>
      <c r="Q119" s="647"/>
      <c r="S119" s="646"/>
      <c r="V119" s="19"/>
      <c r="W119" s="19"/>
      <c r="AD119" s="17"/>
      <c r="AE119" s="17"/>
    </row>
    <row r="120" spans="2:32" ht="13">
      <c r="G120" s="562"/>
      <c r="H120" s="562"/>
      <c r="I120" s="562"/>
      <c r="J120" s="562"/>
      <c r="K120" s="562"/>
      <c r="L120" s="648"/>
      <c r="M120" s="647"/>
      <c r="N120" s="647"/>
      <c r="O120" s="647"/>
      <c r="P120" s="647"/>
      <c r="Q120" s="647"/>
      <c r="S120" s="646"/>
      <c r="V120" s="19"/>
      <c r="W120" s="19"/>
      <c r="AD120" s="17"/>
      <c r="AE120" s="17"/>
    </row>
    <row r="121" spans="2:32" ht="13">
      <c r="G121" s="562"/>
      <c r="H121" s="562"/>
      <c r="I121" s="562"/>
      <c r="J121" s="562"/>
      <c r="K121" s="562"/>
      <c r="L121" s="648"/>
      <c r="M121" s="647"/>
      <c r="N121" s="647"/>
      <c r="O121" s="647"/>
      <c r="P121" s="647"/>
      <c r="Q121" s="647"/>
      <c r="S121" s="646"/>
      <c r="V121" s="19"/>
      <c r="W121" s="19"/>
      <c r="AD121" s="17"/>
      <c r="AE121" s="17"/>
    </row>
    <row r="122" spans="2:32" ht="13">
      <c r="G122" s="562"/>
      <c r="H122" s="562"/>
      <c r="I122" s="562"/>
      <c r="J122" s="562"/>
      <c r="K122" s="562"/>
      <c r="L122" s="648"/>
      <c r="M122" s="647"/>
      <c r="N122" s="647"/>
      <c r="O122" s="647"/>
      <c r="P122" s="647"/>
      <c r="Q122" s="647"/>
      <c r="S122" s="646"/>
      <c r="V122" s="19"/>
      <c r="W122" s="19"/>
      <c r="AD122" s="17"/>
      <c r="AE122" s="17"/>
    </row>
    <row r="123" spans="2:32" ht="13">
      <c r="G123" s="562"/>
      <c r="H123" s="562"/>
      <c r="I123" s="562"/>
      <c r="J123" s="562"/>
      <c r="K123" s="562"/>
      <c r="L123" s="648"/>
      <c r="M123" s="647"/>
      <c r="N123" s="647"/>
      <c r="O123" s="647"/>
      <c r="P123" s="647"/>
      <c r="Q123" s="647"/>
      <c r="S123" s="646"/>
      <c r="V123" s="19"/>
      <c r="W123" s="19"/>
      <c r="AD123" s="17"/>
      <c r="AE123" s="17"/>
    </row>
    <row r="124" spans="2:32" ht="13">
      <c r="G124" s="562"/>
      <c r="H124" s="562"/>
      <c r="I124" s="562"/>
      <c r="J124" s="562"/>
      <c r="K124" s="562"/>
      <c r="L124" s="648"/>
      <c r="M124" s="647"/>
      <c r="N124" s="647"/>
      <c r="O124" s="647"/>
      <c r="P124" s="647"/>
      <c r="Q124" s="647"/>
      <c r="S124" s="646"/>
      <c r="V124" s="19"/>
      <c r="W124" s="19"/>
      <c r="AD124" s="17"/>
      <c r="AE124" s="17"/>
    </row>
    <row r="125" spans="2:32">
      <c r="G125" s="562"/>
      <c r="H125" s="562"/>
      <c r="I125" s="562"/>
      <c r="J125" s="562"/>
      <c r="K125" s="562"/>
      <c r="M125" s="647"/>
      <c r="N125" s="647"/>
      <c r="O125" s="647"/>
      <c r="P125" s="647"/>
      <c r="Q125" s="647"/>
      <c r="S125" s="646"/>
      <c r="V125" s="19"/>
      <c r="W125" s="19"/>
      <c r="AD125" s="17"/>
      <c r="AE125" s="17"/>
    </row>
    <row r="126" spans="2:32">
      <c r="G126" s="562"/>
      <c r="H126" s="562"/>
      <c r="I126" s="562"/>
      <c r="J126" s="562"/>
      <c r="K126" s="562"/>
      <c r="M126" s="647"/>
      <c r="N126" s="647"/>
      <c r="O126" s="647"/>
      <c r="P126" s="647"/>
      <c r="Q126" s="647"/>
      <c r="S126" s="646"/>
      <c r="V126" s="19"/>
      <c r="W126" s="19"/>
      <c r="AD126" s="17"/>
      <c r="AE126" s="17"/>
    </row>
    <row r="127" spans="2:32">
      <c r="G127" s="562"/>
      <c r="H127" s="562"/>
      <c r="I127" s="562"/>
      <c r="J127" s="562"/>
      <c r="K127" s="562"/>
      <c r="M127" s="647"/>
      <c r="N127" s="647"/>
      <c r="O127" s="647"/>
      <c r="P127" s="647"/>
      <c r="Q127" s="647"/>
      <c r="S127" s="646"/>
      <c r="V127" s="19"/>
      <c r="W127" s="19"/>
      <c r="AD127" s="17"/>
      <c r="AE127" s="17"/>
    </row>
    <row r="128" spans="2:32">
      <c r="G128" s="562"/>
      <c r="H128" s="562"/>
      <c r="I128" s="562"/>
      <c r="J128" s="562"/>
      <c r="K128" s="562"/>
      <c r="M128" s="647"/>
      <c r="N128" s="647"/>
      <c r="O128" s="647"/>
      <c r="P128" s="647"/>
      <c r="Q128" s="647"/>
      <c r="S128" s="646"/>
      <c r="V128" s="19"/>
      <c r="W128" s="19"/>
      <c r="AD128" s="17"/>
      <c r="AE128" s="17"/>
    </row>
    <row r="129" spans="7:31">
      <c r="G129" s="562"/>
      <c r="H129" s="562"/>
      <c r="I129" s="562"/>
      <c r="J129" s="562"/>
      <c r="K129" s="562"/>
      <c r="M129" s="647"/>
      <c r="N129" s="647"/>
      <c r="O129" s="647"/>
      <c r="P129" s="647"/>
      <c r="Q129" s="647"/>
      <c r="S129" s="646"/>
      <c r="V129" s="19"/>
      <c r="W129" s="19"/>
      <c r="AD129" s="17"/>
      <c r="AE129" s="17"/>
    </row>
    <row r="130" spans="7:31">
      <c r="G130" s="562"/>
      <c r="H130" s="562"/>
      <c r="I130" s="562"/>
      <c r="J130" s="562"/>
      <c r="K130" s="562"/>
      <c r="M130" s="647"/>
      <c r="N130" s="647"/>
      <c r="O130" s="647"/>
      <c r="P130" s="647"/>
      <c r="Q130" s="647"/>
      <c r="S130" s="646"/>
      <c r="V130" s="19"/>
      <c r="W130" s="19"/>
      <c r="AD130" s="17"/>
      <c r="AE130" s="17"/>
    </row>
    <row r="131" spans="7:31">
      <c r="G131" s="562"/>
      <c r="H131" s="562"/>
      <c r="I131" s="562"/>
      <c r="J131" s="562"/>
      <c r="K131" s="562"/>
      <c r="M131" s="647"/>
      <c r="N131" s="647"/>
      <c r="O131" s="647"/>
      <c r="P131" s="647"/>
      <c r="Q131" s="647"/>
      <c r="S131" s="646"/>
      <c r="V131" s="19"/>
      <c r="W131" s="19"/>
      <c r="AD131" s="17"/>
      <c r="AE131" s="17"/>
    </row>
    <row r="132" spans="7:31">
      <c r="G132" s="562"/>
      <c r="H132" s="562"/>
      <c r="I132" s="562"/>
      <c r="J132" s="562"/>
      <c r="K132" s="562"/>
      <c r="M132" s="647"/>
      <c r="N132" s="647"/>
      <c r="O132" s="647"/>
      <c r="P132" s="647"/>
      <c r="Q132" s="647"/>
      <c r="S132" s="646"/>
      <c r="V132" s="19"/>
      <c r="W132" s="19"/>
      <c r="AD132" s="17"/>
      <c r="AE132" s="17"/>
    </row>
    <row r="133" spans="7:31">
      <c r="G133" s="562"/>
      <c r="H133" s="562"/>
      <c r="I133" s="562"/>
      <c r="J133" s="562"/>
      <c r="K133" s="562"/>
      <c r="M133" s="647"/>
      <c r="N133" s="647"/>
      <c r="O133" s="647"/>
      <c r="P133" s="647"/>
      <c r="Q133" s="647"/>
      <c r="S133" s="646"/>
      <c r="V133" s="19"/>
      <c r="W133" s="19"/>
      <c r="AD133" s="17"/>
      <c r="AE133" s="17"/>
    </row>
    <row r="134" spans="7:31">
      <c r="G134" s="562"/>
      <c r="H134" s="562"/>
      <c r="I134" s="562"/>
      <c r="J134" s="562"/>
      <c r="K134" s="562"/>
      <c r="M134" s="647"/>
      <c r="N134" s="647"/>
      <c r="O134" s="647"/>
      <c r="P134" s="647"/>
      <c r="Q134" s="647"/>
      <c r="S134" s="646"/>
      <c r="V134" s="19"/>
      <c r="W134" s="19"/>
      <c r="AD134" s="17"/>
      <c r="AE134" s="17"/>
    </row>
    <row r="135" spans="7:31">
      <c r="G135" s="562"/>
      <c r="H135" s="562"/>
      <c r="I135" s="562"/>
      <c r="J135" s="562"/>
      <c r="K135" s="562"/>
      <c r="M135" s="647"/>
      <c r="N135" s="647"/>
      <c r="O135" s="647"/>
      <c r="P135" s="647"/>
      <c r="Q135" s="647"/>
      <c r="S135" s="646"/>
      <c r="V135" s="19"/>
      <c r="W135" s="19"/>
      <c r="AD135" s="17"/>
      <c r="AE135" s="17"/>
    </row>
    <row r="136" spans="7:31">
      <c r="G136" s="562"/>
      <c r="H136" s="562"/>
      <c r="I136" s="562"/>
      <c r="J136" s="562"/>
      <c r="K136" s="562"/>
      <c r="M136" s="647"/>
      <c r="N136" s="647"/>
      <c r="O136" s="647"/>
      <c r="P136" s="647"/>
      <c r="Q136" s="647"/>
      <c r="S136" s="646"/>
      <c r="V136" s="19"/>
      <c r="W136" s="19"/>
      <c r="AD136" s="17"/>
      <c r="AE136" s="17"/>
    </row>
    <row r="137" spans="7:31">
      <c r="G137" s="562"/>
      <c r="H137" s="562"/>
      <c r="I137" s="562"/>
      <c r="J137" s="562"/>
      <c r="K137" s="562"/>
      <c r="M137" s="647"/>
      <c r="N137" s="647"/>
      <c r="O137" s="647"/>
      <c r="P137" s="647"/>
      <c r="Q137" s="647"/>
      <c r="S137" s="646"/>
      <c r="V137" s="19"/>
      <c r="W137" s="19"/>
      <c r="AD137" s="17"/>
      <c r="AE137" s="17"/>
    </row>
    <row r="138" spans="7:31">
      <c r="G138" s="562"/>
      <c r="H138" s="562"/>
      <c r="I138" s="562"/>
      <c r="J138" s="562"/>
      <c r="K138" s="562"/>
      <c r="M138" s="647"/>
      <c r="N138" s="647"/>
      <c r="O138" s="647"/>
      <c r="P138" s="647"/>
      <c r="Q138" s="647"/>
      <c r="S138" s="646"/>
      <c r="V138" s="19"/>
      <c r="W138" s="19"/>
      <c r="AD138" s="17"/>
      <c r="AE138" s="17"/>
    </row>
    <row r="139" spans="7:31">
      <c r="G139" s="562"/>
      <c r="H139" s="562"/>
      <c r="I139" s="562"/>
      <c r="J139" s="562"/>
      <c r="K139" s="562"/>
      <c r="M139" s="647"/>
      <c r="N139" s="647"/>
      <c r="O139" s="647"/>
      <c r="P139" s="647"/>
      <c r="Q139" s="647"/>
      <c r="S139" s="646"/>
      <c r="V139" s="19"/>
      <c r="W139" s="19"/>
      <c r="AD139" s="17"/>
      <c r="AE139" s="17"/>
    </row>
    <row r="140" spans="7:31">
      <c r="G140" s="562"/>
      <c r="H140" s="562"/>
      <c r="I140" s="562"/>
      <c r="J140" s="562"/>
      <c r="K140" s="562"/>
      <c r="M140" s="647"/>
      <c r="N140" s="647"/>
      <c r="O140" s="647"/>
      <c r="P140" s="647"/>
      <c r="Q140" s="647"/>
      <c r="S140" s="646"/>
      <c r="V140" s="19"/>
      <c r="W140" s="19"/>
      <c r="AD140" s="17"/>
      <c r="AE140" s="17"/>
    </row>
    <row r="141" spans="7:31">
      <c r="G141" s="562"/>
      <c r="H141" s="562"/>
      <c r="I141" s="562"/>
      <c r="J141" s="562"/>
      <c r="K141" s="562"/>
      <c r="M141" s="647"/>
      <c r="N141" s="647"/>
      <c r="O141" s="647"/>
      <c r="P141" s="647"/>
      <c r="Q141" s="647"/>
      <c r="S141" s="646"/>
      <c r="V141" s="19"/>
      <c r="W141" s="19"/>
      <c r="AD141" s="17"/>
      <c r="AE141" s="17"/>
    </row>
    <row r="142" spans="7:31">
      <c r="G142" s="562"/>
      <c r="H142" s="562"/>
      <c r="I142" s="562"/>
      <c r="J142" s="562"/>
      <c r="K142" s="562"/>
      <c r="M142" s="647"/>
      <c r="N142" s="647"/>
      <c r="O142" s="647"/>
      <c r="P142" s="647"/>
      <c r="Q142" s="647"/>
      <c r="S142" s="646"/>
      <c r="V142" s="19"/>
      <c r="W142" s="19"/>
      <c r="AD142" s="17"/>
      <c r="AE142" s="17"/>
    </row>
    <row r="143" spans="7:31">
      <c r="G143" s="562"/>
      <c r="H143" s="562"/>
      <c r="I143" s="562"/>
      <c r="J143" s="562"/>
      <c r="K143" s="562"/>
      <c r="M143" s="647"/>
      <c r="N143" s="647"/>
      <c r="O143" s="647"/>
      <c r="P143" s="647"/>
      <c r="Q143" s="647"/>
      <c r="S143" s="646"/>
      <c r="V143" s="19"/>
      <c r="W143" s="19"/>
      <c r="AD143" s="17"/>
      <c r="AE143" s="17"/>
    </row>
    <row r="144" spans="7:31">
      <c r="G144" s="562"/>
      <c r="H144" s="562"/>
      <c r="I144" s="562"/>
      <c r="J144" s="562"/>
      <c r="K144" s="562"/>
      <c r="M144" s="647"/>
      <c r="N144" s="647"/>
      <c r="O144" s="647"/>
      <c r="P144" s="647"/>
      <c r="Q144" s="647"/>
      <c r="S144" s="646"/>
      <c r="V144" s="19"/>
      <c r="W144" s="19"/>
      <c r="AD144" s="17"/>
      <c r="AE144" s="17"/>
    </row>
    <row r="145" spans="7:31">
      <c r="G145" s="562"/>
      <c r="H145" s="562"/>
      <c r="I145" s="562"/>
      <c r="J145" s="562"/>
      <c r="K145" s="562"/>
      <c r="M145" s="647"/>
      <c r="N145" s="647"/>
      <c r="O145" s="647"/>
      <c r="P145" s="647"/>
      <c r="Q145" s="647"/>
      <c r="S145" s="646"/>
      <c r="V145" s="19"/>
      <c r="W145" s="19"/>
      <c r="AD145" s="17"/>
      <c r="AE145" s="17"/>
    </row>
    <row r="146" spans="7:31">
      <c r="G146" s="562"/>
      <c r="H146" s="562"/>
      <c r="I146" s="562"/>
      <c r="J146" s="562"/>
      <c r="K146" s="562"/>
      <c r="M146" s="647"/>
      <c r="N146" s="647"/>
      <c r="O146" s="647"/>
      <c r="P146" s="647"/>
      <c r="Q146" s="647"/>
      <c r="S146" s="646"/>
      <c r="V146" s="19"/>
      <c r="W146" s="19"/>
      <c r="AD146" s="17"/>
      <c r="AE146" s="17"/>
    </row>
    <row r="147" spans="7:31">
      <c r="G147" s="562"/>
      <c r="H147" s="562"/>
      <c r="I147" s="562"/>
      <c r="J147" s="562"/>
      <c r="K147" s="562"/>
      <c r="S147" s="646"/>
      <c r="V147" s="19"/>
      <c r="W147" s="19"/>
      <c r="AD147" s="17"/>
      <c r="AE147" s="17"/>
    </row>
    <row r="148" spans="7:31">
      <c r="G148" s="562"/>
      <c r="H148" s="562"/>
      <c r="I148" s="562"/>
      <c r="J148" s="562"/>
      <c r="K148" s="562"/>
      <c r="S148" s="646"/>
      <c r="V148" s="19"/>
      <c r="W148" s="19"/>
      <c r="AD148" s="17"/>
      <c r="AE148" s="17"/>
    </row>
    <row r="149" spans="7:31">
      <c r="G149" s="562"/>
      <c r="H149" s="562"/>
      <c r="I149" s="562"/>
      <c r="J149" s="562"/>
      <c r="K149" s="562"/>
      <c r="S149" s="646"/>
      <c r="V149" s="19"/>
      <c r="W149" s="19"/>
      <c r="AD149" s="17"/>
      <c r="AE149" s="17"/>
    </row>
    <row r="150" spans="7:31">
      <c r="G150" s="562"/>
      <c r="H150" s="562"/>
      <c r="I150" s="562"/>
      <c r="J150" s="562"/>
      <c r="K150" s="562"/>
      <c r="S150" s="646"/>
      <c r="V150" s="19"/>
      <c r="W150" s="19"/>
      <c r="AD150" s="17"/>
      <c r="AE150" s="17"/>
    </row>
    <row r="151" spans="7:31">
      <c r="G151" s="562"/>
      <c r="H151" s="562"/>
      <c r="I151" s="562"/>
      <c r="J151" s="562"/>
      <c r="K151" s="562"/>
      <c r="S151" s="646"/>
      <c r="V151" s="19"/>
      <c r="W151" s="19"/>
      <c r="AD151" s="17"/>
      <c r="AE151" s="17"/>
    </row>
    <row r="152" spans="7:31">
      <c r="G152" s="562"/>
      <c r="H152" s="562"/>
      <c r="I152" s="562"/>
      <c r="J152" s="562"/>
      <c r="K152" s="562"/>
      <c r="S152" s="646"/>
      <c r="V152" s="19"/>
      <c r="W152" s="19"/>
      <c r="AD152" s="17"/>
      <c r="AE152" s="17"/>
    </row>
    <row r="153" spans="7:31">
      <c r="G153" s="562"/>
      <c r="H153" s="562"/>
      <c r="I153" s="562"/>
      <c r="J153" s="562"/>
      <c r="K153" s="562"/>
      <c r="S153" s="646"/>
      <c r="V153" s="19"/>
      <c r="W153" s="19"/>
      <c r="AD153" s="17"/>
      <c r="AE153" s="17"/>
    </row>
    <row r="154" spans="7:31">
      <c r="G154" s="562"/>
      <c r="H154" s="562"/>
      <c r="I154" s="562"/>
      <c r="J154" s="562"/>
      <c r="K154" s="562"/>
      <c r="S154" s="646"/>
      <c r="V154" s="19"/>
      <c r="W154" s="19"/>
      <c r="AD154" s="17"/>
      <c r="AE154" s="17"/>
    </row>
    <row r="155" spans="7:31">
      <c r="G155" s="562"/>
      <c r="H155" s="562"/>
      <c r="I155" s="562"/>
      <c r="J155" s="562"/>
      <c r="K155" s="562"/>
      <c r="S155" s="646"/>
      <c r="V155" s="19"/>
      <c r="W155" s="19"/>
      <c r="AD155" s="17"/>
      <c r="AE155" s="17"/>
    </row>
    <row r="156" spans="7:31">
      <c r="G156" s="562"/>
      <c r="H156" s="562"/>
      <c r="I156" s="562"/>
      <c r="J156" s="562"/>
      <c r="K156" s="562"/>
      <c r="S156" s="646"/>
      <c r="V156" s="19"/>
      <c r="W156" s="19"/>
      <c r="AD156" s="17"/>
      <c r="AE156" s="17"/>
    </row>
    <row r="157" spans="7:31">
      <c r="G157" s="562"/>
      <c r="H157" s="562"/>
      <c r="I157" s="562"/>
      <c r="J157" s="562"/>
      <c r="K157" s="562"/>
      <c r="S157" s="646"/>
      <c r="V157" s="19"/>
      <c r="W157" s="19"/>
      <c r="AD157" s="17"/>
      <c r="AE157" s="17"/>
    </row>
    <row r="158" spans="7:31">
      <c r="G158" s="562"/>
      <c r="H158" s="562"/>
      <c r="I158" s="562"/>
      <c r="J158" s="562"/>
      <c r="K158" s="562"/>
      <c r="S158" s="646"/>
      <c r="V158" s="19"/>
      <c r="W158" s="19"/>
      <c r="AD158" s="17"/>
      <c r="AE158" s="17"/>
    </row>
    <row r="159" spans="7:31">
      <c r="G159" s="562"/>
      <c r="H159" s="562"/>
      <c r="I159" s="562"/>
      <c r="J159" s="562"/>
      <c r="K159" s="562"/>
      <c r="S159" s="646"/>
      <c r="V159" s="19"/>
      <c r="W159" s="19"/>
      <c r="AD159" s="17"/>
      <c r="AE159" s="17"/>
    </row>
    <row r="160" spans="7:31">
      <c r="G160" s="562"/>
      <c r="H160" s="562"/>
      <c r="I160" s="562"/>
      <c r="J160" s="562"/>
      <c r="K160" s="562"/>
      <c r="S160" s="646"/>
      <c r="V160" s="19"/>
      <c r="W160" s="19"/>
      <c r="AD160" s="17"/>
      <c r="AE160" s="17"/>
    </row>
    <row r="161" spans="7:31">
      <c r="S161" s="646"/>
      <c r="V161" s="19"/>
      <c r="W161" s="19"/>
      <c r="AD161" s="17"/>
      <c r="AE161" s="17"/>
    </row>
    <row r="162" spans="7:31">
      <c r="G162" s="562"/>
      <c r="H162" s="562"/>
      <c r="I162" s="562"/>
      <c r="J162" s="562"/>
      <c r="K162" s="562"/>
      <c r="S162" s="646"/>
      <c r="V162" s="19"/>
      <c r="W162" s="19"/>
      <c r="AD162" s="17"/>
      <c r="AE162" s="17"/>
    </row>
    <row r="163" spans="7:31">
      <c r="G163" s="562"/>
      <c r="H163" s="562"/>
      <c r="I163" s="562"/>
      <c r="J163" s="562"/>
      <c r="K163" s="562"/>
      <c r="S163" s="646"/>
      <c r="V163" s="19"/>
      <c r="W163" s="19"/>
      <c r="AD163" s="17"/>
      <c r="AE163" s="17"/>
    </row>
    <row r="164" spans="7:31">
      <c r="G164" s="562"/>
      <c r="H164" s="562"/>
      <c r="I164" s="562"/>
      <c r="J164" s="562"/>
      <c r="K164" s="562"/>
      <c r="S164" s="646"/>
      <c r="V164" s="19"/>
      <c r="W164" s="19"/>
      <c r="AD164" s="17"/>
      <c r="AE164" s="17"/>
    </row>
    <row r="165" spans="7:31">
      <c r="G165" s="562"/>
      <c r="H165" s="562"/>
      <c r="I165" s="562"/>
      <c r="J165" s="562"/>
      <c r="K165" s="562"/>
      <c r="S165" s="646"/>
      <c r="V165" s="19"/>
      <c r="W165" s="19"/>
      <c r="AD165" s="17"/>
      <c r="AE165" s="17"/>
    </row>
    <row r="166" spans="7:31">
      <c r="G166" s="562"/>
      <c r="H166" s="562"/>
      <c r="I166" s="562"/>
      <c r="J166" s="562"/>
      <c r="K166" s="562"/>
      <c r="S166" s="646"/>
      <c r="V166" s="19"/>
      <c r="W166" s="19"/>
      <c r="AD166" s="17"/>
      <c r="AE166" s="17"/>
    </row>
    <row r="167" spans="7:31">
      <c r="G167" s="562"/>
      <c r="H167" s="562"/>
      <c r="I167" s="562"/>
      <c r="J167" s="562"/>
      <c r="K167" s="562"/>
      <c r="S167" s="646"/>
      <c r="V167" s="19"/>
      <c r="W167" s="19"/>
      <c r="AD167" s="17"/>
      <c r="AE167" s="17"/>
    </row>
    <row r="168" spans="7:31">
      <c r="G168" s="562"/>
      <c r="H168" s="562"/>
      <c r="I168" s="562"/>
      <c r="J168" s="562"/>
      <c r="K168" s="562"/>
      <c r="S168" s="646"/>
      <c r="V168" s="19"/>
      <c r="W168" s="19"/>
      <c r="AD168" s="17"/>
      <c r="AE168" s="17"/>
    </row>
    <row r="169" spans="7:31">
      <c r="G169" s="562"/>
      <c r="H169" s="562"/>
      <c r="I169" s="562"/>
      <c r="J169" s="562"/>
      <c r="K169" s="562"/>
      <c r="S169" s="646"/>
      <c r="V169" s="19"/>
      <c r="W169" s="19"/>
      <c r="AD169" s="17"/>
      <c r="AE169" s="17"/>
    </row>
    <row r="170" spans="7:31">
      <c r="G170" s="562"/>
      <c r="H170" s="562"/>
      <c r="I170" s="562"/>
      <c r="J170" s="562"/>
      <c r="K170" s="562"/>
      <c r="S170" s="646"/>
      <c r="V170" s="19"/>
      <c r="W170" s="19"/>
      <c r="AD170" s="17"/>
      <c r="AE170" s="17"/>
    </row>
    <row r="171" spans="7:31">
      <c r="G171" s="562"/>
      <c r="H171" s="562"/>
      <c r="I171" s="562"/>
      <c r="J171" s="562"/>
      <c r="K171" s="562"/>
      <c r="S171" s="646"/>
      <c r="V171" s="19"/>
      <c r="W171" s="19"/>
      <c r="AD171" s="17"/>
      <c r="AE171" s="17"/>
    </row>
    <row r="172" spans="7:31">
      <c r="G172" s="562"/>
      <c r="H172" s="562"/>
      <c r="I172" s="562"/>
      <c r="J172" s="562"/>
      <c r="K172" s="562"/>
      <c r="S172" s="646"/>
      <c r="V172" s="19"/>
      <c r="W172" s="19"/>
      <c r="AD172" s="17"/>
      <c r="AE172" s="17"/>
    </row>
    <row r="173" spans="7:31">
      <c r="G173" s="562"/>
      <c r="H173" s="562"/>
      <c r="I173" s="562"/>
      <c r="J173" s="562"/>
      <c r="K173" s="562"/>
      <c r="S173" s="646"/>
      <c r="V173" s="19"/>
      <c r="W173" s="19"/>
      <c r="AD173" s="17"/>
      <c r="AE173" s="17"/>
    </row>
    <row r="174" spans="7:31">
      <c r="G174" s="562"/>
      <c r="H174" s="562"/>
      <c r="I174" s="562"/>
      <c r="J174" s="562"/>
      <c r="K174" s="562"/>
      <c r="S174" s="646"/>
      <c r="V174" s="19"/>
      <c r="W174" s="19"/>
      <c r="AD174" s="17"/>
      <c r="AE174" s="17"/>
    </row>
    <row r="175" spans="7:31">
      <c r="G175" s="562"/>
      <c r="H175" s="562"/>
      <c r="I175" s="562"/>
      <c r="J175" s="562"/>
      <c r="K175" s="562"/>
      <c r="S175" s="646"/>
      <c r="V175" s="19"/>
      <c r="W175" s="19"/>
      <c r="AD175" s="17"/>
      <c r="AE175" s="17"/>
    </row>
    <row r="176" spans="7:31">
      <c r="S176" s="646"/>
      <c r="V176" s="19"/>
      <c r="W176" s="19"/>
      <c r="AD176" s="17"/>
      <c r="AE176" s="17"/>
    </row>
    <row r="177" spans="19:31">
      <c r="S177" s="646"/>
      <c r="V177" s="19"/>
      <c r="W177" s="19"/>
      <c r="AD177" s="17"/>
      <c r="AE177" s="17"/>
    </row>
    <row r="178" spans="19:31">
      <c r="S178" s="646"/>
      <c r="V178" s="19"/>
      <c r="W178" s="19"/>
      <c r="AD178" s="17"/>
      <c r="AE178" s="17"/>
    </row>
    <row r="179" spans="19:31">
      <c r="S179" s="646"/>
      <c r="V179" s="19"/>
      <c r="W179" s="19"/>
      <c r="AD179" s="17"/>
      <c r="AE179" s="17"/>
    </row>
    <row r="180" spans="19:31">
      <c r="S180" s="646"/>
      <c r="V180" s="19"/>
      <c r="W180" s="19"/>
      <c r="AD180" s="17"/>
      <c r="AE180" s="17"/>
    </row>
    <row r="181" spans="19:31">
      <c r="S181" s="646"/>
      <c r="V181" s="19"/>
      <c r="W181" s="19"/>
      <c r="AD181" s="17"/>
      <c r="AE181" s="17"/>
    </row>
    <row r="182" spans="19:31">
      <c r="S182" s="646"/>
      <c r="V182" s="19"/>
      <c r="W182" s="19"/>
      <c r="AD182" s="17"/>
      <c r="AE182" s="17"/>
    </row>
    <row r="183" spans="19:31">
      <c r="S183" s="646"/>
      <c r="V183" s="19"/>
      <c r="W183" s="19"/>
      <c r="AD183" s="17"/>
      <c r="AE183" s="17"/>
    </row>
    <row r="184" spans="19:31">
      <c r="S184" s="646"/>
      <c r="V184" s="19"/>
      <c r="W184" s="19"/>
      <c r="AD184" s="17"/>
      <c r="AE184" s="17"/>
    </row>
    <row r="185" spans="19:31">
      <c r="S185" s="646"/>
      <c r="V185" s="19"/>
      <c r="W185" s="19"/>
      <c r="AD185" s="17"/>
      <c r="AE185" s="17"/>
    </row>
    <row r="186" spans="19:31">
      <c r="S186" s="646"/>
      <c r="V186" s="19"/>
      <c r="W186" s="19"/>
      <c r="AD186" s="17"/>
      <c r="AE186" s="17"/>
    </row>
    <row r="187" spans="19:31">
      <c r="S187" s="646"/>
      <c r="V187" s="19"/>
      <c r="W187" s="19"/>
      <c r="AD187" s="17"/>
      <c r="AE187" s="17"/>
    </row>
    <row r="188" spans="19:31">
      <c r="S188" s="646"/>
      <c r="V188" s="19"/>
      <c r="W188" s="19"/>
      <c r="AD188" s="17"/>
      <c r="AE188" s="17"/>
    </row>
    <row r="189" spans="19:31">
      <c r="S189" s="646"/>
      <c r="V189" s="19"/>
      <c r="W189" s="19"/>
      <c r="AD189" s="17"/>
      <c r="AE189" s="17"/>
    </row>
    <row r="190" spans="19:31">
      <c r="S190" s="646"/>
      <c r="V190" s="19"/>
      <c r="W190" s="19"/>
      <c r="AD190" s="17"/>
      <c r="AE190" s="17"/>
    </row>
    <row r="191" spans="19:31">
      <c r="S191" s="646"/>
      <c r="V191" s="19"/>
      <c r="W191" s="19"/>
      <c r="AD191" s="17"/>
      <c r="AE191" s="17"/>
    </row>
    <row r="192" spans="19:31">
      <c r="S192" s="646"/>
      <c r="V192" s="19"/>
      <c r="W192" s="19"/>
      <c r="AD192" s="17"/>
      <c r="AE192" s="17"/>
    </row>
    <row r="193" spans="19:31">
      <c r="S193" s="646"/>
      <c r="V193" s="19"/>
      <c r="W193" s="19"/>
      <c r="AD193" s="17"/>
      <c r="AE193" s="17"/>
    </row>
    <row r="194" spans="19:31">
      <c r="S194" s="646"/>
      <c r="V194" s="19"/>
      <c r="W194" s="19"/>
      <c r="AD194" s="17"/>
      <c r="AE194" s="17"/>
    </row>
    <row r="195" spans="19:31">
      <c r="S195" s="646"/>
      <c r="V195" s="19"/>
      <c r="W195" s="19"/>
      <c r="AD195" s="17"/>
      <c r="AE195" s="17"/>
    </row>
    <row r="196" spans="19:31">
      <c r="S196" s="646"/>
      <c r="V196" s="19"/>
      <c r="W196" s="19"/>
      <c r="AD196" s="17"/>
      <c r="AE196" s="17"/>
    </row>
    <row r="197" spans="19:31">
      <c r="S197" s="646"/>
      <c r="V197" s="19"/>
      <c r="W197" s="19"/>
      <c r="AD197" s="17"/>
      <c r="AE197" s="17"/>
    </row>
    <row r="198" spans="19:31">
      <c r="S198" s="646"/>
      <c r="V198" s="19"/>
      <c r="W198" s="19"/>
      <c r="AD198" s="17"/>
      <c r="AE198" s="17"/>
    </row>
    <row r="199" spans="19:31">
      <c r="S199" s="646"/>
      <c r="V199" s="19"/>
      <c r="W199" s="19"/>
      <c r="AD199" s="17"/>
      <c r="AE199" s="17"/>
    </row>
    <row r="200" spans="19:31">
      <c r="S200" s="646"/>
      <c r="V200" s="19"/>
      <c r="W200" s="19"/>
      <c r="AD200" s="17"/>
      <c r="AE200" s="17"/>
    </row>
    <row r="201" spans="19:31">
      <c r="S201" s="646"/>
    </row>
    <row r="202" spans="19:31">
      <c r="S202" s="646"/>
    </row>
    <row r="203" spans="19:31">
      <c r="S203" s="646"/>
    </row>
    <row r="204" spans="19:31">
      <c r="S204" s="646"/>
    </row>
    <row r="205" spans="19:31">
      <c r="S205" s="646"/>
    </row>
    <row r="206" spans="19:31">
      <c r="S206" s="646"/>
    </row>
    <row r="207" spans="19:31">
      <c r="S207" s="646"/>
    </row>
    <row r="208" spans="19:31">
      <c r="S208" s="646"/>
    </row>
    <row r="209" spans="3:19">
      <c r="S209" s="646"/>
    </row>
    <row r="210" spans="3:19">
      <c r="S210" s="646"/>
    </row>
    <row r="218" spans="3:19">
      <c r="C218" s="563" t="s">
        <v>3</v>
      </c>
    </row>
  </sheetData>
  <mergeCells count="13">
    <mergeCell ref="C57:Q57"/>
    <mergeCell ref="C115:Q115"/>
    <mergeCell ref="C60:Q60"/>
    <mergeCell ref="G65:K65"/>
    <mergeCell ref="M65:Q65"/>
    <mergeCell ref="C59:S59"/>
    <mergeCell ref="X8:Y8"/>
    <mergeCell ref="Z8:AA8"/>
    <mergeCell ref="AB8:AC8"/>
    <mergeCell ref="AD8:AE8"/>
    <mergeCell ref="G6:Q6"/>
    <mergeCell ref="G7:K7"/>
    <mergeCell ref="M7:Q7"/>
  </mergeCells>
  <printOptions horizontalCentered="1"/>
  <pageMargins left="0.70866141732283472" right="0.70866141732283472" top="0.74803149606299213" bottom="0.74803149606299213" header="0.74803149606299213" footer="0.35433070866141736"/>
  <pageSetup paperSize="9" scale="57" fitToHeight="2" orientation="portrait" r:id="rId1"/>
  <headerFooter differentOddEven="1">
    <oddFooter>&amp;R&amp;G</oddFooter>
    <evenFooter>&amp;L&amp;G</evenFooter>
  </headerFooter>
  <rowBreaks count="1" manualBreakCount="1">
    <brk id="62" max="18" man="1"/>
  </rowBreaks>
  <ignoredErrors>
    <ignoredError sqref="C5 C37:C49 C15:C16 C73:C84 C31:C33 C58 C22:C23 C11:C12 C64 C51:C52 C86:C104 M6:Q6 H6:L6 E6:F6" unlockedFormula="1"/>
    <ignoredError sqref="C19" formula="1"/>
    <ignoredError sqref="F7 H7:M7 N7:Q7 S7" numberStoredAsText="1"/>
    <ignoredError sqref="G7 E7" numberStoredAsText="1" unlockedFormula="1"/>
  </ignoredError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6"/>
  <dimension ref="B2:T48"/>
  <sheetViews>
    <sheetView showGridLines="0" zoomScaleNormal="100" zoomScaleSheetLayoutView="100" workbookViewId="0">
      <selection activeCell="B2" sqref="B2"/>
    </sheetView>
  </sheetViews>
  <sheetFormatPr defaultColWidth="9.1796875" defaultRowHeight="12.5"/>
  <cols>
    <col min="1" max="1" width="3.453125" style="137" customWidth="1"/>
    <col min="2" max="2" width="4.453125" style="137" customWidth="1"/>
    <col min="3" max="3" width="25.81640625" style="137" customWidth="1"/>
    <col min="4" max="10" width="9.453125" style="137" customWidth="1"/>
    <col min="11" max="11" width="9.1796875" style="137" customWidth="1"/>
    <col min="12" max="12" width="2.453125" style="137" customWidth="1"/>
    <col min="13" max="13" width="9.54296875" style="205" bestFit="1" customWidth="1"/>
    <col min="14" max="20" width="7" style="205" customWidth="1"/>
    <col min="21" max="16384" width="9.1796875" style="137"/>
  </cols>
  <sheetData>
    <row r="2" spans="2:20" ht="24" customHeight="1">
      <c r="B2" s="8"/>
      <c r="C2" s="9" t="str">
        <f>IF(Indice_index!$Z$1=1,"2.A - Conta Consolidada das Administrações Públicas","2.A - General Government Consolidated Account")</f>
        <v>2.A - General Government Consolidated Account</v>
      </c>
      <c r="D2" s="9"/>
      <c r="E2" s="9"/>
      <c r="F2" s="9"/>
      <c r="G2" s="9"/>
      <c r="H2" s="9"/>
      <c r="I2" s="9"/>
      <c r="J2" s="9"/>
    </row>
    <row r="3" spans="2:20" ht="11.25" customHeight="1"/>
    <row r="4" spans="2:20" ht="11.25" customHeight="1"/>
    <row r="5" spans="2:20" s="251" customFormat="1">
      <c r="C5" s="696" t="str">
        <f>+'5 - Conta AC + SS'!C5</f>
        <v>Period: January to November</v>
      </c>
      <c r="D5" s="730"/>
      <c r="E5" s="250"/>
      <c r="F5" s="250"/>
      <c r="G5" s="733"/>
      <c r="H5" s="733"/>
      <c r="I5" s="733"/>
      <c r="J5" s="733" t="str">
        <f>IF(Indice_index!$Z$1=1,"€ Milhões","€ Millions")</f>
        <v>€ Millions</v>
      </c>
      <c r="K5" s="250"/>
      <c r="M5" s="564"/>
      <c r="N5" s="564"/>
      <c r="O5" s="564"/>
      <c r="P5" s="564"/>
      <c r="Q5" s="564"/>
      <c r="R5" s="564"/>
      <c r="S5" s="564"/>
      <c r="T5" s="564"/>
    </row>
    <row r="6" spans="2:20" ht="15" customHeight="1">
      <c r="C6" s="1669"/>
      <c r="D6" s="1672" t="str">
        <f>IF(Indice_index!$Z$1=1,"Execução Acumulada","Accumulated Execution")</f>
        <v>Accumulated Execution</v>
      </c>
      <c r="E6" s="1673"/>
      <c r="F6" s="1679" t="str">
        <f>IF(Indice_index!$Z$1=1,"Variação Homóloga Acumulada","YOY Change Rate")</f>
        <v>YOY Change Rate</v>
      </c>
      <c r="G6" s="1680"/>
      <c r="H6" s="1680"/>
      <c r="I6" s="1681"/>
      <c r="J6" s="1676" t="str">
        <f>IF(Indice_index!$Z$1=1,"Contributo (em p.p.)","Contribution (p.p.)")</f>
        <v>Contribution (p.p.)</v>
      </c>
      <c r="K6" s="96"/>
      <c r="L6" s="565"/>
      <c r="M6" s="206"/>
      <c r="N6" s="206"/>
      <c r="O6" s="206"/>
      <c r="P6" s="206"/>
      <c r="Q6" s="206"/>
      <c r="R6" s="206"/>
      <c r="S6" s="206"/>
      <c r="T6" s="206"/>
    </row>
    <row r="7" spans="2:20" ht="15.75" customHeight="1">
      <c r="C7" s="1670"/>
      <c r="D7" s="1674"/>
      <c r="E7" s="1675"/>
      <c r="F7" s="1679" t="str">
        <f>IF(Indice_index!$Z$1=1,"Absoluta","Absolute")</f>
        <v>Absolute</v>
      </c>
      <c r="G7" s="1681"/>
      <c r="H7" s="1679" t="str">
        <f>IF(Indice_index!$Z$1=1,"Relativa (%)","Relative (%)")</f>
        <v>Relative (%)</v>
      </c>
      <c r="I7" s="1681"/>
      <c r="J7" s="1677"/>
      <c r="K7" s="96"/>
      <c r="L7" s="565"/>
      <c r="M7" s="206"/>
      <c r="N7" s="206"/>
      <c r="O7" s="206"/>
      <c r="P7" s="206"/>
      <c r="Q7" s="206"/>
      <c r="R7" s="206"/>
      <c r="S7" s="206"/>
      <c r="T7" s="206"/>
    </row>
    <row r="8" spans="2:20" ht="21" customHeight="1">
      <c r="C8" s="1671"/>
      <c r="D8" s="738" t="s">
        <v>67</v>
      </c>
      <c r="E8" s="738" t="s">
        <v>73</v>
      </c>
      <c r="F8" s="739" t="str">
        <f>IF(Indice_index!$Z$1=1,"outubro","October")</f>
        <v>October</v>
      </c>
      <c r="G8" s="739" t="str">
        <f>IF(Indice_index!$Z$1=1,"novembro","November")</f>
        <v>November</v>
      </c>
      <c r="H8" s="739" t="str">
        <f>IF(Indice_index!$Z$1=1,"outubro","October")</f>
        <v>October</v>
      </c>
      <c r="I8" s="739" t="str">
        <f>IF(Indice_index!$Z$1=1,"novembro","November")</f>
        <v>November</v>
      </c>
      <c r="J8" s="1678"/>
      <c r="K8" s="96"/>
      <c r="L8" s="565"/>
      <c r="M8" s="1668"/>
      <c r="N8" s="1668"/>
      <c r="O8" s="1668"/>
      <c r="P8" s="1668"/>
      <c r="Q8" s="1668"/>
      <c r="R8" s="1668"/>
      <c r="S8" s="1668"/>
      <c r="T8" s="1668"/>
    </row>
    <row r="9" spans="2:20" s="251" customFormat="1" ht="15" customHeight="1">
      <c r="C9" s="318" t="str">
        <f>IF(Indice_index!$Z$1=1,"Receita corrente","Current revenue")</f>
        <v>Current revenue</v>
      </c>
      <c r="D9" s="318">
        <f>'2 - Conta Consol AP'!K9</f>
        <v>79161.203244809367</v>
      </c>
      <c r="E9" s="318">
        <f>'2 - Conta Consol AP'!Q9</f>
        <v>89487.513785856951</v>
      </c>
      <c r="F9" s="318">
        <v>10348.852638843498</v>
      </c>
      <c r="G9" s="318">
        <f t="shared" ref="G9:G21" si="0">+E9-D9</f>
        <v>10326.310541047584</v>
      </c>
      <c r="H9" s="730">
        <v>14.624927153579009</v>
      </c>
      <c r="I9" s="730">
        <f t="shared" ref="I9:I15" si="1">IFERROR(IF(ABS(+G9/D9*100)&gt;500,"-",+G9/D9*100),"-")</f>
        <v>13.044660916930523</v>
      </c>
      <c r="J9" s="318">
        <f t="shared" ref="J9:J21" si="2">+G9/$D$23*100</f>
        <v>12.762390697955034</v>
      </c>
      <c r="K9" s="740"/>
      <c r="L9" s="566"/>
      <c r="M9" s="567"/>
      <c r="N9" s="567"/>
      <c r="O9" s="567"/>
      <c r="P9" s="567"/>
      <c r="Q9" s="567"/>
      <c r="R9" s="567"/>
      <c r="S9" s="567"/>
      <c r="T9" s="567"/>
    </row>
    <row r="10" spans="2:20" ht="15" customHeight="1">
      <c r="C10" s="703" t="str">
        <f>IF(Indice_index!$Z$1=1,"Receita Fiscal","Tax")</f>
        <v>Tax</v>
      </c>
      <c r="D10" s="179">
        <f>'2 - Conta Consol AP'!K10</f>
        <v>45203.710394491573</v>
      </c>
      <c r="E10" s="179">
        <f>'2 - Conta Consol AP'!Q10</f>
        <v>52974.659616850397</v>
      </c>
      <c r="F10" s="179">
        <v>7526.5473353257112</v>
      </c>
      <c r="G10" s="179">
        <f t="shared" si="0"/>
        <v>7770.949222358824</v>
      </c>
      <c r="H10" s="741">
        <v>18.562688802838785</v>
      </c>
      <c r="I10" s="741">
        <f t="shared" si="1"/>
        <v>17.190954358706307</v>
      </c>
      <c r="J10" s="179">
        <f t="shared" si="2"/>
        <v>9.6041940318843011</v>
      </c>
      <c r="K10" s="742"/>
      <c r="L10" s="208"/>
      <c r="M10" s="206"/>
      <c r="N10" s="206"/>
      <c r="O10" s="206"/>
      <c r="P10" s="206"/>
      <c r="Q10" s="206"/>
      <c r="R10" s="206"/>
      <c r="S10" s="206"/>
      <c r="T10" s="206"/>
    </row>
    <row r="11" spans="2:20" ht="15" customHeight="1">
      <c r="C11" s="706" t="str">
        <f>IF(Indice_index!$Z$1=1,"Impostos diretos","Direct taxes")</f>
        <v>Direct taxes</v>
      </c>
      <c r="D11" s="179">
        <f>'2 - Conta Consol AP'!K11</f>
        <v>19829.590193678032</v>
      </c>
      <c r="E11" s="179">
        <f>'2 - Conta Consol AP'!Q11</f>
        <v>24424.595883804963</v>
      </c>
      <c r="F11" s="179">
        <v>4475.5902926213384</v>
      </c>
      <c r="G11" s="179">
        <f t="shared" si="0"/>
        <v>4595.0056901269309</v>
      </c>
      <c r="H11" s="741">
        <v>24.52702672531715</v>
      </c>
      <c r="I11" s="741">
        <f t="shared" si="1"/>
        <v>23.172469250483488</v>
      </c>
      <c r="J11" s="179">
        <f t="shared" si="2"/>
        <v>5.6790135880202905</v>
      </c>
      <c r="K11" s="742"/>
      <c r="L11" s="208"/>
      <c r="M11" s="206"/>
      <c r="N11" s="206"/>
      <c r="O11" s="206"/>
      <c r="P11" s="206"/>
      <c r="Q11" s="206"/>
      <c r="R11" s="206"/>
      <c r="S11" s="206"/>
      <c r="T11" s="206"/>
    </row>
    <row r="12" spans="2:20" ht="15" customHeight="1">
      <c r="C12" s="706" t="str">
        <f>IF(Indice_index!$Z$1=1,"Impostos indiretos","Indirect taxes")</f>
        <v>Indirect taxes</v>
      </c>
      <c r="D12" s="179">
        <f>'2 - Conta Consol AP'!K12</f>
        <v>25374.120200813541</v>
      </c>
      <c r="E12" s="179">
        <f>'2 - Conta Consol AP'!Q12</f>
        <v>28550.063733045434</v>
      </c>
      <c r="F12" s="179">
        <v>3050.9570427043654</v>
      </c>
      <c r="G12" s="179">
        <f t="shared" si="0"/>
        <v>3175.9435322318932</v>
      </c>
      <c r="H12" s="741">
        <v>13.681999701806157</v>
      </c>
      <c r="I12" s="741">
        <f t="shared" si="1"/>
        <v>12.516467594135802</v>
      </c>
      <c r="J12" s="179">
        <f t="shared" si="2"/>
        <v>3.9251804438640105</v>
      </c>
      <c r="K12" s="742"/>
      <c r="L12" s="208"/>
      <c r="M12" s="206"/>
      <c r="N12" s="206"/>
      <c r="O12" s="206"/>
      <c r="P12" s="206"/>
      <c r="Q12" s="206"/>
      <c r="R12" s="206"/>
      <c r="S12" s="206"/>
      <c r="T12" s="206"/>
    </row>
    <row r="13" spans="2:20" ht="15" customHeight="1">
      <c r="C13" s="697" t="str">
        <f>IF(Indice_index!$Z$1=1,"Contribuições de Segurança Social","Social security contributions")</f>
        <v>Social security contributions</v>
      </c>
      <c r="D13" s="179">
        <f>'2 - Conta Consol AP'!K13</f>
        <v>21337.035225740001</v>
      </c>
      <c r="E13" s="179">
        <f>'2 - Conta Consol AP'!Q13</f>
        <v>23348.423296540001</v>
      </c>
      <c r="F13" s="179">
        <v>1849.450768849998</v>
      </c>
      <c r="G13" s="179">
        <f t="shared" si="0"/>
        <v>2011.3880707999997</v>
      </c>
      <c r="H13" s="741">
        <v>9.5577123535836339</v>
      </c>
      <c r="I13" s="741">
        <f t="shared" si="1"/>
        <v>9.4267457944370605</v>
      </c>
      <c r="J13" s="179">
        <f t="shared" si="2"/>
        <v>2.4858946767788619</v>
      </c>
      <c r="K13" s="742"/>
      <c r="L13" s="208"/>
      <c r="M13" s="206"/>
      <c r="N13" s="206"/>
      <c r="O13" s="206"/>
      <c r="P13" s="206"/>
      <c r="Q13" s="206"/>
      <c r="R13" s="206"/>
      <c r="S13" s="206"/>
      <c r="T13" s="206"/>
    </row>
    <row r="14" spans="2:20" ht="15" customHeight="1">
      <c r="C14" s="707" t="str">
        <f>IF(Indice_index!$Z$1=1,"Transferências Correntes","Current transfers")</f>
        <v>Current transfers</v>
      </c>
      <c r="D14" s="179">
        <f>'2 - Conta Consol AP'!K14</f>
        <v>3003.0449102702032</v>
      </c>
      <c r="E14" s="179">
        <f>'2 - Conta Consol AP'!Q14</f>
        <v>2411.6982604339964</v>
      </c>
      <c r="F14" s="179">
        <v>-423.55023767183047</v>
      </c>
      <c r="G14" s="179">
        <f t="shared" si="0"/>
        <v>-591.34664983620678</v>
      </c>
      <c r="H14" s="741">
        <v>-16.109642496124593</v>
      </c>
      <c r="I14" s="741">
        <f t="shared" si="1"/>
        <v>-19.691568641342748</v>
      </c>
      <c r="J14" s="179">
        <f t="shared" si="2"/>
        <v>-0.73085125158078479</v>
      </c>
      <c r="K14" s="742"/>
      <c r="L14" s="208"/>
      <c r="M14" s="206"/>
      <c r="N14" s="206"/>
      <c r="O14" s="206"/>
      <c r="P14" s="206"/>
      <c r="Q14" s="206"/>
      <c r="R14" s="206"/>
      <c r="S14" s="206"/>
      <c r="T14" s="206"/>
    </row>
    <row r="15" spans="2:20" ht="15" customHeight="1">
      <c r="C15" s="697" t="str">
        <f>IF(Indice_index!$Z$1=1,"Outras receitas correntes","Other current revenue")</f>
        <v>Other current revenue</v>
      </c>
      <c r="D15" s="179">
        <f>'2 - Conta Consol AP'!K17</f>
        <v>9602.8334551275857</v>
      </c>
      <c r="E15" s="179">
        <f>'2 - Conta Consol AP'!Q17</f>
        <v>10637.664045585898</v>
      </c>
      <c r="F15" s="179">
        <v>1369.8073980196305</v>
      </c>
      <c r="G15" s="179">
        <f t="shared" si="0"/>
        <v>1034.8305904583121</v>
      </c>
      <c r="H15" s="741">
        <v>16.777482880037415</v>
      </c>
      <c r="I15" s="741">
        <f t="shared" si="1"/>
        <v>10.776304673968367</v>
      </c>
      <c r="J15" s="179">
        <f t="shared" si="2"/>
        <v>1.2789574988207417</v>
      </c>
      <c r="K15" s="742"/>
      <c r="L15" s="208"/>
      <c r="M15" s="206"/>
      <c r="N15" s="206"/>
      <c r="O15" s="206"/>
      <c r="P15" s="206"/>
      <c r="Q15" s="206"/>
      <c r="R15" s="206"/>
      <c r="S15" s="206"/>
      <c r="T15" s="206"/>
    </row>
    <row r="16" spans="2:20" ht="15" customHeight="1">
      <c r="C16" s="697" t="str">
        <f>IF(Indice_index!$Z$1=1,"Diferenças de consolidação","Consolidation differences")</f>
        <v>Consolidation differences</v>
      </c>
      <c r="D16" s="179">
        <f>'2 - Conta Consol AP'!K18</f>
        <v>14.579259180001147</v>
      </c>
      <c r="E16" s="179">
        <f>'2 - Conta Consol AP'!Q18</f>
        <v>115.06856644666397</v>
      </c>
      <c r="F16" s="179">
        <v>26.597374319985363</v>
      </c>
      <c r="G16" s="179">
        <f t="shared" si="0"/>
        <v>100.48930726666282</v>
      </c>
      <c r="H16" s="741" t="s">
        <v>2</v>
      </c>
      <c r="I16" s="741" t="s">
        <v>2</v>
      </c>
      <c r="J16" s="179">
        <f t="shared" si="2"/>
        <v>0.12419574205192335</v>
      </c>
      <c r="K16" s="742"/>
      <c r="L16" s="208"/>
      <c r="M16" s="206"/>
      <c r="N16" s="206"/>
      <c r="O16" s="206"/>
      <c r="P16" s="206"/>
      <c r="Q16" s="206"/>
      <c r="R16" s="206"/>
      <c r="S16" s="206"/>
      <c r="T16" s="206"/>
    </row>
    <row r="17" spans="2:20" s="251" customFormat="1" ht="15" customHeight="1">
      <c r="C17" s="318" t="str">
        <f>IF(Indice_index!$Z$1=1,"Receita de capital","Capital revenue")</f>
        <v>Capital revenue</v>
      </c>
      <c r="D17" s="318">
        <f>'2 - Conta Consol AP'!K19</f>
        <v>1750.8357723177935</v>
      </c>
      <c r="E17" s="318">
        <f>'2 - Conta Consol AP'!Q19</f>
        <v>2048.8007034736079</v>
      </c>
      <c r="F17" s="318">
        <v>269.11508379784959</v>
      </c>
      <c r="G17" s="318">
        <f t="shared" si="0"/>
        <v>297.96493115581438</v>
      </c>
      <c r="H17" s="730">
        <v>16.976537103257733</v>
      </c>
      <c r="I17" s="730">
        <f>IFERROR(IF(ABS(+G17/D17*100)&gt;500,"-",+G17/D17*100),"-")</f>
        <v>17.018439756994574</v>
      </c>
      <c r="J17" s="318">
        <f t="shared" si="2"/>
        <v>0.36825784490827412</v>
      </c>
      <c r="K17" s="740"/>
      <c r="L17" s="566"/>
      <c r="M17" s="567"/>
      <c r="N17" s="567"/>
      <c r="O17" s="567"/>
      <c r="P17" s="567"/>
      <c r="Q17" s="567"/>
      <c r="R17" s="567"/>
      <c r="S17" s="567"/>
      <c r="T17" s="567"/>
    </row>
    <row r="18" spans="2:20" s="251" customFormat="1" ht="15" customHeight="1">
      <c r="C18" s="697" t="str">
        <f>IF(Indice_index!$Z$1=1,"Venda de bens de investimento","Sale of investment goods")</f>
        <v>Sale of investment goods</v>
      </c>
      <c r="D18" s="179">
        <f>'2 - Conta Consol AP'!K20</f>
        <v>182.46673996217984</v>
      </c>
      <c r="E18" s="179">
        <f>'2 - Conta Consol AP'!Q20</f>
        <v>173.74768070193846</v>
      </c>
      <c r="F18" s="179">
        <v>-29.56292289074301</v>
      </c>
      <c r="G18" s="179">
        <f t="shared" si="0"/>
        <v>-8.7190592602413801</v>
      </c>
      <c r="H18" s="741">
        <v>-17.331635519037523</v>
      </c>
      <c r="I18" s="741">
        <f>IFERROR(IF(ABS(+G18/D18*100)&gt;500,"-",+G18/D18*100),"-")</f>
        <v>-4.7784375728138686</v>
      </c>
      <c r="J18" s="179">
        <f t="shared" si="2"/>
        <v>-1.0775972730579392E-2</v>
      </c>
      <c r="K18" s="740"/>
      <c r="L18" s="566"/>
      <c r="M18" s="567"/>
      <c r="N18" s="567"/>
      <c r="O18" s="567"/>
      <c r="P18" s="567"/>
      <c r="Q18" s="567"/>
      <c r="R18" s="567"/>
      <c r="S18" s="567"/>
      <c r="T18" s="567"/>
    </row>
    <row r="19" spans="2:20" s="251" customFormat="1" ht="15" customHeight="1">
      <c r="C19" s="707" t="str">
        <f>IF(Indice_index!$Z$1=1,"Transferências de Capital","Capital transfers")</f>
        <v>Capital transfers</v>
      </c>
      <c r="D19" s="179">
        <f>'2 - Conta Consol AP'!K21</f>
        <v>1530.9856534869366</v>
      </c>
      <c r="E19" s="179">
        <f>'2 - Conta Consol AP'!Q21</f>
        <v>1809.4694509983603</v>
      </c>
      <c r="F19" s="179">
        <v>267.64922588263448</v>
      </c>
      <c r="G19" s="179">
        <f t="shared" si="0"/>
        <v>278.48379751142375</v>
      </c>
      <c r="H19" s="741">
        <v>19.338589767071706</v>
      </c>
      <c r="I19" s="741">
        <f>IFERROR(IF(ABS(+G19/D19*100)&gt;500,"-",+G19/D19*100),"-")</f>
        <v>18.189837173010449</v>
      </c>
      <c r="J19" s="179">
        <f t="shared" si="2"/>
        <v>0.34418091657840355</v>
      </c>
      <c r="K19" s="740"/>
      <c r="L19" s="566"/>
      <c r="M19" s="567"/>
      <c r="N19" s="567"/>
      <c r="O19" s="567"/>
      <c r="P19" s="567"/>
      <c r="Q19" s="567"/>
      <c r="R19" s="567"/>
      <c r="S19" s="567"/>
      <c r="T19" s="567"/>
    </row>
    <row r="20" spans="2:20" s="251" customFormat="1" ht="15" customHeight="1">
      <c r="C20" s="697" t="str">
        <f>IF(Indice_index!$Z$1=1,"Outras receitas de capital","Other capital revenue")</f>
        <v>Other capital revenue</v>
      </c>
      <c r="D20" s="179">
        <f>'2 - Conta Consol AP'!K24</f>
        <v>31.574176558676818</v>
      </c>
      <c r="E20" s="179">
        <f>'2 - Conta Consol AP'!Q24</f>
        <v>65.583571773309174</v>
      </c>
      <c r="F20" s="179">
        <v>31.95392013595842</v>
      </c>
      <c r="G20" s="179">
        <f t="shared" si="0"/>
        <v>34.009395214632356</v>
      </c>
      <c r="H20" s="741">
        <v>107.57320510132291</v>
      </c>
      <c r="I20" s="741">
        <f>IFERROR(IF(ABS(+G20/D20*100)&gt;500,"-",+G20/D20*100),"-")</f>
        <v>107.71269094359428</v>
      </c>
      <c r="J20" s="179">
        <f t="shared" si="2"/>
        <v>4.2032552420825008E-2</v>
      </c>
      <c r="K20" s="740"/>
      <c r="L20" s="566"/>
      <c r="M20" s="567"/>
      <c r="N20" s="567"/>
      <c r="O20" s="567"/>
      <c r="P20" s="567"/>
      <c r="Q20" s="567"/>
      <c r="R20" s="567"/>
      <c r="S20" s="567"/>
      <c r="T20" s="567"/>
    </row>
    <row r="21" spans="2:20" ht="15" customHeight="1">
      <c r="C21" s="743" t="str">
        <f>IF(Indice_index!$Z$1=1,"Diferenças de consolidação","Consolidation differences")</f>
        <v>Consolidation differences</v>
      </c>
      <c r="D21" s="179">
        <f>'2 - Conta Consol AP'!K25</f>
        <v>5.8092023100001775</v>
      </c>
      <c r="E21" s="179">
        <f>'2 - Conta Consol AP'!Q25</f>
        <v>0</v>
      </c>
      <c r="F21" s="179">
        <v>-0.92513932999999682</v>
      </c>
      <c r="G21" s="179">
        <f t="shared" si="0"/>
        <v>-5.8092023100001775</v>
      </c>
      <c r="H21" s="741" t="s">
        <v>2</v>
      </c>
      <c r="I21" s="744" t="s">
        <v>2</v>
      </c>
      <c r="J21" s="179">
        <f t="shared" si="2"/>
        <v>-7.1796513603748224E-3</v>
      </c>
      <c r="K21" s="742"/>
      <c r="L21" s="208"/>
      <c r="M21" s="206"/>
      <c r="N21" s="206"/>
      <c r="O21" s="206"/>
      <c r="P21" s="206"/>
      <c r="Q21" s="206"/>
      <c r="R21" s="206"/>
      <c r="S21" s="206"/>
      <c r="T21" s="206"/>
    </row>
    <row r="22" spans="2:20" s="549" customFormat="1" ht="4.5" customHeight="1">
      <c r="C22" s="681"/>
      <c r="D22" s="745"/>
      <c r="E22" s="745"/>
      <c r="F22" s="745"/>
      <c r="G22" s="745"/>
      <c r="H22" s="746"/>
      <c r="I22" s="746"/>
      <c r="J22" s="745"/>
      <c r="K22" s="742"/>
      <c r="L22" s="208"/>
      <c r="M22" s="206"/>
      <c r="N22" s="206"/>
      <c r="O22" s="551"/>
      <c r="P22" s="551"/>
      <c r="Q22" s="551"/>
      <c r="R22" s="551"/>
      <c r="S22" s="206"/>
      <c r="T22" s="206"/>
    </row>
    <row r="23" spans="2:20" s="251" customFormat="1" ht="15" customHeight="1">
      <c r="C23" s="734" t="str">
        <f>IF(Indice_index!$Z$1=1,"Receita efetiva","Effective revenue")</f>
        <v>Effective revenue</v>
      </c>
      <c r="D23" s="734">
        <f>'2 - Conta Consol AP'!K27</f>
        <v>80912.039017127157</v>
      </c>
      <c r="E23" s="734">
        <f>'2 - Conta Consol AP'!Q27</f>
        <v>91536.314489330558</v>
      </c>
      <c r="F23" s="734">
        <v>10617.967722641348</v>
      </c>
      <c r="G23" s="734">
        <f>+E23-D23</f>
        <v>10624.275472203401</v>
      </c>
      <c r="H23" s="747">
        <v>14.67645404716599</v>
      </c>
      <c r="I23" s="747">
        <f>IFERROR(IF(ABS(+G23/D23*100)&gt;500,"-",+G23/D23*100),"-")</f>
        <v>13.130648542863311</v>
      </c>
      <c r="J23" s="734"/>
      <c r="K23" s="740"/>
      <c r="L23" s="566"/>
      <c r="M23" s="567"/>
      <c r="N23" s="567"/>
      <c r="O23" s="567"/>
      <c r="P23" s="567"/>
      <c r="Q23" s="567"/>
      <c r="R23" s="567"/>
      <c r="S23" s="567"/>
      <c r="T23" s="567"/>
    </row>
    <row r="24" spans="2:20" s="549" customFormat="1" ht="4.5" customHeight="1">
      <c r="C24" s="681"/>
      <c r="D24" s="745"/>
      <c r="E24" s="745"/>
      <c r="F24" s="745"/>
      <c r="G24" s="745"/>
      <c r="H24" s="746"/>
      <c r="I24" s="746"/>
      <c r="J24" s="745"/>
      <c r="K24" s="742"/>
      <c r="L24" s="208"/>
      <c r="M24" s="206"/>
      <c r="N24" s="206"/>
      <c r="O24" s="551"/>
      <c r="P24" s="551"/>
      <c r="Q24" s="551"/>
      <c r="R24" s="551"/>
      <c r="S24" s="206"/>
      <c r="T24" s="206"/>
    </row>
    <row r="25" spans="2:20" s="251" customFormat="1" ht="15" customHeight="1">
      <c r="C25" s="318" t="str">
        <f>IF(Indice_index!$Z$1=1,"Despesa corrente","Current expenditure")</f>
        <v>Current expenditure</v>
      </c>
      <c r="D25" s="318">
        <f>'2 - Conta Consol AP'!K29</f>
        <v>80934.839658080164</v>
      </c>
      <c r="E25" s="318">
        <f>'2 - Conta Consol AP'!Q29</f>
        <v>83189.404219194374</v>
      </c>
      <c r="F25" s="318">
        <v>1696.1991463198647</v>
      </c>
      <c r="G25" s="318">
        <f t="shared" ref="G25:G37" si="3">+E25-D25</f>
        <v>2254.5645611142099</v>
      </c>
      <c r="H25" s="730">
        <v>2.3271063135257517</v>
      </c>
      <c r="I25" s="730">
        <f t="shared" ref="I25:I31" si="4">IFERROR(IF(ABS(+G25/D25*100)&gt;500,"-",+G25/D25*100),"-")</f>
        <v>2.7856539540189531</v>
      </c>
      <c r="J25" s="318">
        <f>+G25/$D$39*100</f>
        <v>2.5768699077140842</v>
      </c>
      <c r="K25" s="740"/>
      <c r="L25" s="566"/>
      <c r="M25" s="567"/>
      <c r="N25" s="567"/>
      <c r="O25" s="567"/>
      <c r="P25" s="567"/>
      <c r="Q25" s="567"/>
      <c r="R25" s="567"/>
      <c r="S25" s="567"/>
      <c r="T25" s="567"/>
    </row>
    <row r="26" spans="2:20" ht="15" customHeight="1">
      <c r="C26" s="703" t="str">
        <f>IF(Indice_index!$Z$1=1,"Despesas com o pessoal","Compensation of employees")</f>
        <v>Compensation of employees</v>
      </c>
      <c r="D26" s="179">
        <f>'2 - Conta Consol AP'!K30</f>
        <v>21407.091831966281</v>
      </c>
      <c r="E26" s="179">
        <f>'2 - Conta Consol AP'!Q30</f>
        <v>21985.95197021202</v>
      </c>
      <c r="F26" s="179">
        <v>467.05297945337225</v>
      </c>
      <c r="G26" s="179">
        <f t="shared" si="3"/>
        <v>578.8601382457382</v>
      </c>
      <c r="H26" s="741">
        <v>2.5121682987975409</v>
      </c>
      <c r="I26" s="741">
        <f t="shared" si="4"/>
        <v>2.7040578084565019</v>
      </c>
      <c r="J26" s="179">
        <f>+G26/$D$39*100</f>
        <v>0.66161213422226528</v>
      </c>
      <c r="K26" s="742"/>
      <c r="L26" s="208"/>
      <c r="M26" s="206"/>
      <c r="N26" s="206"/>
      <c r="O26" s="206"/>
      <c r="P26" s="206"/>
      <c r="Q26" s="206"/>
      <c r="R26" s="206"/>
      <c r="S26" s="206"/>
      <c r="T26" s="206"/>
    </row>
    <row r="27" spans="2:20" ht="15" customHeight="1">
      <c r="C27" s="703" t="str">
        <f>IF(Indice_index!$Z$1=1,"Aquisição de bens e serviços","Purchase of goods and services")</f>
        <v>Purchase of goods and services</v>
      </c>
      <c r="D27" s="179">
        <f>'2 - Conta Consol AP'!K34</f>
        <v>11829.963371006663</v>
      </c>
      <c r="E27" s="179">
        <f>'2 - Conta Consol AP'!Q34</f>
        <v>12771.495258132139</v>
      </c>
      <c r="F27" s="179">
        <v>675.08250461904754</v>
      </c>
      <c r="G27" s="179">
        <f t="shared" si="3"/>
        <v>941.53188712547671</v>
      </c>
      <c r="H27" s="741">
        <v>6.2959296950524131</v>
      </c>
      <c r="I27" s="741">
        <f t="shared" si="4"/>
        <v>7.9588740691540929</v>
      </c>
      <c r="J27" s="179">
        <f>+G27/$D$39*100</f>
        <v>1.0761302776301334</v>
      </c>
      <c r="K27" s="742"/>
      <c r="L27" s="208"/>
      <c r="M27" s="206"/>
      <c r="N27" s="206"/>
      <c r="O27" s="206"/>
      <c r="P27" s="206"/>
      <c r="Q27" s="206"/>
      <c r="R27" s="206"/>
      <c r="S27" s="206"/>
      <c r="T27" s="206"/>
    </row>
    <row r="28" spans="2:20" s="549" customFormat="1" ht="15" customHeight="1">
      <c r="B28" s="137"/>
      <c r="C28" s="703" t="str">
        <f>IF(Indice_index!$Z$1=1,"Juros e outros encargos","Interests and other charges")</f>
        <v>Interests and other charges</v>
      </c>
      <c r="D28" s="179">
        <f>'2 - Conta Consol AP'!K35</f>
        <v>6709.9503543462642</v>
      </c>
      <c r="E28" s="179">
        <f>'2 - Conta Consol AP'!Q35</f>
        <v>6345.6551396488112</v>
      </c>
      <c r="F28" s="179">
        <v>-351.75372490036625</v>
      </c>
      <c r="G28" s="179">
        <f t="shared" si="3"/>
        <v>-364.29521469745305</v>
      </c>
      <c r="H28" s="741">
        <v>-5.3651519889125563</v>
      </c>
      <c r="I28" s="741">
        <f t="shared" si="4"/>
        <v>-5.4291789873152574</v>
      </c>
      <c r="J28" s="179">
        <f>+G28/$D$39*100</f>
        <v>-0.41637369471210911</v>
      </c>
      <c r="K28" s="742"/>
      <c r="L28" s="208"/>
      <c r="M28" s="206"/>
      <c r="N28" s="206"/>
      <c r="O28" s="551"/>
      <c r="P28" s="551"/>
      <c r="Q28" s="551"/>
      <c r="R28" s="551"/>
      <c r="S28" s="206"/>
      <c r="T28" s="206"/>
    </row>
    <row r="29" spans="2:20" ht="15" customHeight="1">
      <c r="C29" s="703" t="str">
        <f>IF(Indice_index!$Z$1=1,"Transferências correntes","Current transfers")</f>
        <v>Current transfers</v>
      </c>
      <c r="D29" s="179">
        <f>'2 - Conta Consol AP'!K36</f>
        <v>38491.716067629503</v>
      </c>
      <c r="E29" s="179">
        <f>'2 - Conta Consol AP'!Q36</f>
        <v>39577.801453016378</v>
      </c>
      <c r="F29" s="179">
        <v>896.44328432449402</v>
      </c>
      <c r="G29" s="179">
        <f t="shared" si="3"/>
        <v>1086.0853853868757</v>
      </c>
      <c r="H29" s="741">
        <v>2.5784534451533134</v>
      </c>
      <c r="I29" s="741">
        <f t="shared" si="4"/>
        <v>2.8216081181692085</v>
      </c>
      <c r="J29" s="179">
        <f>+G29/$D$39*100</f>
        <v>1.2413486821722997</v>
      </c>
      <c r="K29" s="742"/>
      <c r="L29" s="208"/>
      <c r="M29" s="206"/>
      <c r="N29" s="206"/>
      <c r="O29" s="206"/>
      <c r="P29" s="206"/>
      <c r="Q29" s="206"/>
      <c r="R29" s="206"/>
      <c r="S29" s="206"/>
      <c r="T29" s="206"/>
    </row>
    <row r="30" spans="2:20" ht="15" customHeight="1">
      <c r="C30" s="703" t="str">
        <f>IF(Indice_index!$Z$1=1,"Subsídios","Subsidies")</f>
        <v>Subsidies</v>
      </c>
      <c r="D30" s="179">
        <f>'2 - Conta Consol AP'!K39</f>
        <v>1802.9651260080982</v>
      </c>
      <c r="E30" s="179">
        <f>'2 - Conta Consol AP'!Q39</f>
        <v>1740.0869444820084</v>
      </c>
      <c r="F30" s="179">
        <v>-67.046294841384906</v>
      </c>
      <c r="G30" s="179">
        <f t="shared" si="3"/>
        <v>-62.878181526089747</v>
      </c>
      <c r="H30" s="741">
        <v>-4.0900689970283288</v>
      </c>
      <c r="I30" s="741">
        <f t="shared" si="4"/>
        <v>-3.487487396126558</v>
      </c>
      <c r="J30" s="179">
        <f t="shared" ref="J30:J35" si="5">+G30/$D$39*100</f>
        <v>-7.1867045468988186E-2</v>
      </c>
      <c r="K30" s="742"/>
      <c r="L30" s="208"/>
      <c r="M30" s="206"/>
      <c r="N30" s="206"/>
      <c r="O30" s="206"/>
      <c r="P30" s="206"/>
      <c r="Q30" s="206"/>
      <c r="R30" s="206"/>
      <c r="S30" s="206"/>
      <c r="T30" s="206"/>
    </row>
    <row r="31" spans="2:20" ht="15" customHeight="1">
      <c r="C31" s="703" t="str">
        <f>IF(Indice_index!$Z$1=1,"Outras despesas correntes","Other current expenditures")</f>
        <v>Other current expenditures</v>
      </c>
      <c r="D31" s="179">
        <f>'2 - Conta Consol AP'!K40</f>
        <v>613.91795298334705</v>
      </c>
      <c r="E31" s="179">
        <f>'2 - Conta Consol AP'!Q40</f>
        <v>755.68241368300608</v>
      </c>
      <c r="F31" s="179">
        <v>70.485095804693856</v>
      </c>
      <c r="G31" s="179">
        <f t="shared" si="3"/>
        <v>141.76446069965903</v>
      </c>
      <c r="H31" s="741">
        <v>11.655592303073838</v>
      </c>
      <c r="I31" s="741">
        <f t="shared" si="4"/>
        <v>23.091760065127868</v>
      </c>
      <c r="J31" s="179">
        <f t="shared" si="5"/>
        <v>0.16203065508123268</v>
      </c>
      <c r="K31" s="742"/>
      <c r="L31" s="208"/>
      <c r="M31" s="206"/>
      <c r="N31" s="206"/>
      <c r="O31" s="206"/>
      <c r="P31" s="206"/>
      <c r="Q31" s="206"/>
      <c r="R31" s="206"/>
      <c r="S31" s="206"/>
      <c r="T31" s="206"/>
    </row>
    <row r="32" spans="2:20" ht="15" customHeight="1">
      <c r="C32" s="703" t="str">
        <f>IF(Indice_index!$Z$1=1,"Diferenças de consolidação","Consolidation differences")</f>
        <v>Consolidation differences</v>
      </c>
      <c r="D32" s="179">
        <f>'2 - Conta Consol AP'!K41</f>
        <v>79.234954140000525</v>
      </c>
      <c r="E32" s="179">
        <f>'2 - Conta Consol AP'!Q41</f>
        <v>12.731040019996669</v>
      </c>
      <c r="F32" s="179">
        <v>5.9353018600002656</v>
      </c>
      <c r="G32" s="179">
        <f t="shared" si="3"/>
        <v>-66.503914120003856</v>
      </c>
      <c r="H32" s="741" t="s">
        <v>2</v>
      </c>
      <c r="I32" s="744" t="s">
        <v>2</v>
      </c>
      <c r="J32" s="179">
        <f t="shared" si="5"/>
        <v>-7.6011101210757687E-2</v>
      </c>
      <c r="K32" s="742"/>
      <c r="L32" s="208"/>
      <c r="M32" s="206"/>
      <c r="N32" s="206"/>
      <c r="O32" s="206"/>
      <c r="P32" s="206"/>
      <c r="Q32" s="206"/>
      <c r="R32" s="206"/>
      <c r="S32" s="206"/>
      <c r="T32" s="206"/>
    </row>
    <row r="33" spans="2:20" s="251" customFormat="1" ht="15" customHeight="1">
      <c r="C33" s="318" t="str">
        <f>IF(Indice_index!$Z$1=1,"Despesa de capital","Capital expenditure")</f>
        <v>Capital expenditure</v>
      </c>
      <c r="D33" s="318">
        <f>'2 - Conta Consol AP'!K42</f>
        <v>6557.5306150552788</v>
      </c>
      <c r="E33" s="318">
        <f>'2 - Conta Consol AP'!Q42</f>
        <v>6491.9068086888328</v>
      </c>
      <c r="F33" s="318">
        <v>-288.40209979776409</v>
      </c>
      <c r="G33" s="318">
        <f t="shared" si="3"/>
        <v>-65.623806366445933</v>
      </c>
      <c r="H33" s="730">
        <v>-4.7060562828347452</v>
      </c>
      <c r="I33" s="730">
        <f>IFERROR(IF(ABS(+G33/D33*100)&gt;500,"-",+G33/D33*100),"-")</f>
        <v>-1.000739610971572</v>
      </c>
      <c r="J33" s="318">
        <f t="shared" si="5"/>
        <v>-7.5005176064587356E-2</v>
      </c>
      <c r="K33" s="740"/>
      <c r="L33" s="566"/>
      <c r="M33" s="567"/>
      <c r="N33" s="567"/>
      <c r="O33" s="567"/>
      <c r="P33" s="567"/>
      <c r="Q33" s="567"/>
      <c r="R33" s="567"/>
      <c r="S33" s="567"/>
      <c r="T33" s="567"/>
    </row>
    <row r="34" spans="2:20" ht="15" customHeight="1">
      <c r="C34" s="703" t="str">
        <f>IF(Indice_index!$Z$1=1,"Investimentos","Investments")</f>
        <v>Investments</v>
      </c>
      <c r="D34" s="179">
        <f>'2 - Conta Consol AP'!K43</f>
        <v>5029.3345257032233</v>
      </c>
      <c r="E34" s="179">
        <f>'2 - Conta Consol AP'!Q43</f>
        <v>5228.1421437413592</v>
      </c>
      <c r="F34" s="179">
        <v>77.997246108287982</v>
      </c>
      <c r="G34" s="179">
        <f t="shared" si="3"/>
        <v>198.80761803813584</v>
      </c>
      <c r="H34" s="741">
        <v>1.6875973348016555</v>
      </c>
      <c r="I34" s="741">
        <f>IFERROR(IF(ABS(+G34/D34*100)&gt;500,"-",+G34/D34*100),"-")</f>
        <v>3.9529607152218156</v>
      </c>
      <c r="J34" s="179">
        <f t="shared" si="5"/>
        <v>0.22722851994693274</v>
      </c>
      <c r="K34" s="742"/>
      <c r="L34" s="208"/>
      <c r="M34" s="206"/>
      <c r="N34" s="206"/>
      <c r="O34" s="206"/>
      <c r="P34" s="206"/>
      <c r="Q34" s="206"/>
      <c r="R34" s="206"/>
      <c r="S34" s="206"/>
      <c r="T34" s="206"/>
    </row>
    <row r="35" spans="2:20" ht="15" customHeight="1">
      <c r="C35" s="703" t="str">
        <f>IF(Indice_index!$Z$1=1,"Transferências de capital","Capital transfers")</f>
        <v>Capital transfers</v>
      </c>
      <c r="D35" s="179">
        <f>'2 - Conta Consol AP'!K44</f>
        <v>1443.1072390370559</v>
      </c>
      <c r="E35" s="179">
        <f>'2 - Conta Consol AP'!Q44</f>
        <v>1027.3826248781693</v>
      </c>
      <c r="F35" s="179">
        <v>-390.25086133638354</v>
      </c>
      <c r="G35" s="179">
        <f t="shared" si="3"/>
        <v>-415.72461415888665</v>
      </c>
      <c r="H35" s="741">
        <v>-29.205018374234768</v>
      </c>
      <c r="I35" s="741">
        <f>IFERROR(IF(ABS(+G35/D35*100)&gt;500,"-",+G35/D35*100),"-")</f>
        <v>-28.807603684137</v>
      </c>
      <c r="J35" s="179">
        <f t="shared" si="5"/>
        <v>-0.47515527680993114</v>
      </c>
      <c r="K35" s="742"/>
      <c r="L35" s="208"/>
      <c r="M35" s="206"/>
      <c r="N35" s="206"/>
      <c r="O35" s="206"/>
      <c r="P35" s="206"/>
      <c r="Q35" s="206"/>
      <c r="R35" s="206"/>
      <c r="S35" s="206"/>
      <c r="T35" s="206"/>
    </row>
    <row r="36" spans="2:20" ht="15" customHeight="1">
      <c r="C36" s="703" t="str">
        <f>IF(Indice_index!$Z$1=1,"Outras despesas de capital","Other capital expenditures")</f>
        <v>Other capital expenditures</v>
      </c>
      <c r="D36" s="179">
        <f>'2 - Conta Consol AP'!K47</f>
        <v>58.004621605000004</v>
      </c>
      <c r="E36" s="179">
        <f>'2 - Conta Consol AP'!Q47</f>
        <v>194.67094670930288</v>
      </c>
      <c r="F36" s="179">
        <v>101.72371100033135</v>
      </c>
      <c r="G36" s="179">
        <f t="shared" si="3"/>
        <v>136.66632510430287</v>
      </c>
      <c r="H36" s="741">
        <v>191.76557546428958</v>
      </c>
      <c r="I36" s="741">
        <f>IFERROR(IF(ABS(+G36/D36*100)&gt;500,"-",+G36/D36*100),"-")</f>
        <v>235.61282070758688</v>
      </c>
      <c r="J36" s="179">
        <f>+G36/$D$39*100</f>
        <v>0.15620370630908181</v>
      </c>
      <c r="K36" s="742"/>
      <c r="L36" s="208"/>
      <c r="M36" s="206"/>
      <c r="N36" s="206"/>
      <c r="O36" s="206"/>
      <c r="P36" s="206"/>
      <c r="Q36" s="206"/>
      <c r="R36" s="206"/>
      <c r="S36" s="206"/>
      <c r="T36" s="206"/>
    </row>
    <row r="37" spans="2:20" ht="15" customHeight="1">
      <c r="C37" s="703" t="str">
        <f>IF(Indice_index!$Z$1=1,"Diferenças de consolidação","Consolidation differences")</f>
        <v>Consolidation differences</v>
      </c>
      <c r="D37" s="179">
        <f>'2 - Conta Consol AP'!K48</f>
        <v>27.084228710000076</v>
      </c>
      <c r="E37" s="179">
        <f>'2 - Conta Consol AP'!Q48</f>
        <v>41.711093360000504</v>
      </c>
      <c r="F37" s="179">
        <v>-77.872195570000841</v>
      </c>
      <c r="G37" s="179">
        <f t="shared" si="3"/>
        <v>14.626864650000428</v>
      </c>
      <c r="H37" s="741" t="s">
        <v>2</v>
      </c>
      <c r="I37" s="744" t="s">
        <v>2</v>
      </c>
      <c r="J37" s="179">
        <f>+G37/$D$39*100</f>
        <v>1.6717874489327458E-2</v>
      </c>
      <c r="K37" s="742"/>
      <c r="L37" s="208"/>
      <c r="M37" s="206"/>
      <c r="N37" s="206"/>
      <c r="O37" s="206"/>
      <c r="P37" s="206"/>
      <c r="Q37" s="206"/>
      <c r="R37" s="206"/>
      <c r="S37" s="206"/>
      <c r="T37" s="206"/>
    </row>
    <row r="38" spans="2:20" ht="4.5" customHeight="1">
      <c r="B38" s="549"/>
      <c r="C38" s="700"/>
      <c r="D38" s="748"/>
      <c r="E38" s="748"/>
      <c r="F38" s="748"/>
      <c r="G38" s="748"/>
      <c r="H38" s="749"/>
      <c r="I38" s="749"/>
      <c r="J38" s="748"/>
      <c r="K38" s="742"/>
      <c r="L38" s="208"/>
      <c r="M38" s="206"/>
      <c r="N38" s="206"/>
      <c r="O38" s="206"/>
      <c r="P38" s="206"/>
      <c r="Q38" s="206"/>
      <c r="R38" s="206"/>
      <c r="S38" s="206"/>
      <c r="T38" s="206"/>
    </row>
    <row r="39" spans="2:20" s="251" customFormat="1" ht="15" customHeight="1">
      <c r="C39" s="734" t="str">
        <f>IF(Indice_index!$Z$1=1,"Despesa efetiva","Effective expenditure")</f>
        <v>Effective expenditure</v>
      </c>
      <c r="D39" s="734">
        <f>'2 - Conta Consol AP'!K50</f>
        <v>87492.370273135442</v>
      </c>
      <c r="E39" s="734">
        <f>'2 - Conta Consol AP'!Q50</f>
        <v>89681.311027883203</v>
      </c>
      <c r="F39" s="734">
        <v>1407.7970465221006</v>
      </c>
      <c r="G39" s="734">
        <f>+E39-D39</f>
        <v>2188.9407547477604</v>
      </c>
      <c r="H39" s="747">
        <v>1.7816362220627755</v>
      </c>
      <c r="I39" s="747">
        <f>IFERROR(IF(ABS(+G39/D39*100)&gt;500,"-",+G39/D39*100),"-")</f>
        <v>2.5018647316494924</v>
      </c>
      <c r="J39" s="734"/>
      <c r="K39" s="740"/>
      <c r="L39" s="566"/>
      <c r="M39" s="567"/>
      <c r="N39" s="567"/>
      <c r="O39" s="567"/>
      <c r="P39" s="567"/>
      <c r="Q39" s="567"/>
      <c r="R39" s="567"/>
      <c r="S39" s="567"/>
      <c r="T39" s="567"/>
    </row>
    <row r="40" spans="2:20" ht="4.5" customHeight="1">
      <c r="B40" s="549"/>
      <c r="C40" s="703"/>
      <c r="D40" s="328"/>
      <c r="E40" s="328"/>
      <c r="F40" s="328"/>
      <c r="G40" s="328"/>
      <c r="H40" s="750"/>
      <c r="I40" s="750"/>
      <c r="J40" s="328"/>
      <c r="K40" s="742"/>
      <c r="L40" s="208"/>
      <c r="M40" s="206"/>
      <c r="N40" s="206"/>
      <c r="O40" s="206"/>
      <c r="P40" s="206"/>
      <c r="Q40" s="206"/>
      <c r="R40" s="206"/>
      <c r="S40" s="206"/>
      <c r="T40" s="206"/>
    </row>
    <row r="41" spans="2:20" s="251" customFormat="1" ht="15" customHeight="1">
      <c r="C41" s="734" t="str">
        <f>IF(Indice_index!$Z$1=1,"Saldo global","Overall balance")</f>
        <v>Overall balance</v>
      </c>
      <c r="D41" s="734">
        <f>D23-D39</f>
        <v>-6580.331256008285</v>
      </c>
      <c r="E41" s="734">
        <f>E23-E39</f>
        <v>1855.0034614473552</v>
      </c>
      <c r="F41" s="734">
        <v>9210.1706761192472</v>
      </c>
      <c r="G41" s="734">
        <f>+E41-D41</f>
        <v>8435.3347174556402</v>
      </c>
      <c r="H41" s="747"/>
      <c r="I41" s="747"/>
      <c r="J41" s="734"/>
      <c r="K41" s="740"/>
      <c r="L41" s="566"/>
      <c r="M41" s="567"/>
      <c r="N41" s="567"/>
      <c r="O41" s="567"/>
      <c r="P41" s="567"/>
      <c r="Q41" s="567"/>
      <c r="R41" s="567"/>
      <c r="S41" s="567"/>
      <c r="T41" s="567"/>
    </row>
    <row r="42" spans="2:20" s="549" customFormat="1" ht="15" customHeight="1">
      <c r="B42" s="137"/>
      <c r="C42" s="698" t="str">
        <f>IF(Indice_index!$Z$1=1,"Despesa primária","Primary expenditure")</f>
        <v>Primary expenditure</v>
      </c>
      <c r="D42" s="699">
        <f>D39-D28</f>
        <v>80782.419918789179</v>
      </c>
      <c r="E42" s="699">
        <f>E39-E28</f>
        <v>83335.655888234396</v>
      </c>
      <c r="F42" s="699">
        <v>1759.5507714224659</v>
      </c>
      <c r="G42" s="699">
        <f>+E42-D42</f>
        <v>2553.2359694452171</v>
      </c>
      <c r="H42" s="736">
        <v>2.4282788733901279</v>
      </c>
      <c r="I42" s="736">
        <f>IFERROR(IF(ABS(+G42/D42*100)&gt;500,"-",+G42/D42*100),"-")</f>
        <v>3.1606331823334743</v>
      </c>
      <c r="J42" s="699"/>
      <c r="K42" s="742"/>
      <c r="L42" s="208"/>
      <c r="M42" s="206"/>
      <c r="N42" s="206"/>
      <c r="O42" s="206"/>
      <c r="P42" s="206"/>
      <c r="Q42" s="206"/>
      <c r="R42" s="206"/>
      <c r="S42" s="206"/>
      <c r="T42" s="206"/>
    </row>
    <row r="43" spans="2:20" ht="15" customHeight="1">
      <c r="C43" s="698" t="str">
        <f>IF(Indice_index!$Z$1=1,"Saldo corrente","Current balance")</f>
        <v>Current balance</v>
      </c>
      <c r="D43" s="699">
        <f>D9-D25</f>
        <v>-1773.6364132707968</v>
      </c>
      <c r="E43" s="699">
        <f>E9-E25</f>
        <v>6298.109566662577</v>
      </c>
      <c r="F43" s="699">
        <v>8652.6534925236338</v>
      </c>
      <c r="G43" s="699">
        <f>+E43-D43</f>
        <v>8071.7459799333737</v>
      </c>
      <c r="H43" s="736"/>
      <c r="I43" s="736"/>
      <c r="J43" s="699"/>
      <c r="K43" s="742"/>
      <c r="L43" s="208"/>
      <c r="M43" s="206"/>
      <c r="N43" s="206"/>
      <c r="O43" s="206"/>
      <c r="P43" s="206"/>
      <c r="Q43" s="206"/>
      <c r="R43" s="206"/>
      <c r="S43" s="206"/>
      <c r="T43" s="206"/>
    </row>
    <row r="44" spans="2:20" s="549" customFormat="1" ht="15" customHeight="1">
      <c r="B44" s="137"/>
      <c r="C44" s="698" t="str">
        <f>IF(Indice_index!$Z$1=1,"Saldo de capital","Capital balance")</f>
        <v>Capital balance</v>
      </c>
      <c r="D44" s="179">
        <f>D17-D33</f>
        <v>-4806.6948427374855</v>
      </c>
      <c r="E44" s="179">
        <f>E17-E33</f>
        <v>-4443.1061052152254</v>
      </c>
      <c r="F44" s="179">
        <v>557.51718359561346</v>
      </c>
      <c r="G44" s="179">
        <f>+E44-D44</f>
        <v>363.58873752226009</v>
      </c>
      <c r="H44" s="741"/>
      <c r="I44" s="741"/>
      <c r="J44" s="179"/>
      <c r="K44" s="742"/>
      <c r="L44" s="208"/>
      <c r="M44" s="206"/>
      <c r="N44" s="206"/>
      <c r="O44" s="206"/>
      <c r="P44" s="206"/>
      <c r="Q44" s="206"/>
      <c r="R44" s="206"/>
      <c r="S44" s="206"/>
      <c r="T44" s="206"/>
    </row>
    <row r="45" spans="2:20" ht="15" customHeight="1">
      <c r="B45" s="168"/>
      <c r="C45" s="737" t="str">
        <f>IF(Indice_index!$Z$1=1,"Saldo primário","Primary balance")</f>
        <v>Primary balance</v>
      </c>
      <c r="D45" s="735">
        <f>D28+D41</f>
        <v>129.61909833797927</v>
      </c>
      <c r="E45" s="735">
        <f>E28+E41</f>
        <v>8200.6586010961655</v>
      </c>
      <c r="F45" s="735">
        <v>8858.4169512188819</v>
      </c>
      <c r="G45" s="735">
        <f>+E45-D45</f>
        <v>8071.0395027581862</v>
      </c>
      <c r="H45" s="735"/>
      <c r="I45" s="735"/>
      <c r="J45" s="735"/>
      <c r="K45" s="742"/>
      <c r="L45" s="208"/>
      <c r="M45" s="206"/>
      <c r="N45" s="206"/>
      <c r="O45" s="206"/>
      <c r="P45" s="206"/>
      <c r="Q45" s="206"/>
      <c r="R45" s="206"/>
      <c r="S45" s="206"/>
      <c r="T45" s="206"/>
    </row>
    <row r="46" spans="2:20" ht="15" hidden="1" customHeight="1">
      <c r="C46" s="751"/>
      <c r="D46" s="732"/>
      <c r="E46" s="732"/>
      <c r="F46" s="732"/>
      <c r="G46" s="732"/>
      <c r="H46" s="732"/>
      <c r="I46" s="732"/>
      <c r="J46" s="732"/>
      <c r="K46" s="742"/>
      <c r="L46" s="208"/>
      <c r="M46" s="206"/>
      <c r="N46" s="206"/>
      <c r="O46" s="206"/>
      <c r="P46" s="206"/>
      <c r="Q46" s="206"/>
      <c r="R46" s="206"/>
      <c r="S46" s="206"/>
      <c r="T46" s="206"/>
    </row>
    <row r="47" spans="2:20" ht="13.5" customHeight="1">
      <c r="C47" s="752" t="str">
        <f>IF(Indice_index!$Z$1=1,"Fonte: Direção-Geral do Orçamento","Source: Budget General Directorate")</f>
        <v>Source: Budget General Directorate</v>
      </c>
      <c r="D47" s="753"/>
      <c r="E47" s="753"/>
      <c r="F47" s="753"/>
      <c r="G47" s="753"/>
      <c r="H47" s="753"/>
      <c r="I47" s="753"/>
      <c r="J47" s="753"/>
      <c r="K47" s="742"/>
      <c r="L47" s="208"/>
      <c r="M47" s="206"/>
      <c r="N47" s="206"/>
      <c r="O47" s="206"/>
      <c r="P47" s="206"/>
      <c r="Q47" s="206"/>
      <c r="R47" s="206"/>
      <c r="S47" s="206"/>
      <c r="T47" s="206"/>
    </row>
    <row r="48" spans="2:20" s="168" customFormat="1" ht="13.5" customHeight="1">
      <c r="B48" s="137"/>
      <c r="C48" s="111"/>
      <c r="D48" s="688"/>
      <c r="E48" s="688"/>
      <c r="F48" s="688"/>
      <c r="G48" s="688"/>
      <c r="H48" s="688"/>
      <c r="I48" s="688"/>
      <c r="J48" s="688"/>
      <c r="K48" s="207"/>
      <c r="L48" s="208"/>
      <c r="M48" s="206"/>
      <c r="N48" s="206"/>
      <c r="O48" s="206"/>
      <c r="P48" s="206"/>
      <c r="Q48" s="206"/>
      <c r="R48" s="206"/>
      <c r="S48" s="206"/>
      <c r="T48" s="206"/>
    </row>
  </sheetData>
  <mergeCells count="10">
    <mergeCell ref="M8:N8"/>
    <mergeCell ref="O8:P8"/>
    <mergeCell ref="Q8:R8"/>
    <mergeCell ref="S8:T8"/>
    <mergeCell ref="C6:C8"/>
    <mergeCell ref="D6:E7"/>
    <mergeCell ref="J6:J8"/>
    <mergeCell ref="F6:I6"/>
    <mergeCell ref="F7:G7"/>
    <mergeCell ref="H7:I7"/>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D7:E7 J8 E6 J7 D8:E8" numberStoredAsText="1"/>
    <ignoredError sqref="C30:C35 C13:C14 C15:C19 C47:J47 D48:J48 C11:C12 D46:J46"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7"/>
  <dimension ref="B1:U52"/>
  <sheetViews>
    <sheetView showGridLines="0" zoomScaleNormal="100" zoomScaleSheetLayoutView="100" workbookViewId="0">
      <selection activeCell="B2" sqref="B2"/>
    </sheetView>
  </sheetViews>
  <sheetFormatPr defaultColWidth="9.1796875" defaultRowHeight="13"/>
  <cols>
    <col min="1" max="1" width="2.54296875" style="188" customWidth="1"/>
    <col min="2" max="2" width="5.1796875" style="188" customWidth="1"/>
    <col min="3" max="3" width="23.54296875" style="188" customWidth="1"/>
    <col min="4" max="4" width="1" style="188" customWidth="1"/>
    <col min="5" max="5" width="9.453125" style="188" customWidth="1"/>
    <col min="6" max="6" width="8.54296875" style="188" customWidth="1"/>
    <col min="7" max="7" width="1" style="188" customWidth="1"/>
    <col min="8" max="8" width="7.453125" style="189" customWidth="1"/>
    <col min="9" max="9" width="7.453125" style="191" customWidth="1"/>
    <col min="10" max="10" width="7.453125" style="355" customWidth="1"/>
    <col min="11" max="11" width="7.453125" style="191" customWidth="1"/>
    <col min="12" max="12" width="9.1796875" style="188" customWidth="1"/>
    <col min="13" max="14" width="1" style="190" customWidth="1"/>
    <col min="15" max="15" width="1.54296875" style="188" customWidth="1"/>
    <col min="16" max="16" width="9.1796875" style="188" customWidth="1"/>
    <col min="17" max="17" width="11.453125" style="188" customWidth="1"/>
    <col min="18" max="18" width="8.453125" style="189" customWidth="1"/>
    <col min="19" max="21" width="9.1796875" style="189"/>
    <col min="22" max="16384" width="9.1796875" style="188"/>
  </cols>
  <sheetData>
    <row r="1" spans="2:18" s="189" customFormat="1">
      <c r="B1" s="204"/>
      <c r="C1" s="204"/>
      <c r="D1" s="188"/>
      <c r="E1" s="188"/>
      <c r="F1" s="188"/>
      <c r="G1" s="188"/>
      <c r="I1" s="191"/>
      <c r="J1" s="355"/>
      <c r="K1" s="191"/>
      <c r="L1" s="188"/>
      <c r="M1" s="190"/>
      <c r="N1" s="190"/>
      <c r="O1" s="188"/>
      <c r="P1" s="188"/>
      <c r="Q1" s="188"/>
    </row>
    <row r="2" spans="2:18" s="189" customFormat="1" ht="24" customHeight="1">
      <c r="B2" s="203"/>
      <c r="C2" s="9" t="str">
        <f>IF(Indice_index!$Z$1=1,"Síntese Global","Global Summary")</f>
        <v>Global Summary</v>
      </c>
      <c r="D2" s="9"/>
      <c r="E2" s="200"/>
      <c r="F2" s="200"/>
      <c r="G2" s="200"/>
      <c r="H2" s="354"/>
      <c r="I2" s="200"/>
      <c r="J2" s="354"/>
      <c r="K2" s="200"/>
      <c r="L2" s="188"/>
      <c r="M2" s="190"/>
      <c r="N2" s="190"/>
      <c r="O2" s="188"/>
      <c r="P2" s="188"/>
      <c r="Q2" s="202"/>
    </row>
    <row r="3" spans="2:18" s="189" customFormat="1" ht="11.25" customHeight="1">
      <c r="B3" s="188"/>
      <c r="C3" s="201"/>
      <c r="D3" s="200"/>
      <c r="E3" s="200"/>
      <c r="F3" s="200"/>
      <c r="G3" s="200"/>
      <c r="H3" s="354"/>
      <c r="I3" s="200"/>
      <c r="J3" s="354"/>
      <c r="K3" s="188"/>
      <c r="L3" s="188"/>
      <c r="M3" s="190"/>
      <c r="N3" s="190"/>
      <c r="O3" s="188"/>
      <c r="P3" s="188"/>
      <c r="Q3" s="188"/>
    </row>
    <row r="4" spans="2:18" s="189" customFormat="1" ht="11.25" customHeight="1">
      <c r="B4" s="190"/>
      <c r="C4" s="190"/>
      <c r="D4" s="190"/>
      <c r="E4" s="190"/>
      <c r="F4" s="190"/>
      <c r="G4" s="190"/>
      <c r="H4" s="328"/>
      <c r="I4" s="190"/>
      <c r="J4" s="328"/>
      <c r="K4" s="190"/>
      <c r="L4" s="190"/>
      <c r="M4" s="190"/>
      <c r="N4" s="190"/>
      <c r="O4" s="188"/>
      <c r="P4" s="188"/>
      <c r="Q4" s="188"/>
    </row>
    <row r="5" spans="2:18" s="189" customFormat="1" ht="11.25" customHeight="1">
      <c r="B5" s="190"/>
      <c r="C5" s="328"/>
      <c r="D5" s="328"/>
      <c r="E5" s="328"/>
      <c r="F5" s="328"/>
      <c r="G5" s="328"/>
      <c r="H5" s="328"/>
      <c r="I5" s="328"/>
      <c r="J5" s="328"/>
      <c r="K5" s="328"/>
      <c r="L5" s="328"/>
      <c r="M5" s="190"/>
      <c r="N5" s="190"/>
      <c r="O5" s="188"/>
      <c r="P5" s="188"/>
      <c r="Q5" s="188"/>
    </row>
    <row r="6" spans="2:18" s="254" customFormat="1">
      <c r="B6" s="252"/>
      <c r="C6" s="668" t="s">
        <v>54</v>
      </c>
      <c r="D6" s="669"/>
      <c r="E6" s="669"/>
      <c r="F6" s="669"/>
      <c r="G6" s="669"/>
      <c r="H6" s="669"/>
      <c r="I6" s="669"/>
      <c r="J6" s="669"/>
      <c r="K6" s="669"/>
      <c r="L6" s="669"/>
      <c r="M6" s="252"/>
      <c r="N6" s="252"/>
      <c r="O6" s="253"/>
      <c r="P6" s="253"/>
      <c r="Q6" s="253"/>
    </row>
    <row r="7" spans="2:18" s="254" customFormat="1">
      <c r="B7" s="252"/>
      <c r="C7" s="669"/>
      <c r="D7" s="669"/>
      <c r="E7" s="669"/>
      <c r="F7" s="669"/>
      <c r="G7" s="669"/>
      <c r="H7" s="669"/>
      <c r="I7" s="669"/>
      <c r="J7" s="669"/>
      <c r="K7" s="669"/>
      <c r="L7" s="669"/>
      <c r="M7" s="252"/>
      <c r="N7" s="252"/>
      <c r="O7" s="253"/>
      <c r="P7" s="253"/>
      <c r="Q7" s="253"/>
    </row>
    <row r="8" spans="2:18" s="254" customFormat="1" ht="15.5">
      <c r="B8" s="252"/>
      <c r="C8" s="708" t="str">
        <f>+'6 - Conta AC'!C4</f>
        <v>Period: January to November</v>
      </c>
      <c r="D8" s="709"/>
      <c r="E8" s="710"/>
      <c r="F8" s="710"/>
      <c r="G8" s="710"/>
      <c r="H8" s="710"/>
      <c r="I8" s="710"/>
      <c r="J8" s="710"/>
      <c r="K8" s="711"/>
      <c r="L8" s="712" t="str">
        <f>IF(Indice_index!$Z$1=1,"€ Milhões","€ Millions")</f>
        <v>€ Millions</v>
      </c>
      <c r="N8" s="253"/>
      <c r="O8" s="253"/>
      <c r="P8" s="253"/>
      <c r="Q8" s="253"/>
    </row>
    <row r="9" spans="2:18" s="189" customFormat="1" ht="18.75" customHeight="1">
      <c r="B9" s="190"/>
      <c r="C9" s="1682" t="s">
        <v>53</v>
      </c>
      <c r="D9" s="713"/>
      <c r="E9" s="1685" t="s">
        <v>93</v>
      </c>
      <c r="F9" s="1685"/>
      <c r="G9" s="714"/>
      <c r="H9" s="1691" t="s">
        <v>92</v>
      </c>
      <c r="I9" s="1691"/>
      <c r="J9" s="1691"/>
      <c r="K9" s="1691"/>
      <c r="L9" s="1687" t="str">
        <f>"Contributo VHA " &amp; "
(em p.p.)"</f>
        <v>Contributo VHA 
(em p.p.)</v>
      </c>
      <c r="N9" s="188"/>
      <c r="O9" s="188"/>
      <c r="P9" s="188"/>
      <c r="Q9" s="1690"/>
    </row>
    <row r="10" spans="2:18" s="189" customFormat="1" ht="13.5" customHeight="1">
      <c r="B10" s="190"/>
      <c r="C10" s="1683"/>
      <c r="D10" s="715"/>
      <c r="E10" s="1686"/>
      <c r="F10" s="1686"/>
      <c r="G10" s="716"/>
      <c r="H10" s="1686" t="s">
        <v>52</v>
      </c>
      <c r="I10" s="1686"/>
      <c r="J10" s="1686" t="s">
        <v>51</v>
      </c>
      <c r="K10" s="1686"/>
      <c r="L10" s="1688"/>
      <c r="N10" s="188"/>
      <c r="O10" s="188"/>
      <c r="P10" s="188"/>
      <c r="Q10" s="1690"/>
      <c r="R10" s="190"/>
    </row>
    <row r="11" spans="2:18" s="189" customFormat="1" ht="17.25" customHeight="1">
      <c r="B11" s="190"/>
      <c r="C11" s="1684"/>
      <c r="D11" s="715"/>
      <c r="E11" s="717" t="s">
        <v>67</v>
      </c>
      <c r="F11" s="717" t="s">
        <v>73</v>
      </c>
      <c r="G11" s="718"/>
      <c r="H11" s="719" t="s">
        <v>594</v>
      </c>
      <c r="I11" s="719" t="s">
        <v>609</v>
      </c>
      <c r="J11" s="719" t="s">
        <v>594</v>
      </c>
      <c r="K11" s="719" t="s">
        <v>609</v>
      </c>
      <c r="L11" s="1689"/>
      <c r="N11" s="188"/>
      <c r="O11" s="188"/>
      <c r="P11" s="188"/>
      <c r="Q11" s="199"/>
      <c r="R11" s="190"/>
    </row>
    <row r="12" spans="2:18" s="189" customFormat="1" ht="15" customHeight="1">
      <c r="B12" s="190"/>
      <c r="C12" s="720" t="s">
        <v>50</v>
      </c>
      <c r="D12" s="715"/>
      <c r="E12" s="701">
        <f>'5 - Conta AC + SS'!F30</f>
        <v>17317.782170439987</v>
      </c>
      <c r="F12" s="701">
        <f>'5 - Conta AC + SS'!G30</f>
        <v>17512.830953089979</v>
      </c>
      <c r="G12" s="701"/>
      <c r="H12" s="701">
        <v>157.30887244000041</v>
      </c>
      <c r="I12" s="702">
        <f>F12-E12</f>
        <v>195.04878264999206</v>
      </c>
      <c r="J12" s="702">
        <v>1.048192343502885</v>
      </c>
      <c r="K12" s="702">
        <f t="shared" ref="K12:K18" si="0">+IFERROR(((F12/E12-1)*100),"-")</f>
        <v>1.1262919277442052</v>
      </c>
      <c r="L12" s="702">
        <f t="shared" ref="L12:L18" si="1">IFERROR((F12-E12)/$E$22*100,"-")</f>
        <v>0.24168786914720922</v>
      </c>
      <c r="N12" s="188"/>
      <c r="O12" s="188"/>
      <c r="P12" s="198"/>
      <c r="Q12" s="188"/>
      <c r="R12" s="194"/>
    </row>
    <row r="13" spans="2:18" s="189" customFormat="1" ht="15" customHeight="1">
      <c r="B13" s="190"/>
      <c r="C13" s="720" t="s">
        <v>49</v>
      </c>
      <c r="D13" s="715"/>
      <c r="E13" s="701">
        <f>'5 - Conta AC + SS'!F34</f>
        <v>8981.5649302199708</v>
      </c>
      <c r="F13" s="701">
        <f>'5 - Conta AC + SS'!G34</f>
        <v>9683.5286317499886</v>
      </c>
      <c r="G13" s="718"/>
      <c r="H13" s="718">
        <v>464.04596547001165</v>
      </c>
      <c r="I13" s="701">
        <f>F13-E13</f>
        <v>701.96370153001772</v>
      </c>
      <c r="J13" s="701">
        <v>5.7026279653387357</v>
      </c>
      <c r="K13" s="702">
        <f t="shared" si="0"/>
        <v>7.8156057099597831</v>
      </c>
      <c r="L13" s="702">
        <f t="shared" si="1"/>
        <v>0.86981374062671934</v>
      </c>
      <c r="N13" s="188"/>
      <c r="O13" s="188"/>
      <c r="P13" s="198"/>
      <c r="Q13" s="188"/>
      <c r="R13" s="194"/>
    </row>
    <row r="14" spans="2:18" s="189" customFormat="1" ht="15" customHeight="1">
      <c r="B14" s="190"/>
      <c r="C14" s="720" t="s">
        <v>48</v>
      </c>
      <c r="D14" s="715"/>
      <c r="E14" s="701">
        <f>'5 - Conta AC + SS'!F35</f>
        <v>6583.1735467999997</v>
      </c>
      <c r="F14" s="701">
        <f>'5 - Conta AC + SS'!G35</f>
        <v>6214.1095782400007</v>
      </c>
      <c r="G14" s="718"/>
      <c r="H14" s="718">
        <v>-357.75342102000468</v>
      </c>
      <c r="I14" s="701">
        <f>F14-E14</f>
        <v>-369.06396855999901</v>
      </c>
      <c r="J14" s="701">
        <v>-5.5455766780410309</v>
      </c>
      <c r="K14" s="702">
        <f t="shared" si="0"/>
        <v>-5.6061710349318723</v>
      </c>
      <c r="L14" s="702">
        <f t="shared" si="1"/>
        <v>-0.45731269341138031</v>
      </c>
      <c r="N14" s="188"/>
      <c r="O14" s="188"/>
      <c r="P14" s="198"/>
      <c r="Q14" s="188"/>
      <c r="R14" s="194"/>
    </row>
    <row r="15" spans="2:18" s="189" customFormat="1" ht="15" customHeight="1">
      <c r="B15" s="190"/>
      <c r="C15" s="720" t="s">
        <v>47</v>
      </c>
      <c r="D15" s="715"/>
      <c r="E15" s="701">
        <f>'5 - Conta AC + SS'!F36+'5 - Conta AC + SS'!F44</f>
        <v>43118.43961198</v>
      </c>
      <c r="F15" s="701">
        <f>'5 - Conta AC + SS'!G36+'5 - Conta AC + SS'!G44</f>
        <v>44122.829020239995</v>
      </c>
      <c r="G15" s="701"/>
      <c r="H15" s="701">
        <v>744.74114293000457</v>
      </c>
      <c r="I15" s="701">
        <f>F15-E15</f>
        <v>1004.3894082599945</v>
      </c>
      <c r="J15" s="701">
        <v>1.9063738180444156</v>
      </c>
      <c r="K15" s="702">
        <f t="shared" si="0"/>
        <v>2.3293732734728456</v>
      </c>
      <c r="L15" s="702">
        <f t="shared" si="1"/>
        <v>1.2445539653122994</v>
      </c>
      <c r="N15" s="188"/>
      <c r="O15" s="188"/>
      <c r="P15" s="198"/>
      <c r="Q15" s="188"/>
      <c r="R15" s="194"/>
    </row>
    <row r="16" spans="2:18" s="189" customFormat="1" ht="15" customHeight="1">
      <c r="B16" s="190"/>
      <c r="C16" s="720" t="s">
        <v>46</v>
      </c>
      <c r="D16" s="715"/>
      <c r="E16" s="701">
        <f>'5 - Conta AC + SS'!F39</f>
        <v>1375.0347498600004</v>
      </c>
      <c r="F16" s="701">
        <f>'5 - Conta AC + SS'!G39</f>
        <v>1336.87605945</v>
      </c>
      <c r="G16" s="701"/>
      <c r="H16" s="701">
        <v>5.8261959599992679</v>
      </c>
      <c r="I16" s="701">
        <f t="shared" ref="I16:I19" si="2">F16-E16</f>
        <v>-38.158690410000418</v>
      </c>
      <c r="J16" s="701">
        <v>0.47576386415508765</v>
      </c>
      <c r="K16" s="702">
        <f t="shared" si="0"/>
        <v>-2.7751073501150136</v>
      </c>
      <c r="L16" s="702">
        <f t="shared" si="1"/>
        <v>-4.7283005047975488E-2</v>
      </c>
      <c r="N16" s="188"/>
      <c r="O16" s="188"/>
      <c r="P16" s="198"/>
      <c r="Q16" s="188"/>
      <c r="R16" s="194"/>
    </row>
    <row r="17" spans="2:18" s="189" customFormat="1" ht="15" customHeight="1">
      <c r="B17" s="190"/>
      <c r="C17" s="720" t="s">
        <v>45</v>
      </c>
      <c r="D17" s="715"/>
      <c r="E17" s="701">
        <f>'5 - Conta AC + SS'!F43</f>
        <v>2690.0869512999989</v>
      </c>
      <c r="F17" s="701">
        <f>'5 - Conta AC + SS'!G43</f>
        <v>3012.7193448900011</v>
      </c>
      <c r="G17" s="718"/>
      <c r="H17" s="718">
        <v>191.12553259999822</v>
      </c>
      <c r="I17" s="701">
        <f t="shared" si="2"/>
        <v>322.63239359000227</v>
      </c>
      <c r="J17" s="701">
        <v>7.548733442932587</v>
      </c>
      <c r="K17" s="702">
        <f t="shared" si="0"/>
        <v>11.993381605530939</v>
      </c>
      <c r="L17" s="702">
        <f t="shared" si="1"/>
        <v>0.39977863314613488</v>
      </c>
      <c r="N17" s="188"/>
      <c r="O17" s="188"/>
      <c r="P17" s="198"/>
      <c r="Q17" s="188"/>
      <c r="R17" s="194"/>
    </row>
    <row r="18" spans="2:18" s="189" customFormat="1" ht="15" customHeight="1">
      <c r="B18" s="190"/>
      <c r="C18" s="720" t="s">
        <v>44</v>
      </c>
      <c r="D18" s="715"/>
      <c r="E18" s="701">
        <f>'5 - Conta AC + SS'!F40+'5 - Conta AC + SS'!F47</f>
        <v>560.40763304999996</v>
      </c>
      <c r="F18" s="701">
        <f>'5 - Conta AC + SS'!G40+'5 - Conta AC + SS'!G47</f>
        <v>813.03110910999953</v>
      </c>
      <c r="G18" s="701"/>
      <c r="H18" s="701">
        <v>138.63383312000019</v>
      </c>
      <c r="I18" s="701">
        <f t="shared" si="2"/>
        <v>252.62347605999958</v>
      </c>
      <c r="J18" s="701">
        <v>24.717057683924914</v>
      </c>
      <c r="K18" s="702">
        <f t="shared" si="0"/>
        <v>45.078521626321312</v>
      </c>
      <c r="L18" s="702">
        <f t="shared" si="1"/>
        <v>0.31302953443736764</v>
      </c>
      <c r="N18" s="188"/>
      <c r="O18" s="188"/>
      <c r="P18" s="198"/>
      <c r="Q18" s="188"/>
      <c r="R18" s="194"/>
    </row>
    <row r="19" spans="2:18" s="189" customFormat="1" ht="15" customHeight="1">
      <c r="B19" s="190"/>
      <c r="C19" s="720" t="s">
        <v>43</v>
      </c>
      <c r="D19" s="715"/>
      <c r="E19" s="701">
        <f>'5 - Conta AC + SS'!F41+'5 - Conta AC + SS'!F48</f>
        <v>76.271094430006841</v>
      </c>
      <c r="F19" s="701">
        <f>'5 - Conta AC + SS'!G41+'5 - Conta AC + SS'!G48</f>
        <v>51.203170870001387</v>
      </c>
      <c r="G19" s="701"/>
      <c r="H19" s="701">
        <v>-93.375910969998358</v>
      </c>
      <c r="I19" s="701">
        <f t="shared" si="2"/>
        <v>-25.067923560005454</v>
      </c>
      <c r="J19" s="701"/>
      <c r="K19" s="702"/>
      <c r="L19" s="701"/>
      <c r="N19" s="188"/>
      <c r="O19" s="188"/>
      <c r="P19" s="198"/>
      <c r="Q19" s="197"/>
      <c r="R19" s="194"/>
    </row>
    <row r="20" spans="2:18" s="189" customFormat="1" ht="4.5" customHeight="1">
      <c r="B20" s="190"/>
      <c r="C20" s="718"/>
      <c r="D20" s="715"/>
      <c r="E20" s="701"/>
      <c r="F20" s="701"/>
      <c r="G20" s="718"/>
      <c r="H20" s="718"/>
      <c r="I20" s="701"/>
      <c r="J20" s="701"/>
      <c r="K20" s="702"/>
      <c r="L20" s="701"/>
      <c r="N20" s="188"/>
      <c r="O20" s="188"/>
      <c r="P20" s="198"/>
      <c r="Q20" s="197"/>
      <c r="R20" s="194"/>
    </row>
    <row r="21" spans="2:18" s="254" customFormat="1" ht="15" customHeight="1">
      <c r="B21" s="252"/>
      <c r="C21" s="721" t="s">
        <v>42</v>
      </c>
      <c r="D21" s="722"/>
      <c r="E21" s="723">
        <f>+E22-E14</f>
        <v>74119.587141279946</v>
      </c>
      <c r="F21" s="723">
        <f>+F22-F14</f>
        <v>76533.018289399974</v>
      </c>
      <c r="G21" s="723"/>
      <c r="H21" s="723">
        <v>1608.3056315500144</v>
      </c>
      <c r="I21" s="723">
        <f>+F21-E21</f>
        <v>2413.4311481200275</v>
      </c>
      <c r="J21" s="723">
        <v>2.4122670427046078</v>
      </c>
      <c r="K21" s="724">
        <f>+IFERROR(((F21/E21-1)*100),"-")</f>
        <v>3.2561313968462402</v>
      </c>
      <c r="L21" s="724">
        <f>IFERROR((F21-E21)/$E$22*100,"-")</f>
        <v>2.9905186979266483</v>
      </c>
      <c r="N21" s="253"/>
      <c r="O21" s="253"/>
      <c r="P21" s="255"/>
      <c r="Q21" s="256"/>
      <c r="R21" s="257"/>
    </row>
    <row r="22" spans="2:18" s="254" customFormat="1" ht="15" customHeight="1">
      <c r="B22" s="252"/>
      <c r="C22" s="725" t="s">
        <v>41</v>
      </c>
      <c r="D22" s="726"/>
      <c r="E22" s="727">
        <f>SUM(E12:E19)</f>
        <v>80702.760688079943</v>
      </c>
      <c r="F22" s="727">
        <f>SUM(F12:F19)</f>
        <v>82747.127867639967</v>
      </c>
      <c r="G22" s="727"/>
      <c r="H22" s="727">
        <v>1250.5522105300188</v>
      </c>
      <c r="I22" s="727">
        <f>+F22-E22</f>
        <v>2044.3671795600239</v>
      </c>
      <c r="J22" s="727">
        <v>1.7102011754491331</v>
      </c>
      <c r="K22" s="728">
        <f>+IFERROR(((F22/E22-1)*100),"-")</f>
        <v>2.5332060045152538</v>
      </c>
      <c r="L22" s="727"/>
      <c r="N22" s="253"/>
      <c r="O22" s="253"/>
      <c r="P22" s="253"/>
      <c r="Q22" s="258"/>
      <c r="R22" s="257"/>
    </row>
    <row r="23" spans="2:18" s="189" customFormat="1" ht="15" customHeight="1">
      <c r="B23" s="190"/>
      <c r="C23" s="720" t="s">
        <v>40</v>
      </c>
      <c r="D23" s="729"/>
      <c r="E23" s="192"/>
      <c r="F23" s="192"/>
      <c r="G23" s="192"/>
      <c r="H23" s="192"/>
      <c r="I23" s="192"/>
      <c r="J23" s="192"/>
      <c r="K23" s="192"/>
      <c r="L23" s="702"/>
      <c r="M23" s="328"/>
      <c r="N23" s="190"/>
      <c r="O23" s="188"/>
      <c r="P23" s="188"/>
      <c r="Q23" s="190"/>
      <c r="R23" s="190"/>
    </row>
    <row r="24" spans="2:18" s="189" customFormat="1">
      <c r="B24" s="190"/>
      <c r="C24" s="328"/>
      <c r="D24" s="328"/>
      <c r="E24" s="329"/>
      <c r="F24" s="329"/>
      <c r="G24" s="329"/>
      <c r="H24" s="329"/>
      <c r="I24" s="192"/>
      <c r="J24" s="192"/>
      <c r="K24" s="328"/>
      <c r="L24" s="328"/>
      <c r="M24" s="328"/>
      <c r="N24" s="190"/>
      <c r="O24" s="188"/>
      <c r="P24" s="188"/>
      <c r="Q24" s="190"/>
      <c r="R24" s="190"/>
    </row>
    <row r="25" spans="2:18" s="189" customFormat="1">
      <c r="B25" s="190"/>
      <c r="C25" s="328"/>
      <c r="D25" s="328"/>
      <c r="E25" s="329"/>
      <c r="F25" s="329"/>
      <c r="G25" s="329"/>
      <c r="H25" s="329"/>
      <c r="I25" s="192"/>
      <c r="J25" s="192"/>
      <c r="K25" s="328"/>
      <c r="L25" s="328"/>
      <c r="M25" s="190"/>
      <c r="N25" s="190"/>
      <c r="O25" s="188"/>
      <c r="P25" s="188"/>
      <c r="Q25" s="188"/>
    </row>
    <row r="26" spans="2:18" s="189" customFormat="1">
      <c r="B26" s="190"/>
      <c r="C26" s="190"/>
      <c r="D26" s="190"/>
      <c r="E26" s="196"/>
      <c r="F26" s="195"/>
      <c r="G26" s="190"/>
      <c r="H26" s="328"/>
      <c r="I26" s="192"/>
      <c r="J26" s="192"/>
      <c r="K26" s="190"/>
      <c r="L26" s="194"/>
      <c r="M26" s="190"/>
      <c r="N26" s="190"/>
      <c r="O26" s="188"/>
      <c r="P26" s="188"/>
      <c r="Q26" s="188"/>
    </row>
    <row r="27" spans="2:18" s="189" customFormat="1">
      <c r="B27" s="188"/>
      <c r="C27" s="188"/>
      <c r="D27" s="188"/>
      <c r="E27" s="188"/>
      <c r="F27" s="193"/>
      <c r="G27" s="188"/>
      <c r="I27" s="192"/>
      <c r="J27" s="192"/>
      <c r="K27" s="191"/>
      <c r="L27" s="188"/>
      <c r="M27" s="190"/>
      <c r="N27" s="190"/>
      <c r="O27" s="188"/>
      <c r="P27" s="188"/>
      <c r="Q27" s="188"/>
    </row>
    <row r="28" spans="2:18" s="189" customFormat="1">
      <c r="B28" s="188"/>
      <c r="C28" s="188"/>
      <c r="D28" s="188"/>
      <c r="E28" s="188"/>
      <c r="F28" s="188"/>
      <c r="G28" s="188"/>
      <c r="I28" s="192"/>
      <c r="J28" s="192"/>
      <c r="K28" s="191"/>
      <c r="L28" s="188"/>
      <c r="M28" s="190"/>
      <c r="N28" s="190"/>
      <c r="O28" s="188"/>
      <c r="P28" s="188"/>
      <c r="Q28" s="188"/>
    </row>
    <row r="29" spans="2:18" s="189" customFormat="1">
      <c r="B29" s="188"/>
      <c r="C29" s="188"/>
      <c r="D29" s="188"/>
      <c r="E29" s="188"/>
      <c r="F29" s="188"/>
      <c r="G29" s="188"/>
      <c r="I29" s="192"/>
      <c r="J29" s="192"/>
      <c r="K29" s="191"/>
      <c r="L29" s="188"/>
      <c r="M29" s="190"/>
      <c r="N29" s="190"/>
      <c r="O29" s="188"/>
      <c r="P29" s="188"/>
      <c r="Q29" s="188"/>
    </row>
    <row r="30" spans="2:18" s="189" customFormat="1">
      <c r="B30" s="188"/>
      <c r="C30" s="188"/>
      <c r="D30" s="188"/>
      <c r="E30" s="188"/>
      <c r="F30" s="188"/>
      <c r="G30" s="188"/>
      <c r="I30" s="192"/>
      <c r="J30" s="192"/>
      <c r="K30" s="191"/>
      <c r="L30" s="188"/>
      <c r="M30" s="190"/>
      <c r="N30" s="190"/>
      <c r="O30" s="188"/>
      <c r="P30" s="188"/>
      <c r="Q30" s="188"/>
    </row>
    <row r="31" spans="2:18" s="189" customFormat="1">
      <c r="B31" s="188"/>
      <c r="C31" s="190"/>
      <c r="D31" s="190"/>
      <c r="E31" s="190"/>
      <c r="F31" s="190"/>
      <c r="G31" s="190"/>
      <c r="H31" s="328"/>
      <c r="I31" s="190"/>
      <c r="J31" s="328"/>
      <c r="K31" s="190"/>
      <c r="L31" s="190"/>
      <c r="M31" s="190"/>
      <c r="N31" s="190"/>
      <c r="O31" s="188"/>
      <c r="P31" s="188"/>
      <c r="Q31" s="188"/>
    </row>
    <row r="32" spans="2:18" s="189" customFormat="1">
      <c r="B32" s="188"/>
      <c r="C32" s="190"/>
      <c r="D32" s="190"/>
      <c r="E32" s="190"/>
      <c r="F32" s="190"/>
      <c r="G32" s="190"/>
      <c r="H32" s="328"/>
      <c r="I32" s="190"/>
      <c r="J32" s="328"/>
      <c r="K32" s="190"/>
      <c r="L32" s="190"/>
      <c r="M32" s="190"/>
      <c r="N32" s="190"/>
      <c r="O32" s="188"/>
      <c r="P32" s="188"/>
      <c r="Q32" s="188"/>
    </row>
    <row r="33" spans="8:21" s="190" customFormat="1">
      <c r="H33" s="328"/>
      <c r="J33" s="328"/>
      <c r="O33" s="188"/>
      <c r="P33" s="188"/>
      <c r="Q33" s="188"/>
      <c r="R33" s="189"/>
      <c r="S33" s="189"/>
      <c r="T33" s="189"/>
      <c r="U33" s="189"/>
    </row>
    <row r="34" spans="8:21" s="190" customFormat="1">
      <c r="H34" s="328"/>
      <c r="J34" s="328"/>
      <c r="O34" s="188"/>
      <c r="P34" s="188"/>
      <c r="Q34" s="188"/>
      <c r="R34" s="189"/>
      <c r="S34" s="189"/>
      <c r="T34" s="189"/>
      <c r="U34" s="189"/>
    </row>
    <row r="35" spans="8:21" s="190" customFormat="1">
      <c r="H35" s="328"/>
      <c r="J35" s="328"/>
      <c r="O35" s="188"/>
      <c r="P35" s="188"/>
      <c r="Q35" s="188"/>
      <c r="R35" s="189"/>
      <c r="S35" s="189"/>
      <c r="T35" s="189"/>
      <c r="U35" s="189"/>
    </row>
    <row r="36" spans="8:21" s="190" customFormat="1">
      <c r="H36" s="328"/>
      <c r="J36" s="328"/>
      <c r="O36" s="188"/>
      <c r="P36" s="188"/>
      <c r="Q36" s="188"/>
      <c r="R36" s="189"/>
      <c r="S36" s="189"/>
      <c r="T36" s="189"/>
      <c r="U36" s="189"/>
    </row>
    <row r="37" spans="8:21" s="190" customFormat="1">
      <c r="H37" s="328"/>
      <c r="J37" s="328"/>
      <c r="O37" s="188"/>
      <c r="P37" s="188"/>
      <c r="Q37" s="188"/>
      <c r="R37" s="189"/>
      <c r="S37" s="189"/>
      <c r="T37" s="189"/>
      <c r="U37" s="189"/>
    </row>
    <row r="38" spans="8:21" s="190" customFormat="1">
      <c r="H38" s="328"/>
      <c r="J38" s="328"/>
      <c r="O38" s="188"/>
      <c r="P38" s="188"/>
      <c r="Q38" s="188"/>
      <c r="R38" s="189"/>
      <c r="S38" s="189"/>
      <c r="T38" s="189"/>
      <c r="U38" s="189"/>
    </row>
    <row r="39" spans="8:21" s="190" customFormat="1">
      <c r="H39" s="328"/>
      <c r="J39" s="328"/>
      <c r="O39" s="188"/>
      <c r="P39" s="188"/>
      <c r="Q39" s="188"/>
      <c r="R39" s="189"/>
      <c r="S39" s="189"/>
      <c r="T39" s="189"/>
      <c r="U39" s="189"/>
    </row>
    <row r="40" spans="8:21" s="190" customFormat="1">
      <c r="H40" s="328"/>
      <c r="J40" s="328"/>
      <c r="O40" s="188"/>
      <c r="P40" s="188"/>
      <c r="Q40" s="188"/>
      <c r="R40" s="189"/>
      <c r="S40" s="189"/>
      <c r="T40" s="189"/>
      <c r="U40" s="189"/>
    </row>
    <row r="41" spans="8:21" s="190" customFormat="1">
      <c r="H41" s="328"/>
      <c r="J41" s="328"/>
      <c r="O41" s="188"/>
      <c r="P41" s="188"/>
      <c r="Q41" s="188"/>
      <c r="R41" s="189"/>
      <c r="S41" s="189"/>
      <c r="T41" s="189"/>
      <c r="U41" s="189"/>
    </row>
    <row r="42" spans="8:21" s="190" customFormat="1">
      <c r="H42" s="328"/>
      <c r="J42" s="328"/>
      <c r="O42" s="188"/>
      <c r="P42" s="188"/>
      <c r="Q42" s="188"/>
      <c r="R42" s="189"/>
      <c r="S42" s="189"/>
      <c r="T42" s="189"/>
      <c r="U42" s="189"/>
    </row>
    <row r="43" spans="8:21" s="190" customFormat="1">
      <c r="H43" s="328"/>
      <c r="J43" s="328"/>
      <c r="O43" s="188"/>
      <c r="P43" s="188"/>
      <c r="Q43" s="188"/>
      <c r="R43" s="189"/>
      <c r="S43" s="189"/>
      <c r="T43" s="189"/>
      <c r="U43" s="189"/>
    </row>
    <row r="44" spans="8:21" s="190" customFormat="1">
      <c r="H44" s="328"/>
      <c r="J44" s="328"/>
      <c r="O44" s="188"/>
      <c r="P44" s="188"/>
      <c r="Q44" s="188"/>
      <c r="R44" s="189"/>
      <c r="S44" s="189"/>
      <c r="T44" s="189"/>
      <c r="U44" s="189"/>
    </row>
    <row r="45" spans="8:21" s="190" customFormat="1">
      <c r="H45" s="328"/>
      <c r="J45" s="328"/>
      <c r="O45" s="188"/>
      <c r="P45" s="188"/>
      <c r="Q45" s="188"/>
      <c r="R45" s="189"/>
      <c r="S45" s="189"/>
      <c r="T45" s="189"/>
      <c r="U45" s="189"/>
    </row>
    <row r="46" spans="8:21" s="190" customFormat="1">
      <c r="H46" s="328"/>
      <c r="J46" s="328"/>
      <c r="O46" s="188"/>
      <c r="P46" s="188"/>
      <c r="Q46" s="188"/>
      <c r="R46" s="189"/>
      <c r="S46" s="189"/>
      <c r="T46" s="189"/>
      <c r="U46" s="189"/>
    </row>
    <row r="47" spans="8:21" s="190" customFormat="1">
      <c r="H47" s="328"/>
      <c r="J47" s="328"/>
      <c r="O47" s="188"/>
      <c r="P47" s="188"/>
      <c r="Q47" s="188"/>
      <c r="R47" s="189"/>
      <c r="S47" s="189"/>
      <c r="T47" s="189"/>
      <c r="U47" s="189"/>
    </row>
    <row r="48" spans="8:21" s="190" customFormat="1">
      <c r="H48" s="328"/>
      <c r="J48" s="328"/>
      <c r="O48" s="188"/>
      <c r="P48" s="188"/>
      <c r="Q48" s="188"/>
      <c r="R48" s="189"/>
      <c r="S48" s="189"/>
      <c r="T48" s="189"/>
      <c r="U48" s="189"/>
    </row>
    <row r="49" spans="8:21" s="190" customFormat="1">
      <c r="H49" s="328"/>
      <c r="J49" s="328"/>
      <c r="O49" s="188"/>
      <c r="P49" s="188"/>
      <c r="Q49" s="188"/>
      <c r="R49" s="189"/>
      <c r="S49" s="189"/>
      <c r="T49" s="189"/>
      <c r="U49" s="189"/>
    </row>
    <row r="50" spans="8:21" s="190" customFormat="1">
      <c r="H50" s="328"/>
      <c r="J50" s="328"/>
      <c r="O50" s="188"/>
      <c r="P50" s="188"/>
      <c r="Q50" s="188"/>
      <c r="R50" s="189"/>
      <c r="S50" s="189"/>
      <c r="T50" s="189"/>
      <c r="U50" s="189"/>
    </row>
    <row r="51" spans="8:21" s="190" customFormat="1">
      <c r="H51" s="328"/>
      <c r="J51" s="328"/>
      <c r="O51" s="188"/>
      <c r="P51" s="188"/>
      <c r="Q51" s="188"/>
      <c r="R51" s="189"/>
      <c r="S51" s="189"/>
      <c r="T51" s="189"/>
      <c r="U51" s="189"/>
    </row>
    <row r="52" spans="8:21" s="190" customFormat="1">
      <c r="H52" s="328"/>
      <c r="J52" s="328"/>
      <c r="O52" s="188"/>
      <c r="P52" s="188"/>
      <c r="Q52" s="188"/>
      <c r="R52" s="189"/>
      <c r="S52" s="189"/>
      <c r="T52" s="189"/>
      <c r="U52" s="189"/>
    </row>
  </sheetData>
  <mergeCells count="7">
    <mergeCell ref="C9:C11"/>
    <mergeCell ref="E9:F10"/>
    <mergeCell ref="L9:L11"/>
    <mergeCell ref="Q9:Q10"/>
    <mergeCell ref="H9:K9"/>
    <mergeCell ref="H10:I10"/>
    <mergeCell ref="J10:K10"/>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F9:G9 G11 E10:G10 L10 L11 E11:F11" numberStoredAsText="1"/>
  </ignoredError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2:S159"/>
  <sheetViews>
    <sheetView showGridLines="0" zoomScaleNormal="100" workbookViewId="0">
      <selection activeCell="B2" sqref="B2"/>
    </sheetView>
  </sheetViews>
  <sheetFormatPr defaultColWidth="9.453125" defaultRowHeight="14.5"/>
  <cols>
    <col min="1" max="1" width="2.54296875" style="595" customWidth="1"/>
    <col min="2" max="2" width="4.453125" style="420" customWidth="1"/>
    <col min="3" max="3" width="62.1796875" style="420" customWidth="1"/>
    <col min="4" max="4" width="10.7265625" style="420" customWidth="1"/>
    <col min="5" max="5" width="12.54296875" style="421" customWidth="1"/>
    <col min="6" max="6" width="17.453125" customWidth="1"/>
    <col min="11" max="11" width="10.54296875" bestFit="1" customWidth="1"/>
    <col min="12" max="12" width="15.453125" bestFit="1" customWidth="1"/>
    <col min="13" max="13" width="19.453125" style="420" bestFit="1" customWidth="1"/>
    <col min="14" max="14" width="9.54296875" style="420" bestFit="1" customWidth="1"/>
    <col min="15" max="15" width="9.453125" style="420"/>
    <col min="16" max="16" width="10.54296875" style="420" bestFit="1" customWidth="1"/>
    <col min="17" max="16384" width="9.453125" style="420"/>
  </cols>
  <sheetData>
    <row r="2" spans="1:18" s="594" customFormat="1" ht="37.5" customHeight="1">
      <c r="A2" s="593"/>
      <c r="B2" s="8"/>
      <c r="C2" s="1697" t="str">
        <f>IF(Indice_index!$Z$1=1,"3 - Impacto orçamental das medidas adotadas no âmbito da COVID-19 pelas Administrações Públicas","3 - Budgetary impact of COVID-19 policy measures by the General Government")</f>
        <v>3 - Budgetary impact of COVID-19 policy measures by the General Government</v>
      </c>
      <c r="D2" s="1697"/>
      <c r="E2" s="354"/>
      <c r="F2"/>
      <c r="G2"/>
      <c r="H2"/>
      <c r="I2"/>
      <c r="J2"/>
      <c r="K2"/>
      <c r="L2"/>
      <c r="M2" s="188"/>
    </row>
    <row r="3" spans="1:18" s="189" customFormat="1" ht="15" customHeight="1">
      <c r="D3" s="516"/>
      <c r="E3" s="354"/>
      <c r="F3" s="354"/>
      <c r="G3" s="354"/>
      <c r="H3" s="354"/>
      <c r="I3" s="354"/>
      <c r="J3" s="354"/>
      <c r="K3" s="354"/>
      <c r="L3" s="188"/>
      <c r="M3" s="446"/>
      <c r="N3" s="447"/>
      <c r="O3" s="190"/>
      <c r="P3" s="188"/>
      <c r="Q3" s="188"/>
      <c r="R3" s="188"/>
    </row>
    <row r="4" spans="1:18" s="189" customFormat="1" ht="15" customHeight="1">
      <c r="C4" s="1693" t="str">
        <f>IF(Indice_index!$Z$1=1,"Execução das medidas adotadas no âmbito da COVID-19 pelas Administrações Públicas","Budgetary implementation of COVID-19 policy measures by the General Government")</f>
        <v>Budgetary implementation of COVID-19 policy measures by the General Government</v>
      </c>
      <c r="D4" s="1693"/>
      <c r="E4" s="1693"/>
      <c r="F4" s="1693"/>
      <c r="G4" s="1693"/>
      <c r="H4" s="1693"/>
      <c r="I4" s="1693"/>
      <c r="J4" s="354"/>
      <c r="K4" s="354"/>
      <c r="L4" s="188"/>
      <c r="M4" s="446"/>
      <c r="N4" s="447"/>
      <c r="O4" s="190"/>
      <c r="P4" s="188"/>
      <c r="Q4" s="188"/>
      <c r="R4" s="188"/>
    </row>
    <row r="5" spans="1:18" ht="15" customHeight="1">
      <c r="A5" s="421"/>
      <c r="B5" s="421"/>
      <c r="C5" s="421"/>
      <c r="D5" s="421"/>
      <c r="E5" s="439"/>
      <c r="F5" s="439"/>
      <c r="G5" s="439"/>
      <c r="H5" s="439"/>
      <c r="I5" s="439"/>
      <c r="J5" s="421"/>
      <c r="K5" s="420"/>
      <c r="L5" s="420"/>
      <c r="M5" s="448"/>
      <c r="N5" s="448"/>
    </row>
    <row r="6" spans="1:18">
      <c r="C6" s="1000" t="str">
        <f>+'5 - Conta AC + SS'!C5</f>
        <v>Period: January to November</v>
      </c>
      <c r="D6" s="696" t="str">
        <f>IF(Indice_index!$Z$1=1,"€ Milhões","€ Millions")</f>
        <v>€ Millions</v>
      </c>
      <c r="E6" s="610"/>
    </row>
    <row r="7" spans="1:18" ht="21" customHeight="1">
      <c r="A7" s="1696"/>
      <c r="C7" s="1599" t="str">
        <f>IF(Indice_index!$Z$1=1,"Medida Covid-19","COVID-19 Policy Measure")</f>
        <v>COVID-19 Policy Measure</v>
      </c>
      <c r="D7" s="1187" t="s">
        <v>66</v>
      </c>
      <c r="E7" s="610"/>
      <c r="F7" s="1693"/>
      <c r="G7" s="1693"/>
      <c r="H7" s="1693"/>
      <c r="I7" s="1693"/>
      <c r="J7" s="1693"/>
      <c r="K7" s="1693"/>
      <c r="L7" s="1693"/>
    </row>
    <row r="8" spans="1:18" ht="2.25" customHeight="1">
      <c r="A8" s="1696"/>
      <c r="C8" s="1600"/>
      <c r="D8" s="1188"/>
      <c r="E8" s="610"/>
    </row>
    <row r="9" spans="1:18" ht="12" customHeight="1">
      <c r="A9" s="605"/>
      <c r="C9" s="1601" t="str">
        <f>IF(Indice_index!$Z$1=1,"Prorrogação do pagamento do IVA","Extension of VAT payment")</f>
        <v>Extension of VAT payment</v>
      </c>
      <c r="D9" s="1178">
        <v>654.74904988000003</v>
      </c>
      <c r="E9" s="610"/>
    </row>
    <row r="10" spans="1:18" ht="12" customHeight="1">
      <c r="A10" s="596"/>
      <c r="C10" s="1601" t="str">
        <f>IF(Indice_index!$Z$1=1,"Limitação extraordinária de pagamentos por conta em sede de IRS ou IRC","Extraordinary limitation of prepayments related with IRS or IRC")</f>
        <v>Extraordinary limitation of prepayments related with IRS or IRC</v>
      </c>
      <c r="D10" s="1178">
        <v>21.491636530000001</v>
      </c>
      <c r="E10" s="610"/>
    </row>
    <row r="11" spans="1:18" ht="12" customHeight="1">
      <c r="A11" s="597"/>
      <c r="C11" s="1601" t="str">
        <f>IF(Indice_index!$Z$1=1,"Isenção de pagamento da Taxa Social Única (estimativa)","Exemption from payment of the social security contributions (estimate)")</f>
        <v>Exemption from payment of the social security contributions (estimate)</v>
      </c>
      <c r="D11" s="1178">
        <v>8.0794104022350002</v>
      </c>
      <c r="E11" s="610"/>
    </row>
    <row r="12" spans="1:18" ht="12" customHeight="1">
      <c r="A12" s="597"/>
      <c r="C12" s="1601" t="str">
        <f>IF(Indice_index!$Z$1=1,"Adiamento, redução ou isenção de rendas de imóveis","Postponement, reduction or exemption of property rents payment")</f>
        <v>Postponement, reduction or exemption of property rents payment</v>
      </c>
      <c r="D12" s="1178">
        <v>2.3677019999999997E-2</v>
      </c>
      <c r="E12" s="610"/>
    </row>
    <row r="13" spans="1:18" ht="12" customHeight="1">
      <c r="A13" s="597"/>
      <c r="C13" s="1601" t="str">
        <f>IF(Indice_index!$Z$1=1,"Revenda de vacinas contra a COVID-19 a países terceiros","Resale of vaccines against COVID-19 to third countries")</f>
        <v>Resale of vaccines against COVID-19 to third countries</v>
      </c>
      <c r="D13" s="994">
        <v>-39.724086960000001</v>
      </c>
      <c r="E13" s="610"/>
    </row>
    <row r="14" spans="1:18" ht="2.25" customHeight="1">
      <c r="C14" s="1602"/>
      <c r="D14" s="1189"/>
      <c r="E14" s="610"/>
    </row>
    <row r="15" spans="1:18" ht="12" customHeight="1">
      <c r="C15" s="1587" t="str">
        <f>IF(Indice_index!$Z$1=1,"Receita","Revenue")</f>
        <v>Revenue</v>
      </c>
      <c r="D15" s="997">
        <f>SUM(D9:D14)</f>
        <v>644.61968687223509</v>
      </c>
      <c r="E15" s="636"/>
      <c r="F15" s="616"/>
    </row>
    <row r="16" spans="1:18" ht="5.15" customHeight="1">
      <c r="C16" s="1185"/>
      <c r="D16" s="1184"/>
      <c r="E16" s="610"/>
    </row>
    <row r="17" spans="1:5" ht="12" customHeight="1">
      <c r="C17" s="1603" t="str">
        <f>IF(Indice_index!$Z$1=1,"Apoio às empresas","Enterpises support")</f>
        <v>Enterpises support</v>
      </c>
      <c r="D17" s="1180">
        <f>D18+D25+D22+D24</f>
        <v>1010.0762707600002</v>
      </c>
      <c r="E17" s="635"/>
    </row>
    <row r="18" spans="1:5" ht="12" customHeight="1">
      <c r="C18" s="1604" t="str">
        <f>IF(Indice_index!$Z$1=1,"Apoios aos custos com trabalhadores","Support for workers' costs")</f>
        <v>Support for workers' costs</v>
      </c>
      <c r="D18" s="1180">
        <f>D19+D21+D20</f>
        <v>171.59047512999999</v>
      </c>
      <c r="E18" s="635"/>
    </row>
    <row r="19" spans="1:5" ht="12" customHeight="1">
      <c r="A19" s="598"/>
      <c r="C19" s="1601" t="str">
        <f>IF(Indice_index!$Z$1=1,"Incentivo à normalização","Incentive to normalization")</f>
        <v>Incentive to normalization</v>
      </c>
      <c r="D19" s="994">
        <v>117.61521485999999</v>
      </c>
      <c r="E19" s="635"/>
    </row>
    <row r="20" spans="1:5" ht="12" customHeight="1">
      <c r="A20" s="598"/>
      <c r="C20" s="1601" t="str">
        <f>IF(Indice_index!$Z$1=1,"Apoio extraordinário à retoma progressiva de atividade","Extraordinary support for the progressive resumption of activity")</f>
        <v>Extraordinary support for the progressive resumption of activity</v>
      </c>
      <c r="D20" s="994">
        <v>44.628488579999996</v>
      </c>
      <c r="E20" s="635"/>
    </row>
    <row r="21" spans="1:5" ht="12" customHeight="1">
      <c r="A21" s="598"/>
      <c r="C21" s="1601" t="str">
        <f>IF(Indice_index!$Z$1=1,"Layoff Simplificado","Simplified layoff")</f>
        <v>Simplified layoff</v>
      </c>
      <c r="D21" s="994">
        <v>9.3467716899999971</v>
      </c>
      <c r="E21" s="635"/>
    </row>
    <row r="22" spans="1:5" ht="12" customHeight="1">
      <c r="A22" s="598"/>
      <c r="C22" s="1604" t="str">
        <f>IF(Indice_index!$Z$1=1,"Apoios a outros custos fixos das empresas","Support for other fixed costs of companies")</f>
        <v>Support for other fixed costs of companies</v>
      </c>
      <c r="D22" s="1180">
        <f>D23</f>
        <v>47.909604270000003</v>
      </c>
      <c r="E22" s="635"/>
    </row>
    <row r="23" spans="1:5" ht="12" customHeight="1">
      <c r="A23" s="598"/>
      <c r="C23" s="1601" t="str">
        <f>IF(Indice_index!$Z$1=1,"Programa Apoiar (APOIAR.PT, APOIAR Rendas e APOIAR + Simples)","Apoiar Program (APOIAR.PT, APOIAR rentals and APOIAR simple plus)")</f>
        <v>Apoiar Program (APOIAR.PT, APOIAR rentals and APOIAR simple plus)</v>
      </c>
      <c r="D23" s="994">
        <v>47.909604270000003</v>
      </c>
      <c r="E23" s="635"/>
    </row>
    <row r="24" spans="1:5" ht="12" customHeight="1">
      <c r="A24" s="598"/>
      <c r="C24" s="1605" t="str">
        <f>IF(Indice_index!$Z$1=1,"Apoios ao setor dos transportes","Transport Subsidies")</f>
        <v>Transport Subsidies</v>
      </c>
      <c r="D24" s="1179">
        <v>34.272554</v>
      </c>
      <c r="E24" s="635"/>
    </row>
    <row r="25" spans="1:5" ht="12" customHeight="1">
      <c r="A25" s="598"/>
      <c r="C25" s="1604" t="str">
        <f>IF(Indice_index!$Z$1=1,"Outros","Other benefits")</f>
        <v>Other benefits</v>
      </c>
      <c r="D25" s="1179">
        <f>SUM(D26:D32)</f>
        <v>756.30363736000015</v>
      </c>
      <c r="E25" s="635"/>
    </row>
    <row r="26" spans="1:5" ht="12" customHeight="1">
      <c r="A26" s="598"/>
      <c r="C26" s="1601" t="str">
        <f>IF(Indice_index!$Z$1=1,"Programa Ativar (inclui bolsas de formação)","ATIVAR.PT Program (includes training grants)")</f>
        <v>ATIVAR.PT Program (includes training grants)</v>
      </c>
      <c r="D26" s="1178">
        <v>318.45005802000014</v>
      </c>
      <c r="E26" s="635"/>
    </row>
    <row r="27" spans="1:5" ht="12" customHeight="1">
      <c r="A27" s="598"/>
      <c r="C27" s="1601" t="str">
        <f>IF(Indice_index!$Z$1=1,"Compensação ao aumento do valor da retribuição mínima mensal garantida","Compensation for the increase in the guaranteed minimum monthly salary")</f>
        <v>Compensation for the increase in the guaranteed minimum monthly salary</v>
      </c>
      <c r="D27" s="994">
        <v>90.625752000000006</v>
      </c>
      <c r="E27" s="635"/>
    </row>
    <row r="28" spans="1:5" ht="12" customHeight="1">
      <c r="A28" s="598"/>
      <c r="C28" s="1601" t="str">
        <f>IF(Indice_index!$Z$1=1,"Compromisso e Emprego Sustentável ","Commitment and Sustainable Employment ")</f>
        <v xml:space="preserve">Commitment and Sustainable Employment </v>
      </c>
      <c r="D28" s="1178">
        <v>47.925849280000001</v>
      </c>
      <c r="E28" s="635"/>
    </row>
    <row r="29" spans="1:5" ht="12" customHeight="1">
      <c r="A29" s="598"/>
      <c r="C29" s="1601" t="str">
        <f>IF(Indice_index!$Z$1=1,"Programa Garantir Cultura","Guarantee Culture Program")</f>
        <v>Guarantee Culture Program</v>
      </c>
      <c r="D29" s="994">
        <v>13.545444910000001</v>
      </c>
      <c r="E29" s="635"/>
    </row>
    <row r="30" spans="1:5" ht="12" customHeight="1">
      <c r="A30" s="598"/>
      <c r="C30" s="1601" t="str">
        <f>IF(Indice_index!$Z$1=1,"Incentivos à inovação e à Investigação e Desenvolvimento","
Incentives for innovation and Research and Development")</f>
        <v xml:space="preserve">
Incentives for innovation and Research and Development</v>
      </c>
      <c r="D30" s="994">
        <v>13.798570129999996</v>
      </c>
      <c r="E30" s="635"/>
    </row>
    <row r="31" spans="1:5" ht="12" customHeight="1">
      <c r="A31" s="598"/>
      <c r="C31" s="1601" t="str">
        <f>IF(Indice_index!$Z$1=1,"Programa Adaptar (Adaptar, Adaptar Turismo)","Adaptar Program (Adpatar, Adaptar Tourism")</f>
        <v>Adaptar Program (Adpatar, Adaptar Tourism</v>
      </c>
      <c r="D31" s="994">
        <v>5.3755707299999997</v>
      </c>
      <c r="E31" s="635"/>
    </row>
    <row r="32" spans="1:5" ht="12" customHeight="1">
      <c r="A32" s="598"/>
      <c r="C32" s="1601" t="str">
        <f>IF(Indice_index!$Z$1=1,"Outros apoios a empresas","Other benefits to companies")</f>
        <v>Other benefits to companies</v>
      </c>
      <c r="D32" s="994">
        <v>266.58239228999997</v>
      </c>
      <c r="E32" s="635"/>
    </row>
    <row r="33" spans="1:5" ht="12" customHeight="1">
      <c r="A33" s="598"/>
      <c r="C33" s="1603" t="str">
        <f>IF(Indice_index!$Z$1=1,"Apoio ao rendimento das famílias","Support of families income")</f>
        <v>Support of families income</v>
      </c>
      <c r="D33" s="1180">
        <f>SUM(D34:D41)</f>
        <v>467.18514119000002</v>
      </c>
      <c r="E33" s="635"/>
    </row>
    <row r="34" spans="1:5" ht="12" customHeight="1">
      <c r="A34" s="598"/>
      <c r="C34" s="1606" t="str">
        <f>IF(Indice_index!$Z$1=1,"Isolamento profilático","Prophylactic isolation benefit")</f>
        <v>Prophylactic isolation benefit</v>
      </c>
      <c r="D34" s="994">
        <v>245.59306606999999</v>
      </c>
      <c r="E34" s="635"/>
    </row>
    <row r="35" spans="1:5" ht="12" customHeight="1">
      <c r="A35" s="598"/>
      <c r="B35" s="598"/>
      <c r="C35" s="1601" t="str">
        <f>IF(Indice_index!$Z$1=1,"Apoios extraordinários ao rendimento dos trabalhadores","Extraordinary support of workers income")</f>
        <v>Extraordinary support of workers income</v>
      </c>
      <c r="D35" s="994">
        <v>76.037645980000008</v>
      </c>
      <c r="E35" s="635"/>
    </row>
    <row r="36" spans="1:5" ht="12" customHeight="1">
      <c r="A36" s="598"/>
      <c r="C36" s="1601" t="str">
        <f>IF(Indice_index!$Z$1=1,"Subsídio de doença","Sick benefit")</f>
        <v>Sick benefit</v>
      </c>
      <c r="D36" s="994">
        <v>66.734909909999999</v>
      </c>
      <c r="E36" s="635"/>
    </row>
    <row r="37" spans="1:5" ht="12" customHeight="1">
      <c r="A37" s="599"/>
      <c r="B37" s="421"/>
      <c r="C37" s="1601" t="str">
        <f>+IF(Indice_index!$Z$1=1,"Programa AUTOvoucher","AUTOvoucher Program")</f>
        <v>AUTOvoucher Program</v>
      </c>
      <c r="D37" s="994">
        <v>30</v>
      </c>
      <c r="E37" s="635"/>
    </row>
    <row r="38" spans="1:5" ht="12" customHeight="1">
      <c r="A38" s="598"/>
      <c r="C38" s="1601" t="str">
        <f>IF(Indice_index!$Z$1=1,"Subsídios de assistência a filho e a neto","Allowances for child and grandchild's care")</f>
        <v>Allowances for child and grandchild's care</v>
      </c>
      <c r="D38" s="994">
        <v>15.33098156</v>
      </c>
      <c r="E38" s="635"/>
    </row>
    <row r="39" spans="1:5" ht="12" customHeight="1">
      <c r="A39" s="598"/>
      <c r="C39" s="1601" t="str">
        <f>IF(Indice_index!$Z$1=1,"Apoios excecional à família","Extraordinary benefits to families")</f>
        <v>Extraordinary benefits to families</v>
      </c>
      <c r="D39" s="994">
        <v>8.1618222699999983</v>
      </c>
      <c r="E39" s="635"/>
    </row>
    <row r="40" spans="1:5" ht="12" customHeight="1">
      <c r="A40" s="598"/>
      <c r="C40" s="1601" t="str">
        <f>IF(Indice_index!$Z$1=1,"Prestações por doenças profissionais","Benefits for professional illnesses")</f>
        <v>Benefits for professional illnesses</v>
      </c>
      <c r="D40" s="994">
        <v>1.2809023599999998</v>
      </c>
      <c r="E40" s="635"/>
    </row>
    <row r="41" spans="1:5" ht="12" customHeight="1">
      <c r="A41" s="598"/>
      <c r="C41" s="1601" t="str">
        <f>IF(Indice_index!$Z$1=1,"Outros apoios de proteção social","Other social protection benefits")</f>
        <v>Other social protection benefits</v>
      </c>
      <c r="D41" s="994">
        <v>24.045813040000006</v>
      </c>
      <c r="E41" s="635"/>
    </row>
    <row r="42" spans="1:5" ht="12" customHeight="1">
      <c r="A42" s="598"/>
      <c r="C42" s="1603" t="str">
        <f>IF(Indice_index!$Z$1=1,"Saúde","Health sector")</f>
        <v>Health sector</v>
      </c>
      <c r="D42" s="1180">
        <f>SUM(D43:D47)</f>
        <v>984.00883515399994</v>
      </c>
      <c r="E42" s="635"/>
    </row>
    <row r="43" spans="1:5" ht="12" customHeight="1">
      <c r="A43" s="598"/>
      <c r="C43" s="1601" t="str">
        <f>IF(Indice_index!$Z$1=1,"Aquisição de vacinas","Purchasing of vaccines")</f>
        <v>Purchasing of vaccines</v>
      </c>
      <c r="D43" s="994">
        <v>298.76389949000003</v>
      </c>
      <c r="E43" s="635"/>
    </row>
    <row r="44" spans="1:5" ht="12" customHeight="1">
      <c r="A44" s="598"/>
      <c r="C44" s="1601" t="str">
        <f>IF(Indice_index!$Z$1=1,"Testes COVID-19","COVID-19 tests ")</f>
        <v xml:space="preserve">COVID-19 tests </v>
      </c>
      <c r="D44" s="994">
        <v>285.86167329</v>
      </c>
      <c r="E44" s="635"/>
    </row>
    <row r="45" spans="1:5" ht="12" customHeight="1">
      <c r="A45" s="598"/>
      <c r="C45" s="1601" t="str">
        <f>IF(Indice_index!$Z$1=1,"Recursos humanos (contratações, horas extra e outros abonos)","Human resources (hiring, overtime and other allowances)")</f>
        <v>Human resources (hiring, overtime and other allowances)</v>
      </c>
      <c r="D45" s="994">
        <v>244.45424571999985</v>
      </c>
      <c r="E45" s="635"/>
    </row>
    <row r="46" spans="1:5" ht="12" customHeight="1">
      <c r="A46" s="598"/>
      <c r="C46" s="1601" t="str">
        <f>IF(Indice_index!$Z$1=1,"EPI, medicamentos e outros","Personal protective equipment, medicines and others")</f>
        <v>Personal protective equipment, medicines and others</v>
      </c>
      <c r="D46" s="994">
        <v>133.55176206400006</v>
      </c>
      <c r="E46" s="635"/>
    </row>
    <row r="47" spans="1:5" ht="12" customHeight="1">
      <c r="A47" s="598"/>
      <c r="C47" s="1601" t="str">
        <f>IF(Indice_index!$Z$1=1,"Equipamentos e outros","Equipment and others")</f>
        <v>Equipment and others</v>
      </c>
      <c r="D47" s="1178">
        <v>21.377254589999996</v>
      </c>
      <c r="E47" s="635"/>
    </row>
    <row r="48" spans="1:5" ht="12" customHeight="1">
      <c r="A48" s="598"/>
      <c r="C48" s="1603" t="str">
        <f>IF(Indice_index!$Z$1=1,"Outros","Other benefits")</f>
        <v>Other benefits</v>
      </c>
      <c r="D48" s="1180">
        <f>SUM(D49:D55)</f>
        <v>575.29520926999999</v>
      </c>
      <c r="E48" s="635"/>
    </row>
    <row r="49" spans="1:12" ht="12" customHeight="1">
      <c r="A49" s="598"/>
      <c r="C49" s="1601" t="str">
        <f>IF(Indice_index!$Z$1=1,"Universalização da escola digital","Universalization of the digital school")</f>
        <v>Universalization of the digital school</v>
      </c>
      <c r="D49" s="994">
        <v>208.37105406999999</v>
      </c>
      <c r="E49" s="635"/>
    </row>
    <row r="50" spans="1:12" ht="12" customHeight="1">
      <c r="A50" s="598"/>
      <c r="C50" s="1601" t="str">
        <f>IF(Indice_index!$Z$1=1,"Programa de Apoio a Edifícios Mais Sustentáveis","More Sustainable Building Support Program")</f>
        <v>More Sustainable Building Support Program</v>
      </c>
      <c r="D50" s="1178">
        <v>105.17753988</v>
      </c>
      <c r="E50" s="635"/>
    </row>
    <row r="51" spans="1:12" ht="12" customHeight="1">
      <c r="A51" s="598"/>
      <c r="C51" s="1601" t="str">
        <f>IF(Indice_index!$Z$1=1,"Recursos humanos (contratações, horas extra e outros abonos)","Human resources (hiring, overtime and other allowances)")</f>
        <v>Human resources (hiring, overtime and other allowances)</v>
      </c>
      <c r="D51" s="994">
        <v>26.404696789999978</v>
      </c>
      <c r="E51" s="635"/>
    </row>
    <row r="52" spans="1:12" ht="12" customHeight="1">
      <c r="A52" s="598"/>
      <c r="C52" s="1607" t="str">
        <f>IF(Indice_index!$Z$1=1,"EPI, adaptação dos locais de trabalho, produtos e serviços de limpeza","Other sectors: personal protective equipment, workplaces adaptation, cleaning products and services")</f>
        <v>Other sectors: personal protective equipment, workplaces adaptation, cleaning products and services</v>
      </c>
      <c r="D52" s="994">
        <v>15.384631490000002</v>
      </c>
      <c r="E52" s="635"/>
    </row>
    <row r="53" spans="1:12" ht="12" customHeight="1">
      <c r="A53" s="598"/>
      <c r="C53" s="1601" t="str">
        <f>IF(Indice_index!$Z$1=1,"Reforço de emergência de equipamentos sociais e de saúde","Emergency reinforcement of social and health facilities")</f>
        <v>Emergency reinforcement of social and health facilities</v>
      </c>
      <c r="D53" s="994">
        <v>13.690529680000001</v>
      </c>
      <c r="E53" s="635"/>
    </row>
    <row r="54" spans="1:12" ht="12" customHeight="1">
      <c r="A54" s="598"/>
      <c r="C54" s="1601" t="str">
        <f>IF(Indice_index!$Z$1=1,"Programa Vale Eficiência ","Financial support program for energy efficiency")</f>
        <v>Financial support program for energy efficiency</v>
      </c>
      <c r="D54" s="994">
        <v>7.20902376</v>
      </c>
      <c r="E54" s="635"/>
    </row>
    <row r="55" spans="1:12" ht="12" customHeight="1">
      <c r="A55" s="598"/>
      <c r="C55" s="1601" t="str">
        <f>IF(Indice_index!$Z$1=1,"Outras despesas","Other expenditures")</f>
        <v>Other expenditures</v>
      </c>
      <c r="D55" s="994">
        <v>199.05773360000001</v>
      </c>
      <c r="E55" s="635"/>
      <c r="F55" s="731"/>
    </row>
    <row r="56" spans="1:12" ht="3" customHeight="1">
      <c r="A56" s="598"/>
      <c r="C56" s="1608"/>
      <c r="D56" s="994"/>
      <c r="E56" s="613"/>
    </row>
    <row r="57" spans="1:12" ht="12" customHeight="1">
      <c r="C57" s="1591" t="str">
        <f>IF(Indice_index!$Z$1=1,"Despesa ","Expenditure")</f>
        <v>Expenditure</v>
      </c>
      <c r="D57" s="997">
        <f>+D48+D42+D33+D17</f>
        <v>3036.565456374</v>
      </c>
      <c r="E57" s="627"/>
      <c r="F57" s="626"/>
      <c r="G57" s="607"/>
      <c r="H57" s="607"/>
      <c r="I57" s="607"/>
    </row>
    <row r="58" spans="1:12" ht="6.65" customHeight="1">
      <c r="C58" s="1591"/>
      <c r="D58" s="997"/>
      <c r="E58" s="614"/>
      <c r="F58" s="607"/>
      <c r="G58" s="607"/>
      <c r="H58" s="607"/>
      <c r="I58" s="607"/>
    </row>
    <row r="59" spans="1:12" ht="12" customHeight="1">
      <c r="A59" s="598"/>
      <c r="C59" s="1591" t="str">
        <f>IF(Indice_index!$Z$1=1,"Linhas de apoio","Benefits line")</f>
        <v>Benefits line</v>
      </c>
      <c r="D59" s="997">
        <f>SUM(D60:D61)</f>
        <v>38.609677140000002</v>
      </c>
      <c r="E59" s="612"/>
      <c r="F59" s="606"/>
      <c r="G59" s="606"/>
      <c r="H59" s="606"/>
      <c r="I59" s="606"/>
      <c r="J59" s="420"/>
      <c r="K59" s="420"/>
      <c r="L59" s="420"/>
    </row>
    <row r="60" spans="1:12" ht="12" customHeight="1">
      <c r="A60" s="598"/>
      <c r="C60" s="1609" t="str">
        <f>IF(Indice_index!$Z$1=1,"Linha de apoio tesouraria MPE","Treasury support line for SME")</f>
        <v>Treasury support line for SME</v>
      </c>
      <c r="D60" s="994">
        <v>25.474927140000002</v>
      </c>
      <c r="E60" s="615"/>
      <c r="F60" s="608"/>
      <c r="G60" s="608"/>
      <c r="H60" s="608"/>
      <c r="I60" s="606"/>
      <c r="J60" s="420"/>
      <c r="K60" s="420"/>
      <c r="L60" s="420"/>
    </row>
    <row r="61" spans="1:12" ht="12" customHeight="1">
      <c r="A61" s="598"/>
      <c r="C61" s="1609" t="str">
        <f>IF(Indice_index!$Z$1=1,"Outros apoios","Other benefits")</f>
        <v>Other benefits</v>
      </c>
      <c r="D61" s="994">
        <v>13.13475</v>
      </c>
      <c r="E61" s="615"/>
      <c r="F61" s="608"/>
      <c r="G61" s="608"/>
      <c r="H61" s="608"/>
      <c r="I61" s="606"/>
      <c r="J61" s="420"/>
      <c r="K61" s="420"/>
      <c r="L61" s="420"/>
    </row>
    <row r="62" spans="1:12" ht="12" customHeight="1">
      <c r="C62" s="1591" t="str">
        <f>IF(Indice_index!$Z$1=1,"Total das linhas","Total Benefits line")</f>
        <v>Total Benefits line</v>
      </c>
      <c r="D62" s="997">
        <f>SUM(D60:D61)</f>
        <v>38.609677140000002</v>
      </c>
      <c r="E62" s="612"/>
      <c r="F62" s="606"/>
      <c r="G62" s="606"/>
      <c r="H62" s="606"/>
      <c r="I62" s="606"/>
      <c r="J62" s="420"/>
      <c r="K62" s="420"/>
      <c r="L62" s="420"/>
    </row>
    <row r="63" spans="1:12" ht="3" customHeight="1">
      <c r="C63" s="1610"/>
      <c r="D63" s="1184"/>
      <c r="E63" s="612"/>
      <c r="F63" s="606"/>
      <c r="G63" s="606"/>
      <c r="H63" s="606"/>
      <c r="I63" s="606"/>
      <c r="J63" s="420"/>
      <c r="K63" s="420"/>
      <c r="L63" s="420"/>
    </row>
    <row r="64" spans="1:12" ht="12" customHeight="1">
      <c r="C64" s="1591" t="str">
        <f>IF(Indice_index!$Z$1=1,"Montante Global de despesa ","Global expenditure amount")</f>
        <v>Global expenditure amount</v>
      </c>
      <c r="D64" s="997">
        <f>+D62+D57</f>
        <v>3075.1751335139998</v>
      </c>
      <c r="E64" s="637"/>
      <c r="F64" s="617"/>
      <c r="G64" s="606"/>
      <c r="H64" s="606"/>
      <c r="I64" s="606"/>
      <c r="J64" s="420"/>
      <c r="K64" s="420"/>
      <c r="L64" s="420"/>
    </row>
    <row r="65" spans="3:19" ht="3.75" customHeight="1">
      <c r="C65" s="1185"/>
      <c r="D65" s="1185"/>
      <c r="E65" s="613"/>
      <c r="F65" s="607"/>
      <c r="G65" s="607"/>
      <c r="H65" s="607"/>
      <c r="I65" s="607"/>
    </row>
    <row r="66" spans="3:19">
      <c r="C66" s="1593" t="str">
        <f>IF(Indice_index!$Z$1=1,"Notas:","Notes:")</f>
        <v>Notes:</v>
      </c>
      <c r="D66" s="1186"/>
      <c r="E66" s="609"/>
    </row>
    <row r="67" spans="3:19" ht="86.25" customHeight="1">
      <c r="C67" s="1692" t="str">
        <f>IF(Indice_index!$Z$1=1,"A execução da despesa decorre dos sistemas de execução e de reporte da execução das entidades (registado nas Medidas 095 - 'Contingência COVID-2019 - prevenção, contenção, mitigação e tratamento' e 096 - 'Contingência COVID 2019 – garantir normalidade'"&amp;C158,C159)</f>
        <v>The expenditure implementation results from the execution and reporting systems of the entities' budget execution (accounted in budgetary measures 095 - 'Contingency COVID-2019 - prevention, containment, mitigation and treatment' and 096 - 'Contingency COVID 2019 - ensuring normality', created by DGO Circular No. 1398, Measures 097 - 'Ativar Program' and 098 - 'Extraordinary Incentive to Normalization', created with Law No. 27-A/2020, of July 24 (2020 Supplementary State Budget Law), measure 099 - 'Universalization of the Digital School', created with Law nº 75-B / 2020, of December 31 - 2021 State Budget Law and measure 102 - "Recovery and Resilience plan").</v>
      </c>
      <c r="D67" s="1692"/>
      <c r="E67" s="619"/>
    </row>
    <row r="68" spans="3:19" ht="28.5" customHeight="1">
      <c r="C68" s="1698"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D68" s="1698"/>
      <c r="E68" s="618"/>
      <c r="H68" s="1692"/>
      <c r="I68" s="1692"/>
    </row>
    <row r="69" spans="3:19" ht="33" customHeight="1">
      <c r="C69" s="1692" t="str">
        <f>IF(Indice_index!$Z$1=1,"A informação da Segurança Social compreende a execução associada aos subsistemas de Solidariedade, Proteção Familiar, Previdencial e Ação Social, bem como outras despesas realizadas pelas instituições integradas neste setor.","The Social Security information comprises the execution associated with the Solidarity, Family Protection, Social Security and Social Action subsystems, as well as other expenditure incurred by the institutions belonging to this sector.")</f>
        <v>The Social Security information comprises the execution associated with the Solidarity, Family Protection, Social Security and Social Action subsystems, as well as other expenditure incurred by the institutions belonging to this sector.</v>
      </c>
      <c r="D69" s="1692"/>
      <c r="E69" s="619"/>
    </row>
    <row r="70" spans="3:19" ht="31.5" customHeight="1">
      <c r="C70" s="1695" t="str">
        <f>IF(Indice_index!$Z$1=1,"O subsector da Administração Local inclui municípios e freguesias (no caso das freguesias o reporte encontra-se suspenso desde junho de 2022).","The Local Administration subsector includes municipalities and parishes (in the case of parishes, reporting has been suspended since June 2022).")</f>
        <v>The Local Administration subsector includes municipalities and parishes (in the case of parishes, reporting has been suspended since June 2022).</v>
      </c>
      <c r="D70" s="1695"/>
      <c r="E70" s="656"/>
      <c r="F70" s="656"/>
      <c r="G70" s="656"/>
      <c r="H70" s="656"/>
    </row>
    <row r="71" spans="3:19" s="22" customFormat="1" ht="22.5" hidden="1" customHeight="1">
      <c r="C71" s="1694"/>
      <c r="D71" s="1694"/>
      <c r="E71" s="62"/>
      <c r="F71" s="62"/>
      <c r="G71" s="62"/>
      <c r="H71" s="62"/>
      <c r="I71" s="62"/>
      <c r="J71" s="62"/>
      <c r="K71" s="62"/>
      <c r="R71" s="24"/>
      <c r="S71" s="24"/>
    </row>
    <row r="72" spans="3:19" ht="6.75" customHeight="1">
      <c r="C72" s="1597"/>
      <c r="D72" s="1597"/>
      <c r="E72" s="612"/>
    </row>
    <row r="73" spans="3:19">
      <c r="C73" s="1598" t="s">
        <v>598</v>
      </c>
      <c r="D73" s="1597"/>
      <c r="E73" s="612"/>
    </row>
    <row r="74" spans="3:19" ht="50.25" customHeight="1">
      <c r="C74" s="1692" t="str">
        <f>IF(Indice_index!$Z$1=1,"Direção-Geral do Orçamento, Autoridade Tributária e Aduaneira, Ministério das Finanças, Instituto de Gestão Financeira da Segurança Social, I.P."&amp;C78,"Budget General Directorate, Tax and Customs Authority, Ministry of Finance, Social Security Finance Management Institute"&amp;C79)</f>
        <v>Budget General Directorate, Tax and Customs Authority, Ministry of Finance, Social Security Finance Management InstituteCoordinating entities of the Budgetaries Programs, Azores Autonomous Region Budget and Treasury Regional Directorate, Madeira Autonomous Region Budget and Treasury Regional Directorate and Directorate-General for Local Authorities</v>
      </c>
      <c r="D74" s="1692"/>
      <c r="E74" s="619"/>
    </row>
    <row r="75" spans="3:19">
      <c r="C75" s="421"/>
      <c r="D75" s="421"/>
    </row>
    <row r="76" spans="3:19">
      <c r="C76" s="421"/>
      <c r="D76" s="421"/>
    </row>
    <row r="77" spans="3:19">
      <c r="C77" s="421"/>
      <c r="D77" s="421"/>
    </row>
    <row r="78" spans="3:19">
      <c r="C78" s="569" t="s">
        <v>613</v>
      </c>
      <c r="D78" s="421"/>
    </row>
    <row r="79" spans="3:19">
      <c r="C79" s="569" t="s">
        <v>614</v>
      </c>
      <c r="D79" s="421"/>
    </row>
    <row r="80" spans="3:19">
      <c r="C80" s="421"/>
      <c r="D80" s="421"/>
    </row>
    <row r="81" spans="3:9">
      <c r="C81" s="421"/>
      <c r="D81" s="421"/>
    </row>
    <row r="82" spans="3:9">
      <c r="C82" s="421"/>
      <c r="D82" s="421"/>
    </row>
    <row r="83" spans="3:9">
      <c r="C83" s="421"/>
      <c r="D83" s="421"/>
    </row>
    <row r="84" spans="3:9">
      <c r="C84" s="421"/>
      <c r="D84" s="421"/>
    </row>
    <row r="85" spans="3:9">
      <c r="C85" s="421"/>
      <c r="D85" s="421"/>
      <c r="E85" s="610"/>
      <c r="F85" s="657"/>
      <c r="G85" s="657"/>
      <c r="H85" s="657"/>
      <c r="I85" s="657"/>
    </row>
    <row r="86" spans="3:9">
      <c r="C86" s="421"/>
      <c r="D86" s="421"/>
      <c r="E86" s="610"/>
      <c r="F86" s="657"/>
      <c r="G86" s="657"/>
      <c r="H86" s="657"/>
      <c r="I86" s="657"/>
    </row>
    <row r="87" spans="3:9">
      <c r="C87" s="421"/>
      <c r="D87" s="421"/>
      <c r="E87" s="610"/>
      <c r="F87" s="657"/>
      <c r="G87" s="657"/>
      <c r="H87" s="657"/>
      <c r="I87" s="657"/>
    </row>
    <row r="88" spans="3:9">
      <c r="C88" s="421"/>
      <c r="D88" s="421"/>
      <c r="E88" s="610"/>
      <c r="F88" s="657"/>
      <c r="G88" s="657"/>
      <c r="H88" s="657"/>
      <c r="I88" s="657"/>
    </row>
    <row r="89" spans="3:9">
      <c r="C89" s="421"/>
      <c r="D89" s="421"/>
      <c r="E89" s="610"/>
      <c r="F89" s="657"/>
      <c r="G89" s="657"/>
      <c r="H89" s="657"/>
      <c r="I89" s="657"/>
    </row>
    <row r="90" spans="3:9">
      <c r="C90" s="421"/>
      <c r="D90" s="421"/>
      <c r="E90" s="610"/>
      <c r="F90" s="657"/>
      <c r="G90" s="657"/>
      <c r="H90" s="657"/>
      <c r="I90" s="657"/>
    </row>
    <row r="91" spans="3:9">
      <c r="C91" s="421"/>
      <c r="D91" s="421"/>
      <c r="E91" s="610"/>
      <c r="F91" s="657"/>
      <c r="G91" s="657"/>
      <c r="H91" s="657"/>
      <c r="I91" s="657"/>
    </row>
    <row r="92" spans="3:9">
      <c r="C92" s="421"/>
      <c r="D92" s="421"/>
      <c r="E92" s="610"/>
      <c r="F92" s="657"/>
      <c r="G92" s="657"/>
      <c r="H92" s="657"/>
      <c r="I92" s="657"/>
    </row>
    <row r="93" spans="3:9">
      <c r="C93" s="421"/>
      <c r="D93" s="421"/>
      <c r="E93" s="610"/>
      <c r="F93" s="657"/>
      <c r="G93" s="657"/>
      <c r="H93" s="657"/>
      <c r="I93" s="657"/>
    </row>
    <row r="94" spans="3:9">
      <c r="C94" s="421"/>
      <c r="D94" s="421"/>
      <c r="E94" s="610"/>
      <c r="F94" s="657"/>
      <c r="G94" s="657"/>
      <c r="H94" s="657"/>
      <c r="I94" s="657"/>
    </row>
    <row r="95" spans="3:9">
      <c r="C95" s="421"/>
      <c r="D95" s="421"/>
      <c r="E95" s="610"/>
      <c r="F95" s="657"/>
      <c r="G95" s="657"/>
      <c r="H95" s="657"/>
      <c r="I95" s="657"/>
    </row>
    <row r="96" spans="3:9">
      <c r="C96" s="421"/>
      <c r="D96" s="421"/>
    </row>
    <row r="97" spans="3:4">
      <c r="C97" s="421"/>
      <c r="D97" s="421"/>
    </row>
    <row r="98" spans="3:4">
      <c r="C98" s="421"/>
      <c r="D98" s="421"/>
    </row>
    <row r="99" spans="3:4">
      <c r="C99" s="421"/>
      <c r="D99" s="421"/>
    </row>
    <row r="100" spans="3:4">
      <c r="C100" s="421"/>
      <c r="D100" s="421"/>
    </row>
    <row r="101" spans="3:4">
      <c r="C101" s="421"/>
      <c r="D101" s="421"/>
    </row>
    <row r="102" spans="3:4">
      <c r="C102" s="421"/>
      <c r="D102" s="421"/>
    </row>
    <row r="103" spans="3:4">
      <c r="C103" s="421"/>
      <c r="D103" s="421"/>
    </row>
    <row r="104" spans="3:4">
      <c r="C104" s="421"/>
      <c r="D104" s="421"/>
    </row>
    <row r="105" spans="3:4">
      <c r="C105" s="421"/>
      <c r="D105" s="421"/>
    </row>
    <row r="106" spans="3:4">
      <c r="C106" s="421"/>
      <c r="D106" s="421"/>
    </row>
    <row r="107" spans="3:4">
      <c r="C107" s="421"/>
      <c r="D107" s="421"/>
    </row>
    <row r="108" spans="3:4">
      <c r="C108" s="421"/>
      <c r="D108" s="421"/>
    </row>
    <row r="109" spans="3:4">
      <c r="C109" s="421"/>
      <c r="D109" s="421"/>
    </row>
    <row r="110" spans="3:4">
      <c r="C110" s="421"/>
      <c r="D110" s="421"/>
    </row>
    <row r="111" spans="3:4">
      <c r="C111" s="421"/>
      <c r="D111" s="421"/>
    </row>
    <row r="112" spans="3:4">
      <c r="C112" s="421"/>
      <c r="D112" s="421"/>
    </row>
    <row r="113" spans="3:4">
      <c r="C113" s="421"/>
      <c r="D113" s="421"/>
    </row>
    <row r="114" spans="3:4">
      <c r="C114" s="421"/>
      <c r="D114" s="421"/>
    </row>
    <row r="115" spans="3:4">
      <c r="C115" s="421"/>
      <c r="D115" s="421"/>
    </row>
    <row r="116" spans="3:4">
      <c r="C116" s="421"/>
      <c r="D116" s="421"/>
    </row>
    <row r="117" spans="3:4">
      <c r="C117" s="421"/>
      <c r="D117" s="421"/>
    </row>
    <row r="118" spans="3:4">
      <c r="C118" s="421"/>
      <c r="D118" s="421"/>
    </row>
    <row r="119" spans="3:4">
      <c r="C119" s="421"/>
      <c r="D119" s="421"/>
    </row>
    <row r="120" spans="3:4">
      <c r="C120" s="421"/>
      <c r="D120" s="421"/>
    </row>
    <row r="121" spans="3:4">
      <c r="C121" s="421"/>
      <c r="D121" s="421"/>
    </row>
    <row r="122" spans="3:4">
      <c r="C122" s="421"/>
      <c r="D122" s="421"/>
    </row>
    <row r="123" spans="3:4">
      <c r="C123" s="421"/>
      <c r="D123" s="421"/>
    </row>
    <row r="124" spans="3:4">
      <c r="C124" s="421"/>
      <c r="D124" s="421"/>
    </row>
    <row r="125" spans="3:4">
      <c r="C125" s="421"/>
      <c r="D125" s="421"/>
    </row>
    <row r="126" spans="3:4">
      <c r="C126" s="421"/>
      <c r="D126" s="421"/>
    </row>
    <row r="127" spans="3:4">
      <c r="C127" s="421"/>
      <c r="D127" s="421"/>
    </row>
    <row r="128" spans="3:4">
      <c r="C128" s="421"/>
      <c r="D128" s="421"/>
    </row>
    <row r="129" spans="3:4">
      <c r="C129" s="421"/>
      <c r="D129" s="421"/>
    </row>
    <row r="130" spans="3:4">
      <c r="C130" s="421"/>
      <c r="D130" s="421"/>
    </row>
    <row r="131" spans="3:4">
      <c r="C131" s="421"/>
      <c r="D131" s="421"/>
    </row>
    <row r="132" spans="3:4">
      <c r="C132" s="421"/>
      <c r="D132" s="421"/>
    </row>
    <row r="133" spans="3:4">
      <c r="C133" s="421"/>
      <c r="D133" s="421"/>
    </row>
    <row r="134" spans="3:4">
      <c r="C134" s="421"/>
      <c r="D134" s="421"/>
    </row>
    <row r="135" spans="3:4">
      <c r="C135" s="421"/>
      <c r="D135" s="421"/>
    </row>
    <row r="136" spans="3:4">
      <c r="C136" s="421"/>
      <c r="D136" s="421"/>
    </row>
    <row r="137" spans="3:4">
      <c r="C137" s="421"/>
      <c r="D137" s="421"/>
    </row>
    <row r="138" spans="3:4">
      <c r="C138" s="421"/>
      <c r="D138" s="421"/>
    </row>
    <row r="139" spans="3:4">
      <c r="C139" s="421"/>
      <c r="D139" s="421"/>
    </row>
    <row r="140" spans="3:4">
      <c r="C140" s="421"/>
      <c r="D140" s="421"/>
    </row>
    <row r="141" spans="3:4">
      <c r="C141" s="421"/>
      <c r="D141" s="421"/>
    </row>
    <row r="142" spans="3:4">
      <c r="C142" s="421"/>
      <c r="D142" s="421"/>
    </row>
    <row r="143" spans="3:4">
      <c r="C143" s="421"/>
      <c r="D143" s="421"/>
    </row>
    <row r="158" spans="3:3">
      <c r="C158" s="569" t="s">
        <v>68</v>
      </c>
    </row>
    <row r="159" spans="3:3">
      <c r="C159" s="569" t="s">
        <v>69</v>
      </c>
    </row>
  </sheetData>
  <mergeCells count="11">
    <mergeCell ref="A7:A8"/>
    <mergeCell ref="F7:L7"/>
    <mergeCell ref="C2:D2"/>
    <mergeCell ref="C67:D67"/>
    <mergeCell ref="C68:D68"/>
    <mergeCell ref="C69:D69"/>
    <mergeCell ref="C74:D74"/>
    <mergeCell ref="C4:I4"/>
    <mergeCell ref="C71:D71"/>
    <mergeCell ref="C70:D70"/>
    <mergeCell ref="H68:I68"/>
  </mergeCells>
  <conditionalFormatting sqref="E60:E61 D9:D11 D13 D17:D38 D40:D56">
    <cfRule type="cellIs" dxfId="124" priority="23" operator="equal">
      <formula>0</formula>
    </cfRule>
  </conditionalFormatting>
  <conditionalFormatting sqref="D13">
    <cfRule type="cellIs" dxfId="123" priority="18" operator="equal">
      <formula>0</formula>
    </cfRule>
  </conditionalFormatting>
  <conditionalFormatting sqref="D37:D38">
    <cfRule type="cellIs" dxfId="122" priority="19" operator="equal">
      <formula>0</formula>
    </cfRule>
  </conditionalFormatting>
  <conditionalFormatting sqref="F60:H61">
    <cfRule type="cellIs" dxfId="121" priority="17" operator="equal">
      <formula>0</formula>
    </cfRule>
  </conditionalFormatting>
  <conditionalFormatting sqref="D61">
    <cfRule type="cellIs" dxfId="120" priority="9" operator="equal">
      <formula>0</formula>
    </cfRule>
  </conditionalFormatting>
  <conditionalFormatting sqref="D12:D13">
    <cfRule type="cellIs" dxfId="119" priority="13" operator="equal">
      <formula>0</formula>
    </cfRule>
  </conditionalFormatting>
  <conditionalFormatting sqref="D39">
    <cfRule type="cellIs" dxfId="118" priority="8" operator="equal">
      <formula>0</formula>
    </cfRule>
  </conditionalFormatting>
  <conditionalFormatting sqref="D60">
    <cfRule type="cellIs" dxfId="117" priority="1" operator="equal">
      <formula>0</formula>
    </cfRule>
  </conditionalFormatting>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6" unlockedFormula="1"/>
    <ignoredError sqref="D22" formula="1"/>
  </ignoredError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8">
    <pageSetUpPr fitToPage="1"/>
  </sheetPr>
  <dimension ref="A1:W181"/>
  <sheetViews>
    <sheetView showGridLines="0" zoomScaleNormal="100" zoomScaleSheetLayoutView="100" workbookViewId="0">
      <selection activeCell="B2" sqref="B2"/>
    </sheetView>
  </sheetViews>
  <sheetFormatPr defaultColWidth="9.1796875" defaultRowHeight="13"/>
  <cols>
    <col min="1" max="1" width="2.54296875" style="420" customWidth="1"/>
    <col min="2" max="2" width="4.453125" style="420" customWidth="1"/>
    <col min="3" max="3" width="53.1796875" style="421" customWidth="1"/>
    <col min="4" max="4" width="28.1796875" style="421" customWidth="1"/>
    <col min="5" max="9" width="7.453125" style="439" customWidth="1"/>
    <col min="10" max="10" width="12.81640625" style="630" bestFit="1" customWidth="1"/>
    <col min="11" max="11" width="47.1796875" style="420" customWidth="1"/>
    <col min="12" max="12" width="9.1796875" style="420"/>
    <col min="13" max="14" width="9.1796875" style="448"/>
    <col min="15" max="15" width="9.1796875" style="420"/>
    <col min="16" max="16" width="10.54296875" style="420" bestFit="1" customWidth="1"/>
    <col min="17" max="17" width="15.453125" style="420" bestFit="1" customWidth="1"/>
    <col min="18" max="18" width="19.453125" style="420" bestFit="1" customWidth="1"/>
    <col min="19" max="19" width="9.81640625" style="420" bestFit="1" customWidth="1"/>
    <col min="20" max="20" width="9.1796875" style="420"/>
    <col min="21" max="21" width="10.81640625" style="420" bestFit="1" customWidth="1"/>
    <col min="22" max="16384" width="9.1796875" style="420"/>
  </cols>
  <sheetData>
    <row r="1" spans="1:18" ht="15" customHeight="1"/>
    <row r="2" spans="1:18" s="189" customFormat="1" ht="38.5" customHeight="1">
      <c r="B2" s="8"/>
      <c r="C2" s="1697" t="str">
        <f>IF(Indice_index!$Z$1=1,"4 - Impacto orçamental das medidas adotadas no âmbito da COVID-19 por subsetor das Administrações Públicas","4 - Budgetary impact of COVID-19 policy measures by General Government subsector")</f>
        <v>4 - Budgetary impact of COVID-19 policy measures by General Government subsector</v>
      </c>
      <c r="D2" s="1697"/>
      <c r="E2" s="1697"/>
      <c r="F2" s="1697"/>
      <c r="G2" s="1697"/>
      <c r="H2" s="1697"/>
      <c r="I2" s="1697"/>
      <c r="J2" s="631"/>
      <c r="K2" s="354"/>
      <c r="L2" s="200"/>
      <c r="M2" s="446"/>
      <c r="N2" s="447"/>
      <c r="O2" s="190"/>
      <c r="P2" s="188"/>
      <c r="Q2" s="188"/>
      <c r="R2" s="202"/>
    </row>
    <row r="3" spans="1:18" s="189" customFormat="1" ht="15" customHeight="1">
      <c r="D3" s="516"/>
      <c r="E3" s="354"/>
      <c r="F3" s="354"/>
      <c r="G3" s="354"/>
      <c r="H3" s="354"/>
      <c r="I3" s="354"/>
      <c r="J3" s="631"/>
      <c r="K3" s="354"/>
      <c r="L3" s="188"/>
      <c r="M3" s="446"/>
      <c r="N3" s="447"/>
      <c r="O3" s="190"/>
      <c r="P3" s="188"/>
      <c r="Q3" s="188"/>
      <c r="R3" s="188"/>
    </row>
    <row r="4" spans="1:18" s="189" customFormat="1" ht="15" customHeight="1">
      <c r="C4" s="1693" t="str">
        <f>IF(Indice_index!$Z$1=1,"Execução das medidas adotadas no âmbito da COVID-19 por classificação económica e por subsetor das Administrações Públicas","Budgetary implementation of COVID-19 policy measures, according to economic classification and General Government subsector")</f>
        <v>Budgetary implementation of COVID-19 policy measures, according to economic classification and General Government subsector</v>
      </c>
      <c r="D4" s="1693"/>
      <c r="E4" s="1693"/>
      <c r="F4" s="1693"/>
      <c r="G4" s="1693"/>
      <c r="H4" s="1693"/>
      <c r="I4" s="1693"/>
      <c r="J4" s="631"/>
      <c r="K4" s="354"/>
      <c r="L4" s="188"/>
      <c r="M4" s="446"/>
      <c r="N4" s="447"/>
      <c r="O4" s="190"/>
      <c r="P4" s="188"/>
      <c r="Q4" s="188"/>
      <c r="R4" s="188"/>
    </row>
    <row r="5" spans="1:18" ht="15" customHeight="1">
      <c r="A5" s="421"/>
      <c r="B5" s="421"/>
      <c r="J5" s="632"/>
    </row>
    <row r="6" spans="1:18" ht="15" customHeight="1">
      <c r="A6" s="421"/>
      <c r="B6" s="421"/>
      <c r="C6" s="1103" t="str">
        <f>+'5 - Conta AC + SS'!C5</f>
        <v>Period: January to November</v>
      </c>
      <c r="D6" s="1103"/>
      <c r="E6" s="1103"/>
      <c r="F6" s="1103"/>
      <c r="G6" s="1103"/>
      <c r="H6" s="1103"/>
      <c r="I6" s="1103" t="str">
        <f>IF(Indice_index!$Z$1=1,"€ Milhões","€ Millions")</f>
        <v>€ Millions</v>
      </c>
      <c r="J6" s="632"/>
    </row>
    <row r="7" spans="1:18" ht="36" customHeight="1">
      <c r="A7" s="421"/>
      <c r="B7" s="421"/>
      <c r="C7" s="1173" t="str">
        <f>IF(Indice_index!$Z$1=1,"Medida COVID-19","COVID-19 Policy Measure")</f>
        <v>COVID-19 Policy Measure</v>
      </c>
      <c r="D7" s="1174" t="str">
        <f>IF(Indice_index!$Z$1=1,"Classificação económica","Economic classification")</f>
        <v>Economic classification</v>
      </c>
      <c r="E7" s="1175" t="str">
        <f>IF(Indice_index!$Z$1=1,"Adm. Central","Central Government")</f>
        <v>Central Government</v>
      </c>
      <c r="F7" s="1175" t="str">
        <f>IF(Indice_index!$Z$1=1,"Seg.  Social","Social Security")</f>
        <v>Social Security</v>
      </c>
      <c r="G7" s="1175" t="str">
        <f>IF(Indice_index!$Z$1=1,"Adm. Regional","Regional Government")</f>
        <v>Regional Government</v>
      </c>
      <c r="H7" s="1175" t="str">
        <f>IF(Indice_index!$Z$1=1,"Adm. Local","Local Government")</f>
        <v>Local Government</v>
      </c>
      <c r="I7" s="1176" t="s">
        <v>66</v>
      </c>
      <c r="J7" s="632"/>
    </row>
    <row r="8" spans="1:18" ht="15" customHeight="1">
      <c r="A8" s="421"/>
      <c r="B8" s="421"/>
      <c r="C8" s="465" t="str">
        <f>IF(Indice_index!$Z$1=1,"Limitação extraordinária de pagamentos por conta em sede de IRS ou IRC","Extraordinary limitation of prepayments related with IRS or IRC")</f>
        <v>Extraordinary limitation of prepayments related with IRS or IRC</v>
      </c>
      <c r="D8" s="993" t="str">
        <f>IF(Indice_index!$Z$1=1,"R.01 - Imp. Diretos","R.01 - Direct taxes")</f>
        <v>R.01 - Direct taxes</v>
      </c>
      <c r="E8" s="994">
        <f>18.37275858+3.11887795</f>
        <v>21.491636530000001</v>
      </c>
      <c r="F8" s="996"/>
      <c r="G8" s="996"/>
      <c r="H8" s="996"/>
      <c r="I8" s="995">
        <f>SUM(E8:H8)</f>
        <v>21.491636530000001</v>
      </c>
      <c r="J8" s="632"/>
    </row>
    <row r="9" spans="1:18" ht="15" customHeight="1">
      <c r="A9" s="421"/>
      <c r="B9" s="421"/>
      <c r="C9" s="465" t="str">
        <f>IF(Indice_index!$Z$1=1,"Prorrogação do pagamento do IVA","Extension of VAT payment")</f>
        <v>Extension of VAT payment</v>
      </c>
      <c r="D9" s="993" t="str">
        <f>IF(Indice_index!$Z$1=1,"R.02 - Imp. Indiretos","R.02 - Indirect taxes")</f>
        <v>R.02 - Indirect taxes</v>
      </c>
      <c r="E9" s="995">
        <v>654.74904988000003</v>
      </c>
      <c r="F9" s="996"/>
      <c r="G9" s="996"/>
      <c r="H9" s="996"/>
      <c r="I9" s="995">
        <f>SUM(E9:H9)</f>
        <v>654.74904988000003</v>
      </c>
      <c r="J9" s="632"/>
    </row>
    <row r="10" spans="1:18" ht="15" customHeight="1">
      <c r="A10" s="421"/>
      <c r="B10" s="421"/>
      <c r="C10" s="465" t="str">
        <f>IF(Indice_index!$Z$1=1,"Isenção de pagamento da Taxa Social Única (estimativa)","Exemption from payment of the social security contributions (estimate)")</f>
        <v>Exemption from payment of the social security contributions (estimate)</v>
      </c>
      <c r="D10" s="993" t="str">
        <f>IF(Indice_index!$Z$1=1,"R.03 - Contrib. SS","R.03 - Contributions to the Social Security")</f>
        <v>R.03 - Contributions to the Social Security</v>
      </c>
      <c r="E10" s="996"/>
      <c r="F10" s="996">
        <v>8.0794104022350002</v>
      </c>
      <c r="G10" s="996"/>
      <c r="H10" s="996"/>
      <c r="I10" s="995">
        <f>SUM(E10:H10)</f>
        <v>8.0794104022350002</v>
      </c>
      <c r="J10" s="632"/>
    </row>
    <row r="11" spans="1:18" ht="15" hidden="1" customHeight="1">
      <c r="A11" s="421"/>
      <c r="B11" s="421"/>
      <c r="C11" s="465" t="str">
        <f>IF(Indice_index!$Z$1=1,"Adiamento, redução ou isenção de rendas de imóveis","Postponement, reduction or exemption of property rents payment")</f>
        <v>Postponement, reduction or exemption of property rents payment</v>
      </c>
      <c r="D11" s="993" t="str">
        <f>IF(Indice_index!$Z$1=1,"R.07 - Vendas Bens e Serv.","R.07 - Sale of current goods and services")</f>
        <v>R.07 - Sale of current goods and services</v>
      </c>
      <c r="E11" s="996"/>
      <c r="F11" s="996"/>
      <c r="G11" s="996">
        <v>2.8846719999999999E-2</v>
      </c>
      <c r="H11" s="996"/>
      <c r="I11" s="995">
        <f>SUM(E11:H11)</f>
        <v>2.8846719999999999E-2</v>
      </c>
      <c r="J11" s="632"/>
    </row>
    <row r="12" spans="1:18" ht="15" customHeight="1">
      <c r="A12" s="421"/>
      <c r="B12" s="421"/>
      <c r="C12" s="465" t="str">
        <f>IF(Indice_index!$Z$1=1,"Revenda de vacinas contra a COVID-19 a países terceiros","Resale of vaccines against COVID-19 to third countries")</f>
        <v>Resale of vaccines against COVID-19 to third countries</v>
      </c>
      <c r="D12" s="993" t="str">
        <f>IF(Indice_index!$Z$1=1,"R.07 - Vendas Bens e Serv.","R.07 - Sale of current goods and services")</f>
        <v>R.07 - Sale of current goods and services</v>
      </c>
      <c r="E12" s="996">
        <v>-39.724086960000001</v>
      </c>
      <c r="F12" s="996"/>
      <c r="G12" s="996"/>
      <c r="H12" s="996"/>
      <c r="I12" s="995">
        <f>SUM(E12:H12)</f>
        <v>-39.724086960000001</v>
      </c>
      <c r="J12" s="632"/>
    </row>
    <row r="13" spans="1:18" ht="4.5" customHeight="1">
      <c r="A13" s="421"/>
      <c r="B13" s="421"/>
      <c r="C13" s="993"/>
      <c r="D13" s="993"/>
      <c r="E13" s="995"/>
      <c r="F13" s="995"/>
      <c r="G13" s="995"/>
      <c r="H13" s="995"/>
      <c r="I13" s="995"/>
      <c r="J13" s="632"/>
    </row>
    <row r="14" spans="1:18" ht="15" customHeight="1">
      <c r="A14" s="421"/>
      <c r="B14" s="421"/>
      <c r="C14" s="1587" t="str">
        <f>IF(Indice_index!$Z$1=1,"Total da Receita efetiva","Total Effective revenue")</f>
        <v>Total Effective revenue</v>
      </c>
      <c r="D14" s="1587"/>
      <c r="E14" s="997">
        <f>SUM(E8:E12)</f>
        <v>636.51659945000006</v>
      </c>
      <c r="F14" s="997">
        <f>SUM(F8:F12)</f>
        <v>8.0794104022350002</v>
      </c>
      <c r="G14" s="997">
        <f>SUM(G8:G12)</f>
        <v>2.8846719999999999E-2</v>
      </c>
      <c r="H14" s="997">
        <f>SUM(H8:H12)</f>
        <v>0</v>
      </c>
      <c r="I14" s="997">
        <f>SUM(E14:H14)</f>
        <v>644.6248565722351</v>
      </c>
      <c r="J14" s="632"/>
    </row>
    <row r="15" spans="1:18" ht="4.5" customHeight="1">
      <c r="A15" s="421"/>
      <c r="B15" s="421"/>
      <c r="J15" s="632"/>
    </row>
    <row r="16" spans="1:18" ht="15" customHeight="1">
      <c r="A16" s="421"/>
      <c r="B16" s="465"/>
      <c r="C16" s="465" t="str">
        <f>IF(Indice_index!$Z$1=1,"Saúde: Recursos humanos (contratações, horas extra e outros abonos)","Health: Human resources (hiring, overtime and other allowances)")</f>
        <v>Health: Human resources (hiring, overtime and other allowances)</v>
      </c>
      <c r="D16" s="465" t="str">
        <f>IF(Indice_index!$Z$1=1,"D.01- Desp. c/ pessoal","D.01 - Employees")</f>
        <v>D.01 - Employees</v>
      </c>
      <c r="E16" s="994">
        <v>208.23377890999984</v>
      </c>
      <c r="F16" s="994">
        <v>0</v>
      </c>
      <c r="G16" s="994">
        <v>36.220466810000005</v>
      </c>
      <c r="H16" s="994"/>
      <c r="I16" s="995">
        <f t="shared" ref="I16:I47" si="0">SUM(E16:H16)</f>
        <v>244.45424571999985</v>
      </c>
      <c r="J16" s="632"/>
    </row>
    <row r="17" spans="1:14" ht="15" customHeight="1">
      <c r="A17" s="421"/>
      <c r="B17" s="465"/>
      <c r="C17" s="465" t="str">
        <f>IF(Indice_index!$Z$1=1,"Recursos humanos (contratações, horas extra e outros abonos)","Human resources (hiring, overtime and other allowances)")</f>
        <v>Human resources (hiring, overtime and other allowances)</v>
      </c>
      <c r="D17" s="465" t="str">
        <f>IF(Indice_index!$Z$1=1,"D.01- Desp. c/ pessoal","D.01 - Employees")</f>
        <v>D.01 - Employees</v>
      </c>
      <c r="E17" s="994">
        <v>26.377786019999977</v>
      </c>
      <c r="F17" s="994">
        <v>8.9832199999999984E-3</v>
      </c>
      <c r="G17" s="994">
        <v>1.792755E-2</v>
      </c>
      <c r="H17" s="994"/>
      <c r="I17" s="995">
        <f t="shared" si="0"/>
        <v>26.404696789999978</v>
      </c>
      <c r="J17" s="632"/>
      <c r="K17" s="630"/>
    </row>
    <row r="18" spans="1:14" ht="15" customHeight="1">
      <c r="A18" s="421"/>
      <c r="B18" s="465"/>
      <c r="C18" s="465" t="str">
        <f>IF(Indice_index!$Z$1=1,"Saúde: aquisição de vacinas","Health: purchasing of vaccines")</f>
        <v>Health: purchasing of vaccines</v>
      </c>
      <c r="D18" s="465" t="str">
        <f>IF(Indice_index!$Z$1=1,"D.02 - Aq. Bens e Serv.","D.02 - Purchase of goods and services")</f>
        <v>D.02 - Purchase of goods and services</v>
      </c>
      <c r="E18" s="994">
        <v>298.76389949000003</v>
      </c>
      <c r="F18" s="994"/>
      <c r="G18" s="994"/>
      <c r="H18" s="994"/>
      <c r="I18" s="995">
        <f t="shared" si="0"/>
        <v>298.76389949000003</v>
      </c>
      <c r="J18" s="632"/>
    </row>
    <row r="19" spans="1:14" ht="15" customHeight="1">
      <c r="A19" s="421"/>
      <c r="B19" s="465"/>
      <c r="C19" s="465" t="str">
        <f>IF(Indice_index!$Z$1=1,"Saúde: testes COVID-19","Health: COVID-19 tests ")</f>
        <v xml:space="preserve">Health: COVID-19 tests </v>
      </c>
      <c r="D19" s="465" t="str">
        <f>IF(Indice_index!$Z$1=1,"D.02 - Aq. Bens e Serv.","D.02 - Purchase of goods and services")</f>
        <v>D.02 - Purchase of goods and services</v>
      </c>
      <c r="E19" s="994">
        <v>272.97969186</v>
      </c>
      <c r="F19" s="994"/>
      <c r="G19" s="994">
        <v>12.88198143</v>
      </c>
      <c r="H19" s="994"/>
      <c r="I19" s="995">
        <f t="shared" si="0"/>
        <v>285.86167329</v>
      </c>
      <c r="J19" s="632"/>
    </row>
    <row r="20" spans="1:14" ht="15" customHeight="1">
      <c r="A20" s="421"/>
      <c r="B20" s="465"/>
      <c r="C20" s="465" t="str">
        <f>IF(Indice_index!$Z$1=1,"Saúde: equipamentos de proteção individual (EPI), medicamentos e outros","Health: personal protective equipment, medicines and others")</f>
        <v>Health: personal protective equipment, medicines and others</v>
      </c>
      <c r="D20" s="465" t="str">
        <f>IF(Indice_index!$Z$1=1,"D.02 - Aq. Bens e Serv.","D.02 - Purchase of goods and services")</f>
        <v>D.02 - Purchase of goods and services</v>
      </c>
      <c r="E20" s="994">
        <v>88.513050510000085</v>
      </c>
      <c r="F20" s="994"/>
      <c r="G20" s="994">
        <v>8.6950354700000005</v>
      </c>
      <c r="H20" s="994">
        <v>36.343676083999995</v>
      </c>
      <c r="I20" s="995">
        <f t="shared" si="0"/>
        <v>133.55176206400006</v>
      </c>
      <c r="J20" s="632"/>
    </row>
    <row r="21" spans="1:14" ht="15" customHeight="1">
      <c r="A21" s="421"/>
      <c r="B21" s="465"/>
      <c r="C21" s="465" t="str">
        <f>IF(Indice_index!$Z$1=1,"Programa Ativar - Formação","ATIVAR.PT Program - Training")</f>
        <v>ATIVAR.PT Program - Training</v>
      </c>
      <c r="D21" s="465" t="str">
        <f>IF(Indice_index!$Z$1=1,"D.02 - Aq. Bens e Serv.","D.02 - Purchase of goods and services")</f>
        <v>D.02 - Purchase of goods and services</v>
      </c>
      <c r="E21" s="994">
        <v>54.26088561000001</v>
      </c>
      <c r="F21" s="994"/>
      <c r="G21" s="994"/>
      <c r="H21" s="994"/>
      <c r="I21" s="995">
        <f t="shared" si="0"/>
        <v>54.26088561000001</v>
      </c>
      <c r="J21" s="632"/>
    </row>
    <row r="22" spans="1:14" ht="15" customHeight="1">
      <c r="A22" s="421"/>
      <c r="B22" s="465"/>
      <c r="C22" s="465" t="str">
        <f>IF(Indice_index!$Z$1=1,"EPI, adaptação dos locais de trabalho, produtos e serviços de limpeza","Other sectors: personal protective equipment, workplaces adaptation, cleaning products and services")</f>
        <v>Other sectors: personal protective equipment, workplaces adaptation, cleaning products and services</v>
      </c>
      <c r="D22" s="465" t="str">
        <f>IF(Indice_index!$Z$1=1,"D.02 - Aq. Bens e Serv.","D.02 - Purchase of goods and services")</f>
        <v>D.02 - Purchase of goods and services</v>
      </c>
      <c r="E22" s="994">
        <v>12.599932640000002</v>
      </c>
      <c r="F22" s="994">
        <v>2.78349877</v>
      </c>
      <c r="G22" s="994">
        <v>1.2000800000000001E-3</v>
      </c>
      <c r="H22" s="994"/>
      <c r="I22" s="995">
        <f t="shared" si="0"/>
        <v>15.384631490000002</v>
      </c>
      <c r="J22" s="632"/>
    </row>
    <row r="23" spans="1:14" ht="15" customHeight="1">
      <c r="A23" s="421"/>
      <c r="B23" s="465"/>
      <c r="C23" s="465" t="str">
        <f>IF(Indice_index!$Z$1=1,"Universalização da escola digital ","Universalization of the digital school")</f>
        <v>Universalization of the digital school</v>
      </c>
      <c r="D23" s="465" t="str">
        <f>IF(Indice_index!$Z$1=1,"D.02 - Aq. Bens e Serv.","D.02 - Purchase of goods and services")</f>
        <v>D.02 - Purchase of goods and services</v>
      </c>
      <c r="E23" s="994">
        <v>1.4618549999999999</v>
      </c>
      <c r="F23" s="994"/>
      <c r="G23" s="994"/>
      <c r="H23" s="994"/>
      <c r="I23" s="995">
        <f t="shared" si="0"/>
        <v>1.4618549999999999</v>
      </c>
      <c r="J23" s="632"/>
    </row>
    <row r="24" spans="1:14" ht="15" customHeight="1">
      <c r="A24" s="421"/>
      <c r="B24" s="465"/>
      <c r="C24" s="465" t="str">
        <f>IF(Indice_index!$Z$1=1,"Outras Aquisições de Bens e Serviços","Other services and goods acquisitions")</f>
        <v>Other services and goods acquisitions</v>
      </c>
      <c r="D24" s="465" t="str">
        <f>IF(Indice_index!$Z$1=1,"D.02 - Aq. Bens e Serv.","D.02 - Purchase of goods and services")</f>
        <v>D.02 - Purchase of goods and services</v>
      </c>
      <c r="E24" s="994">
        <v>16.358407620000012</v>
      </c>
      <c r="F24" s="994"/>
      <c r="G24" s="994">
        <v>0.75659024000000008</v>
      </c>
      <c r="H24" s="994"/>
      <c r="I24" s="995">
        <f t="shared" si="0"/>
        <v>17.114997860000013</v>
      </c>
      <c r="J24" s="632"/>
      <c r="K24" s="630"/>
    </row>
    <row r="25" spans="1:14" ht="15" customHeight="1">
      <c r="A25" s="421"/>
      <c r="B25" s="465"/>
      <c r="C25" s="465" t="str">
        <f>IF(Indice_index!$Z$1=1,"Juros e outros encargos","Interests and other charges")</f>
        <v>Interests and other charges</v>
      </c>
      <c r="D25" s="465" t="str">
        <f>IF(Indice_index!$Z$1=1,"D.03 - Juros e outros encargos","D.03 - Interests and other charges")</f>
        <v>D.03 - Interests and other charges</v>
      </c>
      <c r="E25" s="994">
        <v>7.0887000000000001E-4</v>
      </c>
      <c r="F25" s="994"/>
      <c r="G25" s="994"/>
      <c r="H25" s="994"/>
      <c r="I25" s="995">
        <f t="shared" si="0"/>
        <v>7.0887000000000001E-4</v>
      </c>
      <c r="J25" s="632"/>
    </row>
    <row r="26" spans="1:14" ht="15" customHeight="1">
      <c r="A26" s="421"/>
      <c r="B26" s="465"/>
      <c r="C26" s="1588" t="str">
        <f>IF(Indice_index!$Z$1=1,"Isolamento profilático","Prophylactic isolation benefit")</f>
        <v>Prophylactic isolation benefit</v>
      </c>
      <c r="D26" s="1589" t="str">
        <f>IF(Indice_index!$Z$1=1,"D.04 - Transf. Correntes","D.04 - Current transfers")</f>
        <v>D.04 - Current transfers</v>
      </c>
      <c r="E26" s="994" t="s">
        <v>504</v>
      </c>
      <c r="F26" s="994">
        <v>245.59306606999999</v>
      </c>
      <c r="G26" s="994"/>
      <c r="H26" s="994"/>
      <c r="I26" s="995">
        <f t="shared" si="0"/>
        <v>245.59306606999999</v>
      </c>
      <c r="J26" s="632"/>
    </row>
    <row r="27" spans="1:14" ht="15" customHeight="1">
      <c r="A27" s="421"/>
      <c r="B27" s="465"/>
      <c r="C27" s="465" t="str">
        <f>IF(Indice_index!$Z$1=1,"Apoios extraordinários ao rendimento dos trabalhadores","Extraordinary support of workers income")</f>
        <v>Extraordinary support of workers income</v>
      </c>
      <c r="D27" s="465" t="str">
        <f>IF(Indice_index!$Z$1=1,"D.04 - Transf. Correntes","D.04 - Current transfers")</f>
        <v>D.04 - Current transfers</v>
      </c>
      <c r="E27" s="994" t="s">
        <v>504</v>
      </c>
      <c r="F27" s="994">
        <v>76.037645980000008</v>
      </c>
      <c r="G27" s="994"/>
      <c r="H27" s="994"/>
      <c r="I27" s="995">
        <f t="shared" si="0"/>
        <v>76.037645980000008</v>
      </c>
      <c r="J27" s="632"/>
    </row>
    <row r="28" spans="1:14" s="421" customFormat="1" ht="15" customHeight="1">
      <c r="B28" s="465"/>
      <c r="C28" s="465" t="str">
        <f>IF(Indice_index!$Z$1=1,"Compensação ao aumento do valor da retribuição mínima mensal garantida","Compensation for the increase in the guaranteed minimum monthly salary")</f>
        <v>Compensation for the increase in the guaranteed minimum monthly salary</v>
      </c>
      <c r="D28" s="465" t="str">
        <f>IF(Indice_index!$Z$1=1,"D.04 - Transf. Correntes","D.04 - Current transfers")</f>
        <v>D.04 - Current transfers</v>
      </c>
      <c r="E28" s="994">
        <v>90.625752000000006</v>
      </c>
      <c r="F28" s="994"/>
      <c r="G28" s="994"/>
      <c r="H28" s="994"/>
      <c r="I28" s="995">
        <f t="shared" si="0"/>
        <v>90.625752000000006</v>
      </c>
      <c r="J28" s="632"/>
      <c r="M28" s="449"/>
      <c r="N28" s="449"/>
    </row>
    <row r="29" spans="1:14" s="457" customFormat="1" ht="15" customHeight="1">
      <c r="A29" s="421"/>
      <c r="B29" s="465"/>
      <c r="C29" s="465" t="str">
        <f>IF(Indice_index!$Z$1=1,"Subsídio de doença por infecção SARS-CoV-2","SARS-CoV-2 infection sickness benefit")</f>
        <v>SARS-CoV-2 infection sickness benefit</v>
      </c>
      <c r="D29" s="465" t="str">
        <f>IF(Indice_index!$Z$1=1,"D.04 - Transf. Correntes","D.04 - Current transfers")</f>
        <v>D.04 - Current transfers</v>
      </c>
      <c r="E29" s="994" t="s">
        <v>504</v>
      </c>
      <c r="F29" s="994">
        <v>66.734909909999999</v>
      </c>
      <c r="G29" s="994"/>
      <c r="H29" s="994"/>
      <c r="I29" s="995">
        <f t="shared" si="0"/>
        <v>66.734909909999999</v>
      </c>
      <c r="J29" s="633"/>
      <c r="M29" s="458"/>
      <c r="N29" s="458"/>
    </row>
    <row r="30" spans="1:14" s="421" customFormat="1" ht="15" customHeight="1">
      <c r="B30" s="465"/>
      <c r="C30" s="465" t="str">
        <f>IF(Indice_index!$Z$1=1,"Programa de Apoio a Edifícios Mais Sustentáveis","More Sustainable Building Support Program")</f>
        <v>More Sustainable Building Support Program</v>
      </c>
      <c r="D30" s="465" t="str">
        <f>IF(Indice_index!$Z$1=1,"D.04 - Transf. Correntes","D.04 - Current transfers")</f>
        <v>D.04 - Current transfers</v>
      </c>
      <c r="E30" s="994">
        <v>105.17753988</v>
      </c>
      <c r="F30" s="994"/>
      <c r="G30" s="994"/>
      <c r="H30" s="994"/>
      <c r="I30" s="995">
        <f t="shared" si="0"/>
        <v>105.17753988</v>
      </c>
      <c r="J30" s="632"/>
      <c r="M30" s="449"/>
      <c r="N30" s="449"/>
    </row>
    <row r="31" spans="1:14" ht="15" customHeight="1">
      <c r="A31" s="421"/>
      <c r="B31" s="465"/>
      <c r="C31" s="465" t="str">
        <f>IF(Indice_index!$Z$1=1,"Apoio extraordinário à retoma progressiva de atividade","Extraordinary support for the progressive resumption of activity")</f>
        <v>Extraordinary support for the progressive resumption of activity</v>
      </c>
      <c r="D31" s="465" t="str">
        <f>IF(Indice_index!$Z$1=1,"D.04 - Transf. Correntes","D.04 - Current transfers")</f>
        <v>D.04 - Current transfers</v>
      </c>
      <c r="E31" s="994" t="s">
        <v>504</v>
      </c>
      <c r="F31" s="994">
        <v>44.628488579999996</v>
      </c>
      <c r="G31" s="994"/>
      <c r="H31" s="994"/>
      <c r="I31" s="995">
        <f t="shared" si="0"/>
        <v>44.628488579999996</v>
      </c>
      <c r="J31" s="632"/>
    </row>
    <row r="32" spans="1:14" ht="15" customHeight="1">
      <c r="A32" s="421"/>
      <c r="B32" s="465"/>
      <c r="C32" s="465" t="str">
        <f>IF(Indice_index!$Z$1=1,"Programa Ativar - Bolsas de formação","ATIVAR.PT Program - Training Scholarships")</f>
        <v>ATIVAR.PT Program - Training Scholarships</v>
      </c>
      <c r="D32" s="465" t="str">
        <f>IF(Indice_index!$Z$1=1,"D.04 - Transf. Correntes","D.04 - Current transfers")</f>
        <v>D.04 - Current transfers</v>
      </c>
      <c r="E32" s="994">
        <v>58.467956590000007</v>
      </c>
      <c r="F32" s="994"/>
      <c r="G32" s="994"/>
      <c r="H32" s="994"/>
      <c r="I32" s="995">
        <f t="shared" si="0"/>
        <v>58.467956590000007</v>
      </c>
      <c r="J32" s="632"/>
    </row>
    <row r="33" spans="1:14" s="421" customFormat="1" ht="15" customHeight="1">
      <c r="B33" s="465"/>
      <c r="C33" s="465" t="str">
        <f>IF(Indice_index!$Z$1=1,"Subsídios de assistência a filho e a neto","Allowances for child and grandchild's care")</f>
        <v>Allowances for child and grandchild's care</v>
      </c>
      <c r="D33" s="465" t="str">
        <f>IF(Indice_index!$Z$1=1,"D.04 - Transf. Correntes","D.04 - Current transfers")</f>
        <v>D.04 - Current transfers</v>
      </c>
      <c r="E33" s="994" t="s">
        <v>504</v>
      </c>
      <c r="F33" s="994">
        <v>15.33098156</v>
      </c>
      <c r="G33" s="994"/>
      <c r="H33" s="994"/>
      <c r="I33" s="995">
        <f t="shared" si="0"/>
        <v>15.33098156</v>
      </c>
      <c r="J33" s="632"/>
      <c r="M33" s="449"/>
      <c r="N33" s="449"/>
    </row>
    <row r="34" spans="1:14" s="421" customFormat="1" ht="15" customHeight="1">
      <c r="B34" s="465"/>
      <c r="C34" s="465" t="str">
        <f>IF(Indice_index!$Z$1=1,"Outros apoios de proteção social","Other social protection benefits")</f>
        <v>Other social protection benefits</v>
      </c>
      <c r="D34" s="465" t="str">
        <f>IF(Indice_index!$Z$1=1,"D.04 - Transf. Correntes","D.04 - Current transfers")</f>
        <v>D.04 - Current transfers</v>
      </c>
      <c r="E34" s="994" t="s">
        <v>504</v>
      </c>
      <c r="F34" s="994">
        <v>4.4167374299999995</v>
      </c>
      <c r="G34" s="994"/>
      <c r="H34" s="994">
        <v>15.930967430000004</v>
      </c>
      <c r="I34" s="995">
        <f t="shared" si="0"/>
        <v>20.347704860000004</v>
      </c>
      <c r="J34" s="632"/>
      <c r="M34" s="449"/>
      <c r="N34" s="449"/>
    </row>
    <row r="35" spans="1:14" s="421" customFormat="1" ht="15" customHeight="1">
      <c r="B35" s="465"/>
      <c r="C35" s="465" t="str">
        <f>IF(Indice_index!$Z$1=1,"Apoio extraordinário serviços públicos de transporte de passageiros","Extraordinary financial support for public passenger transport services")</f>
        <v>Extraordinary financial support for public passenger transport services</v>
      </c>
      <c r="D35" s="465" t="str">
        <f>IF(Indice_index!$Z$1=1,"D.04 - Transf. Correntes","D.04 - Current transfers")</f>
        <v>D.04 - Current transfers</v>
      </c>
      <c r="E35" s="994">
        <v>34.272554</v>
      </c>
      <c r="F35" s="994"/>
      <c r="G35" s="994"/>
      <c r="H35" s="994"/>
      <c r="I35" s="995">
        <f t="shared" si="0"/>
        <v>34.272554</v>
      </c>
      <c r="J35" s="632"/>
      <c r="K35" s="439"/>
      <c r="M35" s="449"/>
      <c r="N35" s="449"/>
    </row>
    <row r="36" spans="1:14" ht="15" customHeight="1">
      <c r="A36" s="421"/>
      <c r="B36" s="465"/>
      <c r="C36" s="465" t="str">
        <f>IF(Indice_index!$Z$1=1,"Layoff simplificado","Simplified layoff")</f>
        <v>Simplified layoff</v>
      </c>
      <c r="D36" s="465" t="str">
        <f>IF(Indice_index!$Z$1=1,"D.04 - Transf. Correntes","D.04 - Current transfers")</f>
        <v>D.04 - Current transfers</v>
      </c>
      <c r="E36" s="994">
        <v>0</v>
      </c>
      <c r="F36" s="994">
        <v>9.3467716899999971</v>
      </c>
      <c r="G36" s="994"/>
      <c r="H36" s="994"/>
      <c r="I36" s="995">
        <f t="shared" si="0"/>
        <v>9.3467716899999971</v>
      </c>
      <c r="J36" s="632"/>
    </row>
    <row r="37" spans="1:14" ht="15" customHeight="1">
      <c r="A37" s="421"/>
      <c r="B37" s="465"/>
      <c r="C37" s="465" t="str">
        <f>IF(Indice_index!$Z$1=1,"Apoios sociais às famílias","Social benefits to families")</f>
        <v>Social benefits to families</v>
      </c>
      <c r="D37" s="465" t="str">
        <f>IF(Indice_index!$Z$1=1,"D.04 - Transf. Correntes","D.04 - Current transfers")</f>
        <v>D.04 - Current transfers</v>
      </c>
      <c r="E37" s="994" t="s">
        <v>504</v>
      </c>
      <c r="F37" s="994">
        <v>8.1618222699999983</v>
      </c>
      <c r="G37" s="994"/>
      <c r="H37" s="994"/>
      <c r="I37" s="995">
        <f t="shared" si="0"/>
        <v>8.1618222699999983</v>
      </c>
      <c r="J37" s="632"/>
    </row>
    <row r="38" spans="1:14" s="421" customFormat="1" ht="15" customHeight="1">
      <c r="B38" s="465"/>
      <c r="C38" s="465" t="str">
        <f>IF(Indice_index!$Z$1=1,"Programa Garantir Cultura","Guarantee Culture Program")</f>
        <v>Guarantee Culture Program</v>
      </c>
      <c r="D38" s="465" t="str">
        <f>IF(Indice_index!$Z$1=1,"D.04 - Transf. Correntes","D.04 - Current transfers")</f>
        <v>D.04 - Current transfers</v>
      </c>
      <c r="E38" s="994">
        <v>7.3612144100000014</v>
      </c>
      <c r="F38" s="994"/>
      <c r="G38" s="994"/>
      <c r="H38" s="994"/>
      <c r="I38" s="995">
        <f t="shared" si="0"/>
        <v>7.3612144100000014</v>
      </c>
      <c r="J38" s="632"/>
      <c r="M38" s="449"/>
      <c r="N38" s="449"/>
    </row>
    <row r="39" spans="1:14" s="421" customFormat="1" ht="15" customHeight="1">
      <c r="B39" s="465"/>
      <c r="C39" s="465" t="str">
        <f>IF(Indice_index!$Z$1=1,"Apoios ao emprego (inclui complementos layoff)","Employment benefits (include layoff complements)")</f>
        <v>Employment benefits (include layoff complements)</v>
      </c>
      <c r="D39" s="465" t="str">
        <f>IF(Indice_index!$Z$1=1,"D.04 - Transf. Correntes","D.04 - Current transfers")</f>
        <v>D.04 - Current transfers</v>
      </c>
      <c r="E39" s="994" t="s">
        <v>504</v>
      </c>
      <c r="F39" s="994"/>
      <c r="G39" s="994">
        <v>5.72811717</v>
      </c>
      <c r="H39" s="994"/>
      <c r="I39" s="995">
        <f t="shared" si="0"/>
        <v>5.72811717</v>
      </c>
      <c r="J39" s="632"/>
      <c r="M39" s="449"/>
      <c r="N39" s="449"/>
    </row>
    <row r="40" spans="1:14" s="421" customFormat="1" ht="15" customHeight="1">
      <c r="B40" s="465"/>
      <c r="C40" s="465" t="str">
        <f>IF(Indice_index!$Z$1=1,"Apoio Social Extraordinário para Profissionais da Cultura","Extraordinary Social Benefit for Culture Professionals")</f>
        <v>Extraordinary Social Benefit for Culture Professionals</v>
      </c>
      <c r="D40" s="465" t="str">
        <f>IF(Indice_index!$Z$1=1,"D.04 - Transf. Correntes","D.04 - Current transfers")</f>
        <v>D.04 - Current transfers</v>
      </c>
      <c r="E40" s="994">
        <v>3.6981081800000002</v>
      </c>
      <c r="F40" s="994"/>
      <c r="G40" s="994"/>
      <c r="H40" s="994"/>
      <c r="I40" s="995">
        <f t="shared" si="0"/>
        <v>3.6981081800000002</v>
      </c>
      <c r="J40" s="632"/>
      <c r="M40" s="449"/>
      <c r="N40" s="449"/>
    </row>
    <row r="41" spans="1:14" s="421" customFormat="1" ht="15" customHeight="1">
      <c r="B41" s="465"/>
      <c r="C41" s="465" t="str">
        <f>IF(Indice_index!$Z$1=1,"Programa Vale Eficiência ","Financial support program for energy efficiency")</f>
        <v>Financial support program for energy efficiency</v>
      </c>
      <c r="D41" s="465" t="str">
        <f>IF(Indice_index!$Z$1=1,"D.04 - Transf. Correntes","D.04 - Current transfers")</f>
        <v>D.04 - Current transfers</v>
      </c>
      <c r="E41" s="994">
        <v>7.20902376</v>
      </c>
      <c r="F41" s="994"/>
      <c r="G41" s="994"/>
      <c r="H41" s="994"/>
      <c r="I41" s="995">
        <f t="shared" si="0"/>
        <v>7.20902376</v>
      </c>
      <c r="J41" s="632"/>
      <c r="M41" s="449"/>
      <c r="N41" s="449"/>
    </row>
    <row r="42" spans="1:14" ht="15" customHeight="1">
      <c r="A42" s="421"/>
      <c r="B42" s="465"/>
      <c r="C42" s="465" t="str">
        <f>IF(Indice_index!$Z$1=1,"Prestações por doenças profissionais","Benefits for professional illnesses")</f>
        <v>Benefits for professional illnesses</v>
      </c>
      <c r="D42" s="465" t="str">
        <f>IF(Indice_index!$Z$1=1,"D.04 - Transf. Correntes","D.04 - Current transfers")</f>
        <v>D.04 - Current transfers</v>
      </c>
      <c r="E42" s="994" t="s">
        <v>504</v>
      </c>
      <c r="F42" s="994">
        <v>1.2809023599999998</v>
      </c>
      <c r="G42" s="994"/>
      <c r="H42" s="994"/>
      <c r="I42" s="994">
        <f t="shared" si="0"/>
        <v>1.2809023599999998</v>
      </c>
      <c r="J42" s="421"/>
    </row>
    <row r="43" spans="1:14" s="457" customFormat="1" ht="15" customHeight="1">
      <c r="A43" s="421"/>
      <c r="B43" s="465"/>
      <c r="C43" s="465" t="str">
        <f>IF(Indice_index!$Z$1=1,"Apoio a associações humanitárias de bombeiros","Financial support to humanitarian firefighters associations")</f>
        <v>Financial support to humanitarian firefighters associations</v>
      </c>
      <c r="D43" s="465" t="str">
        <f>IF(Indice_index!$Z$1=1,"D.04 - Transf. Correntes","D.04 - Current transfers")</f>
        <v>D.04 - Current transfers</v>
      </c>
      <c r="E43" s="994">
        <v>0.15725</v>
      </c>
      <c r="F43" s="994"/>
      <c r="G43" s="994"/>
      <c r="H43" s="994"/>
      <c r="I43" s="995">
        <f t="shared" si="0"/>
        <v>0.15725</v>
      </c>
      <c r="J43" s="633"/>
      <c r="M43" s="458"/>
      <c r="N43" s="458"/>
    </row>
    <row r="44" spans="1:14" s="421" customFormat="1" ht="15" customHeight="1">
      <c r="B44" s="465"/>
      <c r="C44" s="465" t="str">
        <f>IF(Indice_index!$Z$1=1,"Apoios ao setor das pescas","Benefits to fisheries sector")</f>
        <v>Benefits to fisheries sector</v>
      </c>
      <c r="D44" s="465" t="str">
        <f>IF(Indice_index!$Z$1=1,"D.04 - Transf. Correntes","D.04 - Current transfers")</f>
        <v>D.04 - Current transfers</v>
      </c>
      <c r="E44" s="994">
        <v>0.10065001999999999</v>
      </c>
      <c r="F44" s="994"/>
      <c r="G44" s="994"/>
      <c r="H44" s="994"/>
      <c r="I44" s="995">
        <f t="shared" si="0"/>
        <v>0.10065001999999999</v>
      </c>
      <c r="J44" s="632"/>
      <c r="M44" s="449"/>
      <c r="N44" s="449"/>
    </row>
    <row r="45" spans="1:14" ht="15" customHeight="1">
      <c r="A45" s="421"/>
      <c r="B45" s="465"/>
      <c r="C45" s="465" t="str">
        <f>IF(Indice_index!$Z$1=1,"Apoios a setores de produção agrícola","Benefits to agricultural production sectors")</f>
        <v>Benefits to agricultural production sectors</v>
      </c>
      <c r="D45" s="465" t="str">
        <f>IF(Indice_index!$Z$1=1,"D.04 - Transf. Correntes","D.04 - Current transfers")</f>
        <v>D.04 - Current transfers</v>
      </c>
      <c r="E45" s="994">
        <v>8.2524270000000011E-2</v>
      </c>
      <c r="F45" s="994"/>
      <c r="G45" s="994"/>
      <c r="H45" s="994"/>
      <c r="I45" s="995">
        <f t="shared" si="0"/>
        <v>8.2524270000000011E-2</v>
      </c>
      <c r="J45" s="632"/>
    </row>
    <row r="46" spans="1:14" ht="15" customHeight="1">
      <c r="A46" s="421"/>
      <c r="B46" s="465"/>
      <c r="C46" s="465" t="str">
        <f>IF(Indice_index!$Z$1=1,"Outros apoios","Other Central Government support expenditure")</f>
        <v>Other Central Government support expenditure</v>
      </c>
      <c r="D46" s="465" t="str">
        <f>IF(Indice_index!$Z$1=1,"D.04 - Transf. Correntes","D.04 - Current transfers")</f>
        <v>D.04 - Current transfers</v>
      </c>
      <c r="E46" s="994">
        <v>6.6835295000000006</v>
      </c>
      <c r="F46" s="994"/>
      <c r="G46" s="994">
        <v>14.46177089</v>
      </c>
      <c r="H46" s="994"/>
      <c r="I46" s="995">
        <f t="shared" si="0"/>
        <v>21.145300390000003</v>
      </c>
      <c r="J46" s="632"/>
    </row>
    <row r="47" spans="1:14" ht="15" customHeight="1">
      <c r="A47" s="421"/>
      <c r="B47" s="465"/>
      <c r="C47" s="465" t="str">
        <f>IF(Indice_index!$Z$1=1,"Programa Ativar","ATIVAR.PT Program")</f>
        <v>ATIVAR.PT Program</v>
      </c>
      <c r="D47" s="465" t="str">
        <f>IF(Indice_index!$Z$1=1,"D.05 - Subsídios","D.05 - Subsidies")</f>
        <v>D.05 - Subsidies</v>
      </c>
      <c r="E47" s="994">
        <v>205.72121581999994</v>
      </c>
      <c r="F47" s="994"/>
      <c r="G47" s="994"/>
      <c r="H47" s="994"/>
      <c r="I47" s="995">
        <f t="shared" si="0"/>
        <v>205.72121581999994</v>
      </c>
      <c r="J47" s="632"/>
    </row>
    <row r="48" spans="1:14" ht="15" customHeight="1">
      <c r="A48" s="421"/>
      <c r="B48" s="465"/>
      <c r="C48" s="465" t="str">
        <f>IF(Indice_index!$Z$1=1,"Novo incentivo à normalização da atividade empresarial","New extraordinary incentive to normalization")</f>
        <v>New extraordinary incentive to normalization</v>
      </c>
      <c r="D48" s="465" t="str">
        <f>IF(Indice_index!$Z$1=1,"D.05 - Subsídios","D.05 - Subsidies")</f>
        <v>D.05 - Subsidies</v>
      </c>
      <c r="E48" s="994">
        <v>117.14092712</v>
      </c>
      <c r="F48" s="994"/>
      <c r="G48" s="994"/>
      <c r="H48" s="994"/>
      <c r="I48" s="995">
        <f t="shared" ref="I48:I65" si="1">SUM(E48:H48)</f>
        <v>117.14092712</v>
      </c>
      <c r="J48" s="632"/>
      <c r="K48" s="517"/>
    </row>
    <row r="49" spans="1:10" ht="15" customHeight="1">
      <c r="A49" s="421"/>
      <c r="B49" s="465"/>
      <c r="C49" s="465" t="str">
        <f>+IF(Indice_index!$Z$1=1,"Programa AUTOvoucher","AUTOvoucher Program")</f>
        <v>AUTOvoucher Program</v>
      </c>
      <c r="D49" s="465" t="str">
        <f>IF(Indice_index!$Z$1=1,"D.05 - Subsídios","D.05 - Subsidies")</f>
        <v>D.05 - Subsidies</v>
      </c>
      <c r="E49" s="994">
        <v>30</v>
      </c>
      <c r="F49" s="994"/>
      <c r="G49" s="1582"/>
      <c r="H49" s="1582"/>
      <c r="I49" s="995">
        <f t="shared" si="1"/>
        <v>30</v>
      </c>
      <c r="J49" s="632"/>
    </row>
    <row r="50" spans="1:10" ht="15" customHeight="1">
      <c r="A50" s="421"/>
      <c r="B50" s="465"/>
      <c r="C50" s="465" t="str">
        <f>IF(Indice_index!$Z$1=1,"Reforço de emergência de equipamentos sociais e de saúde","Emergency reinforcement of social and health facilities")</f>
        <v>Emergency reinforcement of social and health facilities</v>
      </c>
      <c r="D50" s="465" t="str">
        <f>IF(Indice_index!$Z$1=1,"D.05 - Subsídios","D.05 - Subsidies")</f>
        <v>D.05 - Subsidies</v>
      </c>
      <c r="E50" s="994">
        <v>13.11100813</v>
      </c>
      <c r="F50" s="994">
        <v>0.57952155000000005</v>
      </c>
      <c r="G50" s="994"/>
      <c r="H50" s="994"/>
      <c r="I50" s="995">
        <f t="shared" si="1"/>
        <v>13.690529680000001</v>
      </c>
      <c r="J50" s="632"/>
    </row>
    <row r="51" spans="1:10" ht="15" customHeight="1">
      <c r="A51" s="421"/>
      <c r="B51" s="465"/>
      <c r="C51" s="465" t="str">
        <f>IF(Indice_index!$Z$1=1,"Apoios ao cinema e audiovisual","Support to cinema and audiovisual activities")</f>
        <v>Support to cinema and audiovisual activities</v>
      </c>
      <c r="D51" s="465" t="str">
        <f>IF(Indice_index!$Z$1=1,"D.05 - Subsídios","D.05 - Subsidies")</f>
        <v>D.05 - Subsidies</v>
      </c>
      <c r="E51" s="994">
        <v>0.80677675999999998</v>
      </c>
      <c r="F51" s="994"/>
      <c r="G51" s="994"/>
      <c r="H51" s="994"/>
      <c r="I51" s="995">
        <f t="shared" si="1"/>
        <v>0.80677675999999998</v>
      </c>
      <c r="J51" s="632"/>
    </row>
    <row r="52" spans="1:10" ht="15" customHeight="1">
      <c r="A52" s="421"/>
      <c r="B52" s="465"/>
      <c r="C52" s="465" t="str">
        <f>IF(Indice_index!$Z$1=1,"Incentivo extraordinário à normalização","Extraordinary incentive to normalization")</f>
        <v>Extraordinary incentive to normalization</v>
      </c>
      <c r="D52" s="465" t="str">
        <f>IF(Indice_index!$Z$1=1,"D.05 - Subsídios","D.05 - Subsidies")</f>
        <v>D.05 - Subsidies</v>
      </c>
      <c r="E52" s="994">
        <v>0.47428774000000001</v>
      </c>
      <c r="F52" s="994"/>
      <c r="G52" s="994"/>
      <c r="H52" s="994"/>
      <c r="I52" s="995">
        <f t="shared" si="1"/>
        <v>0.47428774000000001</v>
      </c>
      <c r="J52" s="632"/>
    </row>
    <row r="53" spans="1:10" ht="15" customHeight="1">
      <c r="A53" s="421"/>
      <c r="B53" s="465"/>
      <c r="C53" s="465" t="str">
        <f>IF(Indice_index!$Z$1=1,"Compromisso e Emprego Sustentável ","Commitment and Sustainable Employment ")</f>
        <v xml:space="preserve">Commitment and Sustainable Employment </v>
      </c>
      <c r="D53" s="465" t="str">
        <f>IF(Indice_index!$Z$1=1,"D.05 - Subsídios","D.05 - Subsidies")</f>
        <v>D.05 - Subsidies</v>
      </c>
      <c r="E53" s="994">
        <v>47.925849280000001</v>
      </c>
      <c r="F53" s="994"/>
      <c r="G53" s="994"/>
      <c r="H53" s="994"/>
      <c r="I53" s="995">
        <f t="shared" si="1"/>
        <v>47.925849280000001</v>
      </c>
      <c r="J53" s="632"/>
    </row>
    <row r="54" spans="1:10" ht="15" customHeight="1">
      <c r="A54" s="421"/>
      <c r="B54" s="465"/>
      <c r="C54" s="465" t="str">
        <f>IF(Indice_index!$Z$1=1,"Outros apoios a empresas","Other benefits to companies")</f>
        <v>Other benefits to companies</v>
      </c>
      <c r="D54" s="465" t="str">
        <f>IF(Indice_index!$Z$1=1,"D.05 - Subsídios","D.05 - Subsidies")</f>
        <v>D.05 - Subsidies</v>
      </c>
      <c r="E54" s="1586">
        <v>2.3720000000000001E-2</v>
      </c>
      <c r="F54" s="994"/>
      <c r="G54" s="994">
        <v>5.6364150599999991</v>
      </c>
      <c r="H54" s="994">
        <v>4.3315289399999992</v>
      </c>
      <c r="I54" s="995">
        <f t="shared" si="1"/>
        <v>9.9916639999999983</v>
      </c>
      <c r="J54" s="632"/>
    </row>
    <row r="55" spans="1:10" ht="15" customHeight="1">
      <c r="A55" s="421"/>
      <c r="B55" s="465"/>
      <c r="C55" s="465" t="str">
        <f>IF(Indice_index!$Z$1=1,"Outros encargos","Other charges")</f>
        <v>Other charges</v>
      </c>
      <c r="D55" s="465" t="str">
        <f>IF(Indice_index!$Z$1=1,"D.06/D.11 - Otr. Desp. Correntes/Capital","D.06 - Other current/capital expenditure")</f>
        <v>D.06 - Other current/capital expenditure</v>
      </c>
      <c r="E55" s="994">
        <v>5.5285835099999998</v>
      </c>
      <c r="F55" s="994"/>
      <c r="G55" s="1582">
        <v>0</v>
      </c>
      <c r="H55" s="1582">
        <v>5.2230420100000003</v>
      </c>
      <c r="I55" s="995">
        <f t="shared" si="1"/>
        <v>10.751625520000001</v>
      </c>
      <c r="J55" s="632"/>
    </row>
    <row r="56" spans="1:10" ht="15" customHeight="1">
      <c r="A56" s="421"/>
      <c r="B56" s="465"/>
      <c r="C56" s="465" t="str">
        <f>IF(Indice_index!$Z$1=1,"Universalização da escola digital","Universalization of the digital school")</f>
        <v>Universalization of the digital school</v>
      </c>
      <c r="D56" s="465" t="str">
        <f>IF(Indice_index!$Z$1=1,"D.07 - Aq. Bens de Capital","D.07 - Investment")</f>
        <v>D.07 - Investment</v>
      </c>
      <c r="E56" s="994">
        <v>206.90919907</v>
      </c>
      <c r="F56" s="994"/>
      <c r="G56" s="994">
        <v>0</v>
      </c>
      <c r="H56" s="994"/>
      <c r="I56" s="995">
        <f t="shared" si="1"/>
        <v>206.90919907</v>
      </c>
      <c r="J56" s="632"/>
    </row>
    <row r="57" spans="1:10" ht="15" customHeight="1">
      <c r="A57" s="421"/>
      <c r="B57" s="465"/>
      <c r="C57" s="465" t="str">
        <f>IF(Indice_index!$Z$1=1,"Saúde: equipamentos e outros","Health: equipment and others")</f>
        <v>Health: equipment and others</v>
      </c>
      <c r="D57" s="465" t="str">
        <f>IF(Indice_index!$Z$1=1,"D.07 - Aq. Bens de Capital","D.07 - Investment")</f>
        <v>D.07 - Investment</v>
      </c>
      <c r="E57" s="994">
        <v>20.469855769999995</v>
      </c>
      <c r="F57" s="994"/>
      <c r="G57" s="994">
        <v>0.90739881999999994</v>
      </c>
      <c r="H57" s="994"/>
      <c r="I57" s="995">
        <f t="shared" si="1"/>
        <v>21.377254589999996</v>
      </c>
      <c r="J57" s="632"/>
    </row>
    <row r="58" spans="1:10" ht="15" customHeight="1">
      <c r="A58" s="421"/>
      <c r="B58" s="465"/>
      <c r="C58" s="465" t="str">
        <f>IF(Indice_index!$Z$1=1,"Apoio ao teletrabalho","Support to teleworking")</f>
        <v>Support to teleworking</v>
      </c>
      <c r="D58" s="465" t="str">
        <f>IF(Indice_index!$Z$1=1,"D.07 - Aq. Bens de Capital","D.07 - Investment")</f>
        <v>D.07 - Investment</v>
      </c>
      <c r="E58" s="994">
        <v>14.861269879999996</v>
      </c>
      <c r="F58" s="994"/>
      <c r="G58" s="994">
        <v>0</v>
      </c>
      <c r="H58" s="994"/>
      <c r="I58" s="995">
        <f t="shared" si="1"/>
        <v>14.861269879999996</v>
      </c>
      <c r="J58" s="632"/>
    </row>
    <row r="59" spans="1:10" ht="15" customHeight="1">
      <c r="A59" s="421"/>
      <c r="B59" s="465"/>
      <c r="C59" s="465" t="str">
        <f>IF(Indice_index!$Z$1=1,"Outros equipamentos","Other equipment")</f>
        <v>Other equipment</v>
      </c>
      <c r="D59" s="465" t="str">
        <f>IF(Indice_index!$Z$1=1,"D.07 - Aq. Bens de Capital","D.07 - Investment")</f>
        <v>D.07 - Investment</v>
      </c>
      <c r="E59" s="994">
        <v>39.8121358</v>
      </c>
      <c r="F59" s="994"/>
      <c r="G59" s="994">
        <v>0.16637500999999999</v>
      </c>
      <c r="H59" s="994">
        <v>1.2676187799999996</v>
      </c>
      <c r="I59" s="995">
        <f t="shared" si="1"/>
        <v>41.246129590000002</v>
      </c>
      <c r="J59" s="632"/>
    </row>
    <row r="60" spans="1:10" ht="15" customHeight="1">
      <c r="A60" s="421"/>
      <c r="B60" s="465"/>
      <c r="C60" s="465" t="str">
        <f>IF(Indice_index!$Z$1=1,"Linha Invest RAM","Invest RAM Line")</f>
        <v>Invest RAM Line</v>
      </c>
      <c r="D60" s="465" t="str">
        <f>IF(Indice_index!$Z$1=1,"D.08 - Transf. Capital","D.08 - Capital transfers")</f>
        <v>D.08 - Capital transfers</v>
      </c>
      <c r="E60" s="994">
        <v>0</v>
      </c>
      <c r="F60" s="994"/>
      <c r="G60" s="994">
        <v>46.081423049999998</v>
      </c>
      <c r="H60" s="994"/>
      <c r="I60" s="995">
        <f t="shared" si="1"/>
        <v>46.081423049999998</v>
      </c>
      <c r="J60" s="632"/>
    </row>
    <row r="61" spans="1:10" ht="15" customHeight="1">
      <c r="A61" s="421"/>
      <c r="B61" s="465"/>
      <c r="C61" s="465" t="str">
        <f>IF(Indice_index!$Z$1=1,"Programa Apoiar.PT - apoios à economia","Apoiar.PT Program - support to economic activity")</f>
        <v>Apoiar.PT Program - support to economic activity</v>
      </c>
      <c r="D61" s="465" t="str">
        <f>IF(Indice_index!$Z$1=1,"D.08 - Transf. Capital","D.08 - Capital transfers")</f>
        <v>D.08 - Capital transfers</v>
      </c>
      <c r="E61" s="994">
        <v>0.69020808999999994</v>
      </c>
      <c r="F61" s="994"/>
      <c r="G61" s="994">
        <v>10.16682389</v>
      </c>
      <c r="H61" s="994"/>
      <c r="I61" s="995">
        <f t="shared" si="1"/>
        <v>10.85703198</v>
      </c>
      <c r="J61" s="632"/>
    </row>
    <row r="62" spans="1:10" ht="15" customHeight="1">
      <c r="A62" s="421"/>
      <c r="B62" s="465"/>
      <c r="C62" s="465" t="str">
        <f>IF(Indice_index!$Z$1=1,"Programa Adaptar Turismo","Adaptar Program")</f>
        <v>Adaptar Program</v>
      </c>
      <c r="D62" s="465" t="str">
        <f>IF(Indice_index!$Z$1=1,"D.08 - Transf. Capital","D.08 - Capital transfers")</f>
        <v>D.08 - Capital transfers</v>
      </c>
      <c r="E62" s="994">
        <v>3.0913347400000002</v>
      </c>
      <c r="F62" s="994"/>
      <c r="G62" s="994">
        <v>0</v>
      </c>
      <c r="H62" s="994"/>
      <c r="I62" s="995">
        <f t="shared" si="1"/>
        <v>3.0913347400000002</v>
      </c>
      <c r="J62" s="632"/>
    </row>
    <row r="63" spans="1:10" ht="15" customHeight="1">
      <c r="A63" s="421"/>
      <c r="B63" s="465"/>
      <c r="C63" s="465" t="str">
        <f>IF(Indice_index!$Z$1=1,"Programa Adaptar","Adaptar Program")</f>
        <v>Adaptar Program</v>
      </c>
      <c r="D63" s="465" t="str">
        <f>IF(Indice_index!$Z$1=1,"D.08 - Transf. Capital","D.08 - Capital transfers")</f>
        <v>D.08 - Capital transfers</v>
      </c>
      <c r="E63" s="994">
        <v>3.0970010000000003E-2</v>
      </c>
      <c r="F63" s="994"/>
      <c r="G63" s="994">
        <v>0.24556051000000001</v>
      </c>
      <c r="H63" s="994"/>
      <c r="I63" s="995">
        <f t="shared" si="1"/>
        <v>0.27653052</v>
      </c>
      <c r="J63" s="632"/>
    </row>
    <row r="64" spans="1:10" ht="15" customHeight="1">
      <c r="A64" s="421"/>
      <c r="B64" s="465"/>
      <c r="C64" s="465" t="str">
        <f>IF(Indice_index!$Z$1=1,"Programa Apoiar Rendas","Apoiar rentals Program")</f>
        <v>Apoiar rentals Program</v>
      </c>
      <c r="D64" s="465" t="str">
        <f>IF(Indice_index!$Z$1=1,"D.08 - Transf. Capital","D.08 - Capital transfers")</f>
        <v>D.08 - Capital transfers</v>
      </c>
      <c r="E64" s="994">
        <v>2.5399359999999999E-2</v>
      </c>
      <c r="F64" s="994"/>
      <c r="G64" s="994">
        <v>0</v>
      </c>
      <c r="H64" s="994"/>
      <c r="I64" s="995">
        <f t="shared" si="1"/>
        <v>2.5399359999999999E-2</v>
      </c>
      <c r="J64" s="632"/>
    </row>
    <row r="65" spans="1:14" s="421" customFormat="1" ht="15" customHeight="1">
      <c r="B65" s="465"/>
      <c r="C65" s="465" t="str">
        <f>IF(Indice_index!$Z$1=1,"Outros apoios","Other benefits")</f>
        <v>Other benefits</v>
      </c>
      <c r="D65" s="465" t="str">
        <f>IF(Indice_index!$Z$1=1,"D.08 - Transf. Capital","D.08 - Capital transfers")</f>
        <v>D.08 - Capital transfers</v>
      </c>
      <c r="E65" s="994">
        <v>15.303973489999999</v>
      </c>
      <c r="F65" s="994"/>
      <c r="G65" s="994">
        <v>19.364412640000001</v>
      </c>
      <c r="H65" s="994">
        <v>1.4285553400000002</v>
      </c>
      <c r="I65" s="995">
        <f t="shared" si="1"/>
        <v>36.096941470000004</v>
      </c>
      <c r="J65" s="632"/>
      <c r="L65" s="439"/>
      <c r="M65" s="449"/>
      <c r="N65" s="449"/>
    </row>
    <row r="66" spans="1:14" ht="4.5" customHeight="1">
      <c r="A66" s="421"/>
      <c r="B66" s="465"/>
      <c r="E66" s="995"/>
      <c r="F66" s="995"/>
      <c r="G66" s="995"/>
      <c r="H66" s="995"/>
      <c r="I66" s="995"/>
      <c r="J66" s="632"/>
    </row>
    <row r="67" spans="1:14" ht="15" customHeight="1">
      <c r="A67" s="421"/>
      <c r="B67" s="465"/>
      <c r="C67" s="1587" t="str">
        <f>IF(Indice_index!$Z$1=1,"Total da Despesa efetiva","Total Effective Expenditure")</f>
        <v>Total Effective Expenditure</v>
      </c>
      <c r="D67" s="1587"/>
      <c r="E67" s="1177">
        <f>SUM(E16:E65)</f>
        <v>2015.3128137100005</v>
      </c>
      <c r="F67" s="997">
        <f>SUM(F16:F65)</f>
        <v>474.90332939000007</v>
      </c>
      <c r="G67" s="997">
        <f>SUM(G16:G65)</f>
        <v>161.33149861999999</v>
      </c>
      <c r="H67" s="997">
        <f>SUM(H16:H65)</f>
        <v>64.525388583999998</v>
      </c>
      <c r="I67" s="997">
        <f>SUM(E67:H67)</f>
        <v>2716.0730303040004</v>
      </c>
      <c r="J67" s="632"/>
    </row>
    <row r="68" spans="1:14" ht="6.65" customHeight="1">
      <c r="A68" s="421"/>
      <c r="B68" s="465"/>
      <c r="C68" s="1587"/>
      <c r="D68" s="1587"/>
      <c r="E68" s="997"/>
      <c r="F68" s="997"/>
      <c r="G68" s="997"/>
      <c r="H68" s="997"/>
      <c r="I68" s="997"/>
      <c r="J68" s="632"/>
    </row>
    <row r="69" spans="1:14" ht="15" customHeight="1">
      <c r="A69" s="421"/>
      <c r="B69" s="465"/>
      <c r="C69" s="1587" t="str">
        <f>IF(Indice_index!$Z$1=1,"Ativos financeiros","Financial assets")</f>
        <v>Financial assets</v>
      </c>
      <c r="D69" s="1587"/>
      <c r="E69" s="997">
        <f>E70+E71+E72</f>
        <v>295.01723114000004</v>
      </c>
      <c r="F69" s="997">
        <f t="shared" ref="F69:H69" si="2">F70+F71</f>
        <v>0</v>
      </c>
      <c r="G69" s="997">
        <f t="shared" si="2"/>
        <v>0</v>
      </c>
      <c r="H69" s="997">
        <f t="shared" si="2"/>
        <v>0</v>
      </c>
      <c r="I69" s="997">
        <f>I70+I71+I72</f>
        <v>295.01723114000004</v>
      </c>
      <c r="J69" s="632"/>
    </row>
    <row r="70" spans="1:14" ht="15" customHeight="1">
      <c r="A70" s="421"/>
      <c r="B70" s="465"/>
      <c r="C70" s="465" t="str">
        <f>IF(Indice_index!$Z$1=1,"Linha de apoio tesouraria MPE","Treasury support line for SME")</f>
        <v>Treasury support line for SME</v>
      </c>
      <c r="D70" s="465" t="str">
        <f>IF(Indice_index!$Z$1=1,"D.09 - Ativos financeiros","D.09 - Financial assets")</f>
        <v>D.09 - Financial assets</v>
      </c>
      <c r="E70" s="994">
        <v>25.474927139999998</v>
      </c>
      <c r="F70" s="994">
        <v>0</v>
      </c>
      <c r="G70" s="994"/>
      <c r="H70" s="994"/>
      <c r="I70" s="994">
        <f t="shared" ref="I70:I72" si="3">SUM(E70:H70)</f>
        <v>25.474927139999998</v>
      </c>
      <c r="J70" s="632"/>
    </row>
    <row r="71" spans="1:14" ht="15" customHeight="1">
      <c r="A71" s="421"/>
      <c r="B71" s="465"/>
      <c r="C71" s="465" t="str">
        <f>IF(Indice_index!$Z$1=1,"Linha de apoio ao turismo","Tourism support line")</f>
        <v>Tourism support line</v>
      </c>
      <c r="D71" s="465" t="str">
        <f>IF(Indice_index!$Z$1=1,"D.09 - Ativos financeiros","D.09 - Financial assets")</f>
        <v>D.09 - Financial assets</v>
      </c>
      <c r="E71" s="994">
        <v>13.13475</v>
      </c>
      <c r="F71" s="994">
        <v>0</v>
      </c>
      <c r="G71" s="994"/>
      <c r="H71" s="994"/>
      <c r="I71" s="994">
        <f t="shared" si="3"/>
        <v>13.13475</v>
      </c>
      <c r="J71" s="632"/>
    </row>
    <row r="72" spans="1:14" ht="15" customHeight="1">
      <c r="A72" s="421"/>
      <c r="B72" s="465"/>
      <c r="C72" s="465" t="str">
        <f>IF(Indice_index!$Z$1=1,"Outros apoios a empresas","Other benefits to companies")</f>
        <v>Other benefits to companies</v>
      </c>
      <c r="D72" s="465" t="str">
        <f>IF(Indice_index!$Z$1=1,"D.09 - Ativos financeiros","D.09 - Financial assets")</f>
        <v>D.09 - Financial assets</v>
      </c>
      <c r="E72" s="994">
        <v>256.407554</v>
      </c>
      <c r="F72" s="994">
        <v>0</v>
      </c>
      <c r="G72" s="606"/>
      <c r="H72" s="606"/>
      <c r="I72" s="994">
        <f t="shared" si="3"/>
        <v>256.407554</v>
      </c>
      <c r="J72" s="632"/>
    </row>
    <row r="73" spans="1:14" ht="15" customHeight="1">
      <c r="A73" s="421"/>
      <c r="B73" s="465"/>
      <c r="C73" s="1587" t="str">
        <f>IF(Indice_index!$Z$1=1,"Total da Despesa Orçamental","Total Expenditure")</f>
        <v>Total Expenditure</v>
      </c>
      <c r="D73" s="1587"/>
      <c r="E73" s="997">
        <f>+E67+E69</f>
        <v>2310.3300448500004</v>
      </c>
      <c r="F73" s="997">
        <f>+F67+F69</f>
        <v>474.90332939000007</v>
      </c>
      <c r="G73" s="997">
        <f>+G67+G69</f>
        <v>161.33149861999999</v>
      </c>
      <c r="H73" s="997">
        <f>+H67+H69</f>
        <v>64.525388583999998</v>
      </c>
      <c r="I73" s="997">
        <f>+I67+I69</f>
        <v>3011.0902614440006</v>
      </c>
      <c r="J73" s="632"/>
    </row>
    <row r="74" spans="1:14" ht="6.65" customHeight="1">
      <c r="A74" s="421"/>
      <c r="B74" s="465"/>
      <c r="J74" s="632"/>
    </row>
    <row r="75" spans="1:14" ht="15" customHeight="1">
      <c r="A75" s="421"/>
      <c r="B75" s="465"/>
      <c r="C75" s="1587" t="str">
        <f>IF(Indice_index!$Z$1=1,"Operações Extra-orçamentais","Extra-budgetary operations")</f>
        <v>Extra-budgetary operations</v>
      </c>
      <c r="D75" s="1587"/>
      <c r="E75" s="997"/>
      <c r="F75" s="997"/>
      <c r="G75" s="997"/>
      <c r="H75" s="997"/>
      <c r="I75" s="997"/>
      <c r="J75" s="632"/>
      <c r="K75" s="460"/>
    </row>
    <row r="76" spans="1:14" ht="15" customHeight="1">
      <c r="A76" s="421"/>
      <c r="B76" s="465"/>
      <c r="C76" s="465" t="str">
        <f>IF(Indice_index!$Z$1=1,"Programa Apoiar.PT - apoios à economia","Apoiar.PT Program - support to economic activity")</f>
        <v>Apoiar.PT Program - support to economic activity</v>
      </c>
      <c r="D76" s="465" t="str">
        <f>IF(Indice_index!$Z$1=1,"D.12 - Operações extra-orçamentais","D.12 - Extra-budgetary operations")</f>
        <v>D.12 - Extra-budgetary operations</v>
      </c>
      <c r="E76" s="994">
        <v>34.314402189999996</v>
      </c>
      <c r="F76" s="994">
        <v>0</v>
      </c>
      <c r="G76" s="995"/>
      <c r="H76" s="995"/>
      <c r="I76" s="995">
        <f t="shared" ref="I76:I82" si="4">SUM(E76:H76)</f>
        <v>34.314402189999996</v>
      </c>
      <c r="J76" s="632"/>
    </row>
    <row r="77" spans="1:14" ht="15" customHeight="1">
      <c r="A77" s="421"/>
      <c r="B77" s="465"/>
      <c r="C77" s="465" t="str">
        <f>IF(Indice_index!$Z$1=1,"Linha de apoio à economia","Economy support line")</f>
        <v>Economy support line</v>
      </c>
      <c r="D77" s="993" t="str">
        <f>IF(Indice_index!$Z$1=1,"D.12 - Operações extra-orçamentais","D.12 - Extra-budgetary operations")</f>
        <v>D.12 - Extra-budgetary operations</v>
      </c>
      <c r="E77" s="994">
        <v>13.798570129999996</v>
      </c>
      <c r="F77" s="994">
        <v>0</v>
      </c>
      <c r="G77" s="995"/>
      <c r="H77" s="995"/>
      <c r="I77" s="995">
        <f t="shared" si="4"/>
        <v>13.798570129999996</v>
      </c>
      <c r="J77" s="632"/>
    </row>
    <row r="78" spans="1:14" ht="15" customHeight="1">
      <c r="A78" s="421"/>
      <c r="B78" s="465"/>
      <c r="C78" s="465" t="str">
        <f>IF(Indice_index!$Z$1=1,"Programa Garantir Cultura","Guarantee Culture Program")</f>
        <v>Guarantee Culture Program</v>
      </c>
      <c r="D78" s="993" t="str">
        <f>IF(Indice_index!$Z$1=1,"D.12 - Operações extra-orçamentais","D.12 - Extra-budgetary operations")</f>
        <v>D.12 - Extra-budgetary operations</v>
      </c>
      <c r="E78" s="994">
        <v>6.1842305</v>
      </c>
      <c r="F78" s="994">
        <v>0</v>
      </c>
      <c r="G78" s="995"/>
      <c r="H78" s="995"/>
      <c r="I78" s="995">
        <f t="shared" si="4"/>
        <v>6.1842305</v>
      </c>
      <c r="J78" s="632"/>
    </row>
    <row r="79" spans="1:14" ht="15" customHeight="1">
      <c r="A79" s="421"/>
      <c r="B79" s="465"/>
      <c r="C79" s="465" t="str">
        <f>IF(Indice_index!$Z$1=1,"Programa Apoiar Rendas","Apoiar rentals Program")</f>
        <v>Apoiar rentals Program</v>
      </c>
      <c r="D79" s="993" t="str">
        <f>IF(Indice_index!$Z$1=1,"D.12 - Operações extra-orçamentais","D.12 - Extra-budgetary operations")</f>
        <v>D.12 - Extra-budgetary operations</v>
      </c>
      <c r="E79" s="994">
        <v>1.82062222</v>
      </c>
      <c r="F79" s="994">
        <v>0</v>
      </c>
      <c r="G79" s="995"/>
      <c r="H79" s="995"/>
      <c r="I79" s="995">
        <f t="shared" si="4"/>
        <v>1.82062222</v>
      </c>
      <c r="J79" s="632"/>
    </row>
    <row r="80" spans="1:14" ht="15" customHeight="1">
      <c r="A80" s="421"/>
      <c r="B80" s="465"/>
      <c r="C80" s="465" t="str">
        <f>IF(Indice_index!$Z$1=1,"Programa Adaptar","Adaptar Program")</f>
        <v>Adaptar Program</v>
      </c>
      <c r="D80" s="993" t="str">
        <f>IF(Indice_index!$Z$1=1,"D.12 - Operações extra-orçamentais","D.12 - Extra-budgetary operations")</f>
        <v>D.12 - Extra-budgetary operations</v>
      </c>
      <c r="E80" s="994">
        <v>2.0077054700000003</v>
      </c>
      <c r="F80" s="994">
        <v>0</v>
      </c>
      <c r="G80" s="995"/>
      <c r="H80" s="995"/>
      <c r="I80" s="995">
        <f t="shared" si="4"/>
        <v>2.0077054700000003</v>
      </c>
      <c r="J80" s="632"/>
    </row>
    <row r="81" spans="1:23" ht="15" customHeight="1">
      <c r="A81" s="421"/>
      <c r="B81" s="465"/>
      <c r="C81" s="465" t="str">
        <f>IF(Indice_index!$Z$1=1,"Programa Apoiar + Simples","Apoiar + Simplex")</f>
        <v>Apoiar + Simplex</v>
      </c>
      <c r="D81" s="993" t="str">
        <f>IF(Indice_index!$Z$1=1,"D.12 - Operações extra-orçamentais","D.12 - Extra-budgetary operations")</f>
        <v>D.12 - Extra-budgetary operations</v>
      </c>
      <c r="E81" s="994">
        <v>0.89214852</v>
      </c>
      <c r="F81" s="994">
        <v>0</v>
      </c>
      <c r="G81" s="995"/>
      <c r="H81" s="995"/>
      <c r="I81" s="995">
        <f>SUM(E81:H81)</f>
        <v>0.89214852</v>
      </c>
      <c r="J81" s="632"/>
    </row>
    <row r="82" spans="1:23" ht="15" customHeight="1">
      <c r="A82" s="421"/>
      <c r="B82" s="465"/>
      <c r="C82" s="465" t="str">
        <f>IF(Indice_index!$Z$1=1,"Outros apoios","Other benefits")</f>
        <v>Other benefits</v>
      </c>
      <c r="D82" s="993" t="str">
        <f>IF(Indice_index!$Z$1=1,"D.12 - Operações extra-orçamentais","D.12 - Extra-budgetary operations")</f>
        <v>D.12 - Extra-budgetary operations</v>
      </c>
      <c r="E82" s="994">
        <v>5.0671930400000003</v>
      </c>
      <c r="F82" s="994">
        <v>0</v>
      </c>
      <c r="G82" s="995"/>
      <c r="H82" s="995"/>
      <c r="I82" s="995">
        <f t="shared" si="4"/>
        <v>5.0671930400000003</v>
      </c>
      <c r="J82" s="632"/>
      <c r="K82" s="1181"/>
    </row>
    <row r="83" spans="1:23" ht="15" customHeight="1">
      <c r="A83" s="421"/>
      <c r="B83" s="465"/>
      <c r="C83" s="1587" t="str">
        <f>IF(Indice_index!$Z$1=1,"Total da Despesa Extra-orçamental","Total Extra-budgetary Expenditure")</f>
        <v>Total Extra-budgetary Expenditure</v>
      </c>
      <c r="D83" s="1587"/>
      <c r="E83" s="997">
        <f>SUM(E76:E82)</f>
        <v>64.084872069999989</v>
      </c>
      <c r="F83" s="997">
        <v>0</v>
      </c>
      <c r="G83" s="997">
        <f>SUM(G76:G82)</f>
        <v>0</v>
      </c>
      <c r="H83" s="997">
        <f>SUM(H76:H82)</f>
        <v>0</v>
      </c>
      <c r="I83" s="997">
        <f>SUM(I76:I82)</f>
        <v>64.084872069999989</v>
      </c>
      <c r="J83" s="632"/>
      <c r="K83" s="1183"/>
    </row>
    <row r="84" spans="1:23" ht="4.5" customHeight="1">
      <c r="A84" s="421"/>
      <c r="B84" s="421"/>
      <c r="C84" s="1590"/>
      <c r="D84" s="1590"/>
      <c r="E84" s="606"/>
      <c r="F84" s="606"/>
      <c r="G84" s="606"/>
      <c r="H84" s="606"/>
      <c r="I84" s="606"/>
      <c r="J84" s="632"/>
    </row>
    <row r="85" spans="1:23" ht="15" customHeight="1">
      <c r="A85" s="421"/>
      <c r="B85" s="421"/>
      <c r="C85" s="1591" t="str">
        <f>IF(Indice_index!$Z$1=1,"Montante Global de despesa ","Global expenditure amount")</f>
        <v>Global expenditure amount</v>
      </c>
      <c r="D85" s="1587"/>
      <c r="E85" s="997">
        <f>+E83+E73</f>
        <v>2374.4149169200005</v>
      </c>
      <c r="F85" s="997">
        <f>+F83+F73</f>
        <v>474.90332939000007</v>
      </c>
      <c r="G85" s="997">
        <f>+G83+G73</f>
        <v>161.33149861999999</v>
      </c>
      <c r="H85" s="997">
        <f>+H83+H73</f>
        <v>64.525388583999998</v>
      </c>
      <c r="I85" s="997">
        <f>+I83+I73</f>
        <v>3075.1751335140007</v>
      </c>
      <c r="J85" s="655"/>
      <c r="K85" s="1181"/>
    </row>
    <row r="86" spans="1:23" ht="4.5" customHeight="1">
      <c r="A86" s="421"/>
      <c r="B86" s="421"/>
      <c r="C86" s="1592"/>
      <c r="D86" s="1592"/>
      <c r="E86" s="1583"/>
      <c r="F86" s="1583"/>
      <c r="G86" s="1583"/>
      <c r="H86" s="1583"/>
      <c r="I86" s="1583"/>
      <c r="J86" s="632"/>
    </row>
    <row r="87" spans="1:23" ht="15" customHeight="1">
      <c r="A87" s="421"/>
      <c r="B87" s="421"/>
      <c r="C87" s="1593" t="str">
        <f>IF(Indice_index!$Z$1=1,"Notas:","Notes:")</f>
        <v>Notes:</v>
      </c>
      <c r="D87" s="1594"/>
      <c r="E87" s="1595"/>
      <c r="F87" s="1584"/>
      <c r="G87" s="1584"/>
      <c r="H87" s="1584"/>
      <c r="I87" s="1584"/>
      <c r="J87" s="632"/>
    </row>
    <row r="88" spans="1:23" ht="47.25" customHeight="1">
      <c r="C88" s="1692" t="str">
        <f>IF(Indice_index!$Z$1=1,"A execução da despesa decorre dos sistemas de execução e de reporte da execução das entidades (registado nas Medidas 095 - 'Contingência COVID-2019 - prevenção, contenção, mitigação e tratamento' e 096 - 'Contingência COVID 2019 – garantir normalidade'"&amp;C180,C181)</f>
        <v>The expenditure implementation results from the execution and reporting systems of the entities' budget execution (accounted in budgetary measures 095 - 'Contingency COVID-2019 - prevention, containment, mitigation and treatment' and 096 - 'Contingency COVID 2019 - ensuring normality', created by DGO Circular No. 1398, Measures 097 - 'Ativar Program' and 098 - 'Extraordinary Incentive to Normalization', created with Law No. 27-A/2020, of July 24 (2020 Supplementary State Budget Law), measure 099 - 'Universalization of the Digital School', created with Law nº 75-B / 2020, of December 31 - 2021 State Budget Law and measure 102 - "Recovery and Resilience plan").</v>
      </c>
      <c r="D88" s="1692"/>
      <c r="E88" s="1692"/>
      <c r="F88" s="1692"/>
      <c r="G88" s="1692"/>
      <c r="H88" s="1692"/>
      <c r="I88" s="1692"/>
      <c r="K88" s="1182"/>
    </row>
    <row r="89" spans="1:23" ht="15" customHeight="1">
      <c r="C89" s="1698" t="s">
        <v>597</v>
      </c>
      <c r="D89" s="1698" t="s">
        <v>597</v>
      </c>
      <c r="E89" s="1698" t="s">
        <v>597</v>
      </c>
      <c r="F89" s="1698" t="s">
        <v>597</v>
      </c>
      <c r="G89" s="1698" t="s">
        <v>597</v>
      </c>
      <c r="H89" s="1698" t="s">
        <v>597</v>
      </c>
      <c r="I89" s="1698" t="s">
        <v>597</v>
      </c>
    </row>
    <row r="90" spans="1:23" ht="25.4" customHeight="1">
      <c r="C90" s="1692" t="str">
        <f>IF(Indice_index!$Z$1=1,"A informação da Segurança Social compreende a execução associada aos subsistemas de Solidariedade, Proteção Familiar, Previdencial e Ação Social, bem como outras despesas realizadas pelas instituições integradas neste setor.","The Social Security information comprises the execution associated with the Solidarity, Family Protection, Social Security and Social Action subsystems, as well as other expenditure incurred by the institutions belonging to this sector.")</f>
        <v>The Social Security information comprises the execution associated with the Solidarity, Family Protection, Social Security and Social Action subsystems, as well as other expenditure incurred by the institutions belonging to this sector.</v>
      </c>
      <c r="D90" s="1692" t="s">
        <v>599</v>
      </c>
      <c r="E90" s="1692" t="s">
        <v>599</v>
      </c>
      <c r="F90" s="1692" t="s">
        <v>599</v>
      </c>
      <c r="G90" s="1692" t="s">
        <v>599</v>
      </c>
      <c r="H90" s="1692" t="s">
        <v>599</v>
      </c>
      <c r="I90" s="1692" t="s">
        <v>599</v>
      </c>
    </row>
    <row r="91" spans="1:23" ht="15" customHeight="1">
      <c r="C91" s="1698" t="str">
        <f>IF(Indice_index!$Z$1=1,"Os dados da Administração Regional e Local são provisórios.","Data from regional and local governments are provisional.")</f>
        <v>Data from regional and local governments are provisional.</v>
      </c>
      <c r="D91" s="1698" t="s">
        <v>600</v>
      </c>
      <c r="E91" s="1698" t="s">
        <v>600</v>
      </c>
      <c r="F91" s="1698" t="s">
        <v>600</v>
      </c>
      <c r="G91" s="1698" t="s">
        <v>600</v>
      </c>
      <c r="H91" s="1698" t="s">
        <v>600</v>
      </c>
      <c r="I91" s="1698" t="s">
        <v>600</v>
      </c>
    </row>
    <row r="92" spans="1:23" ht="15.75" customHeight="1">
      <c r="C92" s="1701" t="str">
        <f>IF(Indice_index!$Z$1=1,"O subsector da Administração Local inclui municípios e freguesias (no caso das freguesias o reporte encontra-se suspenso desde junho de 2022).","The Local Administration subsector includes municipalities and parishes (in the case of parishes, reporting has been suspended since June 2022).")</f>
        <v>The Local Administration subsector includes municipalities and parishes (in the case of parishes, reporting has been suspended since June 2022).</v>
      </c>
      <c r="D92" s="1701"/>
      <c r="E92" s="1701"/>
      <c r="F92" s="1701"/>
      <c r="G92" s="1701"/>
      <c r="H92" s="1701"/>
      <c r="I92" s="1596"/>
    </row>
    <row r="93" spans="1:23" s="421" customFormat="1" ht="4.5" customHeight="1">
      <c r="C93" s="1597"/>
      <c r="D93" s="1597"/>
      <c r="E93" s="1585"/>
      <c r="F93" s="1585"/>
      <c r="G93" s="1585"/>
      <c r="H93" s="1585"/>
      <c r="I93" s="1585"/>
      <c r="J93" s="632"/>
      <c r="M93" s="449"/>
      <c r="N93" s="449"/>
      <c r="P93" s="437"/>
      <c r="Q93" s="437"/>
      <c r="R93" s="437"/>
      <c r="S93" s="437"/>
      <c r="T93" s="437"/>
      <c r="U93" s="437"/>
      <c r="V93" s="437"/>
      <c r="W93" s="437"/>
    </row>
    <row r="94" spans="1:23" s="421" customFormat="1" ht="15" customHeight="1">
      <c r="C94" s="1598" t="s">
        <v>598</v>
      </c>
      <c r="D94" s="1597"/>
      <c r="E94" s="1585"/>
      <c r="F94" s="1585"/>
      <c r="G94" s="1585"/>
      <c r="H94" s="1585"/>
      <c r="I94" s="1585"/>
      <c r="J94" s="632"/>
      <c r="M94" s="449"/>
      <c r="N94" s="449"/>
      <c r="Q94" s="437"/>
      <c r="S94" s="437"/>
      <c r="U94" s="437"/>
    </row>
    <row r="95" spans="1:23" ht="12.75" customHeight="1">
      <c r="C95" s="1692" t="str">
        <f>IF(Indice_index!$Z$1=1,"Direção-Geral do Orçamento, Autoridade Tributária e Aduaneira, Ministério das Finanças, Instituto de Gestão Financeira da Segurança Social, I.P."&amp;C102,"Budget General Directorate, Tax and Customs Authority, Ministry of Finance, Social Security Finance Management Institute"&amp;C103)</f>
        <v>Budget General Directorate, Tax and Customs Authority, Ministry of Finance, Social Security Finance Management InstituteCoordinating entities of the Budgetaries Programs, Azores Autonomous Region Budget and Treasury Regional Directorate, Madeira Autonomous Region Budget and Treasury Regional Directorate and Directorate-General for Local Authorities</v>
      </c>
      <c r="D95" s="1692"/>
      <c r="E95" s="1692"/>
      <c r="F95" s="1692"/>
      <c r="G95" s="1692"/>
      <c r="H95" s="1692"/>
      <c r="I95" s="1692"/>
    </row>
    <row r="96" spans="1:23" ht="22.5" customHeight="1">
      <c r="C96" s="1692"/>
      <c r="D96" s="1692"/>
      <c r="E96" s="1692"/>
      <c r="F96" s="1692"/>
      <c r="G96" s="1692"/>
      <c r="H96" s="1692"/>
      <c r="I96" s="1692"/>
    </row>
    <row r="98" spans="3:9">
      <c r="C98" s="610"/>
      <c r="D98" s="610"/>
      <c r="E98" s="611"/>
      <c r="F98" s="611"/>
      <c r="I98" s="611"/>
    </row>
    <row r="99" spans="3:9">
      <c r="C99" s="610"/>
      <c r="D99" s="610"/>
      <c r="E99" s="611"/>
      <c r="F99" s="611"/>
      <c r="I99" s="611"/>
    </row>
    <row r="100" spans="3:9">
      <c r="C100" s="610"/>
      <c r="D100" s="610"/>
      <c r="E100" s="611"/>
      <c r="F100" s="611"/>
      <c r="I100" s="611"/>
    </row>
    <row r="101" spans="3:9">
      <c r="C101" s="1700"/>
      <c r="D101" s="1700"/>
      <c r="E101" s="1700"/>
      <c r="F101" s="1700"/>
      <c r="G101" s="1700"/>
      <c r="H101" s="1700"/>
      <c r="I101" s="1700"/>
    </row>
    <row r="102" spans="3:9">
      <c r="C102" s="1611" t="s">
        <v>613</v>
      </c>
      <c r="D102" s="610"/>
      <c r="E102" s="611"/>
      <c r="F102" s="611"/>
      <c r="I102" s="611"/>
    </row>
    <row r="103" spans="3:9">
      <c r="C103" s="569" t="s">
        <v>614</v>
      </c>
    </row>
    <row r="114" spans="3:9">
      <c r="C114" s="1699"/>
      <c r="D114" s="1699"/>
      <c r="E114" s="1699"/>
      <c r="F114" s="1699"/>
      <c r="G114" s="1699"/>
      <c r="H114" s="1699"/>
      <c r="I114" s="1699"/>
    </row>
    <row r="115" spans="3:9">
      <c r="C115" s="568"/>
    </row>
    <row r="180" spans="3:3">
      <c r="C180" s="569" t="s">
        <v>68</v>
      </c>
    </row>
    <row r="181" spans="3:3">
      <c r="C181" s="569" t="s">
        <v>69</v>
      </c>
    </row>
  </sheetData>
  <mergeCells count="10">
    <mergeCell ref="C2:I2"/>
    <mergeCell ref="C114:I114"/>
    <mergeCell ref="C95:I96"/>
    <mergeCell ref="C91:I91"/>
    <mergeCell ref="C89:I89"/>
    <mergeCell ref="C88:I88"/>
    <mergeCell ref="C90:I90"/>
    <mergeCell ref="C101:I101"/>
    <mergeCell ref="C4:I4"/>
    <mergeCell ref="C92:H92"/>
  </mergeCells>
  <printOptions horizontalCentered="1"/>
  <pageMargins left="0.70866141732283472" right="0.70866141732283472" top="0.74803149606299213" bottom="0.74803149606299213" header="0.74803149606299213" footer="0.35433070866141736"/>
  <pageSetup paperSize="9" scale="50" orientation="portrait" r:id="rId1"/>
  <headerFooter differentOddEven="1">
    <oddFooter>&amp;R&amp;G</oddFooter>
    <evenFooter>&amp;L&amp;G</even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9"/>
  <dimension ref="B1:T96"/>
  <sheetViews>
    <sheetView showGridLines="0" zoomScaleNormal="100" zoomScaleSheetLayoutView="100" workbookViewId="0">
      <selection activeCell="B2" sqref="B2"/>
    </sheetView>
  </sheetViews>
  <sheetFormatPr defaultColWidth="9.1796875" defaultRowHeight="10.5"/>
  <cols>
    <col min="1" max="1" width="1.1796875" style="22" customWidth="1"/>
    <col min="2" max="2" width="4.453125" style="22" customWidth="1"/>
    <col min="3" max="3" width="36.453125" style="22" customWidth="1"/>
    <col min="4" max="10" width="9.453125" style="22" customWidth="1"/>
    <col min="11" max="11" width="8.54296875" style="22" customWidth="1"/>
    <col min="12" max="12" width="8.54296875" style="23" customWidth="1"/>
    <col min="13" max="16" width="8.54296875" style="22" customWidth="1"/>
    <col min="17" max="17" width="7.54296875" style="22" customWidth="1"/>
    <col min="18" max="18" width="12" style="22" bestFit="1" customWidth="1"/>
    <col min="19" max="19" width="7.54296875" style="24" customWidth="1"/>
    <col min="20" max="20" width="9.1796875" style="24"/>
    <col min="21" max="16384" width="9.1796875" style="22"/>
  </cols>
  <sheetData>
    <row r="1" spans="2:20" ht="15" customHeight="1"/>
    <row r="2" spans="2:20" ht="24" customHeight="1">
      <c r="B2" s="8"/>
      <c r="C2" s="21" t="str">
        <f>IF(Indice_index!$Z$1=1,"5 - Conta Consolidada da Administração Central e Segurança Social","5 - Central Government and Social Security Consolidated Account")</f>
        <v>5 - Central Government and Social Security Consolidated Account</v>
      </c>
      <c r="D2" s="21"/>
      <c r="E2" s="21"/>
      <c r="F2" s="21"/>
      <c r="G2" s="21"/>
      <c r="H2" s="21"/>
      <c r="I2" s="21"/>
      <c r="J2" s="21"/>
    </row>
    <row r="3" spans="2:20" ht="15" customHeight="1"/>
    <row r="4" spans="2:20" ht="15" customHeight="1">
      <c r="C4" s="25"/>
      <c r="D4" s="25"/>
      <c r="E4" s="25"/>
      <c r="F4" s="25"/>
      <c r="G4" s="25"/>
      <c r="H4" s="25"/>
      <c r="I4" s="25"/>
      <c r="J4" s="25"/>
    </row>
    <row r="5" spans="2:20" s="259" customFormat="1" ht="15" customHeight="1">
      <c r="C5" s="1000" t="str">
        <f>IF(Indice_index!$Z$1=1,"Período: janeiro a novembro","Period: January to November")</f>
        <v>Period: January to November</v>
      </c>
      <c r="D5" s="1000"/>
      <c r="E5" s="1000"/>
      <c r="F5" s="1001"/>
      <c r="H5" s="1001"/>
      <c r="I5" s="1001"/>
      <c r="J5" s="1002" t="str">
        <f>IF(Indice_index!$Z$1=1,"€ Milhões","€ Millions")</f>
        <v>€ Millions</v>
      </c>
      <c r="L5" s="260"/>
      <c r="S5" s="261"/>
      <c r="T5" s="261"/>
    </row>
    <row r="6" spans="2:20" ht="35.25" customHeight="1">
      <c r="C6" s="1003"/>
      <c r="D6" s="813" t="str">
        <f>IF(Indice_index!$Z$1=1,"CGE","Final execution")</f>
        <v>Final execution</v>
      </c>
      <c r="E6" s="813" t="str">
        <f>IF(Indice_index!$Z$1=1,"Orçamento Inicial","Budget")</f>
        <v>Budget</v>
      </c>
      <c r="F6" s="1702" t="str">
        <f>IF(Indice_index!$Z$1=1,"Execução Acumulada","Accumulated Execution")</f>
        <v>Accumulated Execution</v>
      </c>
      <c r="G6" s="1702"/>
      <c r="H6" s="1004" t="str">
        <f>IF(Indice_index!$Z$1=1,"Grau de Execução (%)","Execution Degree (%)")</f>
        <v>Execution Degree (%)</v>
      </c>
      <c r="I6" s="1703" t="str">
        <f>IF(Indice_index!$Z$1=1,"Variação Homóloga Acumulada","YOY Change Rate")</f>
        <v>YOY Change Rate</v>
      </c>
      <c r="J6" s="1704"/>
    </row>
    <row r="7" spans="2:20" ht="21">
      <c r="C7" s="1005"/>
      <c r="D7" s="815" t="s">
        <v>67</v>
      </c>
      <c r="E7" s="815" t="s">
        <v>73</v>
      </c>
      <c r="F7" s="816" t="s">
        <v>67</v>
      </c>
      <c r="G7" s="816" t="s">
        <v>73</v>
      </c>
      <c r="H7" s="1006" t="s">
        <v>73</v>
      </c>
      <c r="I7" s="816" t="str">
        <f>IF(Indice_index!$Z$1=1,"Relativa (%)","Relative change (%)")</f>
        <v>Relative change (%)</v>
      </c>
      <c r="J7" s="819" t="str">
        <f>IF(Indice_index!$Z$1=1,"Contributo VHA (p.p.)","YOY Change Rate Contrib. (p.p.)")</f>
        <v>YOY Change Rate Contrib. (p.p.)</v>
      </c>
    </row>
    <row r="8" spans="2:20" ht="5.25" customHeight="1">
      <c r="C8" s="1007"/>
      <c r="D8" s="1007"/>
      <c r="E8" s="1007"/>
      <c r="F8" s="1008"/>
      <c r="G8" s="1008"/>
      <c r="H8" s="1008"/>
      <c r="I8" s="1008"/>
      <c r="J8" s="1008"/>
    </row>
    <row r="9" spans="2:20" s="259" customFormat="1" ht="15" customHeight="1">
      <c r="C9" s="1009" t="str">
        <f>IF(Indice_index!$Z$1=1,"Receita corrente","Current revenue")</f>
        <v>Current revenue</v>
      </c>
      <c r="D9" s="1009">
        <f t="shared" ref="D9:E9" si="0">SUM(D11:D14)+D17+D18</f>
        <v>82956.108804729985</v>
      </c>
      <c r="E9" s="1009">
        <f t="shared" si="0"/>
        <v>89669.727382998812</v>
      </c>
      <c r="F9" s="1009">
        <f t="shared" ref="F9:G9" si="1">SUM(F11:F14)+F17+F18</f>
        <v>73387.592674500018</v>
      </c>
      <c r="G9" s="1009">
        <f t="shared" si="1"/>
        <v>82923.993403689979</v>
      </c>
      <c r="H9" s="1010">
        <f>IFERROR(IF(G9/E9*100&lt;-500,"-",IF(G9/E9*100&gt;500,"-",G9/E9*100)),"-")</f>
        <v>92.477133391410533</v>
      </c>
      <c r="I9" s="1010">
        <f>IF(IFERROR((G9-F9)/F9*100,"")&gt;500,"-",IFERROR((G9-F9)/F9*100,""))</f>
        <v>12.994568130184184</v>
      </c>
      <c r="J9" s="1011">
        <f>IFERROR((G9-F9)/$F$27*100,"")</f>
        <v>12.816225508170284</v>
      </c>
      <c r="K9" s="261"/>
      <c r="L9" s="262"/>
      <c r="M9" s="263"/>
      <c r="N9" s="263"/>
      <c r="O9" s="263"/>
      <c r="P9" s="263"/>
      <c r="Q9" s="263"/>
      <c r="R9" s="263"/>
      <c r="S9" s="263"/>
      <c r="T9" s="261"/>
    </row>
    <row r="10" spans="2:20" ht="15" customHeight="1">
      <c r="C10" s="1012" t="str">
        <f>IF(Indice_index!$Z$1=1,"Receita fiscal","Tax")</f>
        <v>Tax</v>
      </c>
      <c r="D10" s="1013">
        <f t="shared" ref="D10:E10" si="2">+D11+D12</f>
        <v>46371.175763009996</v>
      </c>
      <c r="E10" s="1013">
        <f t="shared" si="2"/>
        <v>49467.141157999999</v>
      </c>
      <c r="F10" s="1013">
        <f t="shared" ref="F10:G10" si="3">+F11+F12</f>
        <v>41024.311361330008</v>
      </c>
      <c r="G10" s="1013">
        <f t="shared" si="3"/>
        <v>48150.720223519995</v>
      </c>
      <c r="H10" s="1014">
        <f>IFERROR(IF(G10/E10*100&lt;-500,"-",IF(G10/E10*100&gt;500,"-",G10/E10*100)),"-")</f>
        <v>97.338797222432348</v>
      </c>
      <c r="I10" s="1014">
        <f>IF(IFERROR((G10-F10)/F10*100,"")&gt;500,"-",IFERROR((G10-F10)/F10*100,""))</f>
        <v>17.371184611540908</v>
      </c>
      <c r="J10" s="1015">
        <f t="shared" ref="J10:J17" si="4">IFERROR((G10-F10)/$F$27*100,"")</f>
        <v>9.5773725994637502</v>
      </c>
      <c r="K10" s="24"/>
      <c r="L10" s="26"/>
      <c r="M10" s="26"/>
      <c r="N10" s="27"/>
      <c r="O10" s="27"/>
      <c r="P10" s="27"/>
      <c r="Q10" s="27"/>
      <c r="R10" s="27"/>
      <c r="S10" s="27"/>
    </row>
    <row r="11" spans="2:20" ht="15" customHeight="1">
      <c r="C11" s="706" t="str">
        <f>IF(Indice_index!$Z$1=1,"Impostos diretos ","Direct taxes")</f>
        <v>Direct taxes</v>
      </c>
      <c r="D11" s="1013">
        <v>19956.944554760001</v>
      </c>
      <c r="E11" s="1013">
        <v>20904.899710000002</v>
      </c>
      <c r="F11" s="1013">
        <v>16644.149495720001</v>
      </c>
      <c r="G11" s="1013">
        <v>20659.391788260011</v>
      </c>
      <c r="H11" s="1014">
        <f t="shared" ref="H11:H24" si="5">IFERROR(IF(G11/E11*100&lt;-500,"-",IF(G11/E11*100&gt;500,"-",G11/E11*100)),"-")</f>
        <v>98.825596270990232</v>
      </c>
      <c r="I11" s="1014">
        <f>IF(IFERROR((G11-F11)/F11*100,"")&gt;500,"-",IFERROR((G11-F11)/F11*100,""))</f>
        <v>24.124046071398951</v>
      </c>
      <c r="J11" s="1015">
        <f t="shared" si="4"/>
        <v>5.3961921433964868</v>
      </c>
      <c r="K11" s="24"/>
      <c r="L11" s="26"/>
      <c r="M11" s="26"/>
      <c r="N11" s="27"/>
      <c r="O11" s="27"/>
      <c r="P11" s="27"/>
      <c r="Q11" s="27"/>
      <c r="R11" s="27"/>
      <c r="S11" s="27"/>
    </row>
    <row r="12" spans="2:20" ht="15" customHeight="1">
      <c r="C12" s="706" t="str">
        <f>IF(Indice_index!$Z$1=1,"Impostos indiretos","Indirect taxes")</f>
        <v>Indirect taxes</v>
      </c>
      <c r="D12" s="1013">
        <v>26414.231208249996</v>
      </c>
      <c r="E12" s="1013">
        <v>28562.241448000001</v>
      </c>
      <c r="F12" s="1013">
        <v>24380.161865610004</v>
      </c>
      <c r="G12" s="1013">
        <v>27491.328435259988</v>
      </c>
      <c r="H12" s="1014">
        <f t="shared" si="5"/>
        <v>96.250598838015904</v>
      </c>
      <c r="I12" s="1014">
        <f t="shared" ref="I12:I23" si="6">IF(IFERROR((G12-F12)/F12*100,"")&gt;500,"-",IFERROR((G12-F12)/F12*100,""))</f>
        <v>12.761057891246045</v>
      </c>
      <c r="J12" s="1015">
        <f t="shared" si="4"/>
        <v>4.1811804560672732</v>
      </c>
      <c r="K12" s="24"/>
      <c r="L12" s="26"/>
      <c r="M12" s="26"/>
      <c r="N12" s="27"/>
      <c r="O12" s="27"/>
      <c r="P12" s="27"/>
      <c r="Q12" s="27"/>
      <c r="R12" s="27"/>
      <c r="S12" s="27"/>
    </row>
    <row r="13" spans="2:20" ht="15" customHeight="1">
      <c r="C13" s="707" t="str">
        <f>IF(Indice_index!$Z$1=1,"Contribuições para Segurança Social, CGA e ADSE","Social security, CGA and ADSE contributions")</f>
        <v>Social security, CGA and ADSE contributions</v>
      </c>
      <c r="D13" s="1013">
        <v>24205.521009029995</v>
      </c>
      <c r="E13" s="1013">
        <v>25361.125842000001</v>
      </c>
      <c r="F13" s="1013">
        <v>21337.035225740001</v>
      </c>
      <c r="G13" s="1013">
        <v>23348.423296540001</v>
      </c>
      <c r="H13" s="1014">
        <f t="shared" si="5"/>
        <v>92.06382808870886</v>
      </c>
      <c r="I13" s="1014">
        <f>IF(IFERROR((G13-F13)/F13*100,"")&gt;500,"-",IFERROR((G13-F13)/F13*100,""))</f>
        <v>9.4267457944370605</v>
      </c>
      <c r="J13" s="1015">
        <f t="shared" si="4"/>
        <v>2.7031585429197915</v>
      </c>
      <c r="K13" s="24"/>
      <c r="L13" s="26"/>
      <c r="M13" s="26"/>
      <c r="N13" s="27"/>
      <c r="O13" s="27"/>
      <c r="P13" s="27"/>
      <c r="Q13" s="27"/>
      <c r="R13" s="27"/>
      <c r="S13" s="27"/>
    </row>
    <row r="14" spans="2:20" ht="15" customHeight="1">
      <c r="C14" s="707" t="str">
        <f>IF(Indice_index!$Z$1=1,"Transferências Correntes","Current transfers")</f>
        <v>Current transfers</v>
      </c>
      <c r="D14" s="1013">
        <f>+D15+D16</f>
        <v>3030.6102374100001</v>
      </c>
      <c r="E14" s="1013">
        <f>+E15+E16</f>
        <v>4871.3390229988308</v>
      </c>
      <c r="F14" s="1013">
        <f>+F15+F16</f>
        <v>2981.3683426100015</v>
      </c>
      <c r="G14" s="1013">
        <f>+G15+G16</f>
        <v>2373.388971539996</v>
      </c>
      <c r="H14" s="1014">
        <f t="shared" si="5"/>
        <v>48.721490340430478</v>
      </c>
      <c r="I14" s="1014">
        <f>IF(IFERROR((G14-F14)/F14*100,"")&gt;500,"-",IFERROR((G14-F14)/F14*100,""))</f>
        <v>-20.392628524986538</v>
      </c>
      <c r="J14" s="1015">
        <f t="shared" si="4"/>
        <v>-0.81707983391450834</v>
      </c>
      <c r="K14" s="24"/>
      <c r="L14" s="26"/>
      <c r="M14" s="27"/>
      <c r="N14" s="27"/>
      <c r="O14" s="27"/>
      <c r="P14" s="27"/>
      <c r="Q14" s="27"/>
      <c r="R14" s="27"/>
      <c r="S14" s="27"/>
    </row>
    <row r="15" spans="2:20" ht="15" customHeight="1">
      <c r="C15" s="1016" t="str">
        <f>IF(Indice_index!$Z$1=1,"Administrações Públicas","General Government subsectors")</f>
        <v>General Government subsectors</v>
      </c>
      <c r="D15" s="1013">
        <v>189.88059364999935</v>
      </c>
      <c r="E15" s="1013">
        <v>166.40293599999859</v>
      </c>
      <c r="F15" s="1013">
        <v>161.55224490000182</v>
      </c>
      <c r="G15" s="1013">
        <v>189.00941742999566</v>
      </c>
      <c r="H15" s="1014">
        <f t="shared" si="5"/>
        <v>113.58538615568494</v>
      </c>
      <c r="I15" s="1014">
        <f>IF(IFERROR((G15-F15)/F15*100,"")&gt;500,"-",IFERROR((G15-F15)/F15*100,""))</f>
        <v>16.995847100106456</v>
      </c>
      <c r="J15" s="1015">
        <f t="shared" si="4"/>
        <v>3.6900432873381378E-2</v>
      </c>
      <c r="K15" s="24"/>
      <c r="L15" s="26"/>
      <c r="M15" s="27"/>
      <c r="N15" s="27"/>
      <c r="O15" s="27"/>
      <c r="P15" s="27"/>
      <c r="Q15" s="27"/>
      <c r="R15" s="27"/>
      <c r="S15" s="27"/>
    </row>
    <row r="16" spans="2:20" ht="15" customHeight="1">
      <c r="C16" s="1016" t="str">
        <f>IF(Indice_index!$Z$1=1,"Outras","Others")</f>
        <v>Others</v>
      </c>
      <c r="D16" s="1013">
        <v>2840.7296437600007</v>
      </c>
      <c r="E16" s="1013">
        <v>4704.9360869988323</v>
      </c>
      <c r="F16" s="1013">
        <v>2819.8160977099997</v>
      </c>
      <c r="G16" s="1013">
        <v>2184.3795541100003</v>
      </c>
      <c r="H16" s="1014">
        <f t="shared" si="5"/>
        <v>46.427401216907164</v>
      </c>
      <c r="I16" s="1014">
        <f>IF(IFERROR((G16-F16)/F16*100,"")&gt;500,"-",IFERROR((G16-F16)/F16*100,""))</f>
        <v>-22.534680333091352</v>
      </c>
      <c r="J16" s="1015">
        <f t="shared" si="4"/>
        <v>-0.85398026678788974</v>
      </c>
      <c r="K16" s="24"/>
      <c r="L16" s="26"/>
      <c r="M16" s="27"/>
      <c r="N16" s="27"/>
      <c r="O16" s="27"/>
      <c r="P16" s="27"/>
      <c r="Q16" s="27"/>
      <c r="R16" s="27"/>
      <c r="S16" s="27"/>
    </row>
    <row r="17" spans="3:20" ht="15" customHeight="1">
      <c r="C17" s="707" t="str">
        <f>IF(Indice_index!$Z$1=1,"Outras receitas correntes","Other current revenue")</f>
        <v>Other current revenue</v>
      </c>
      <c r="D17" s="1013">
        <v>9308.8380039000003</v>
      </c>
      <c r="E17" s="1013">
        <v>9953.5537159999985</v>
      </c>
      <c r="F17" s="1013">
        <v>8018.2314830600026</v>
      </c>
      <c r="G17" s="1013">
        <v>8927.7278571700008</v>
      </c>
      <c r="H17" s="1014">
        <f t="shared" si="5"/>
        <v>89.693873282855577</v>
      </c>
      <c r="I17" s="1014">
        <f t="shared" si="6"/>
        <v>11.342855042679643</v>
      </c>
      <c r="J17" s="1015">
        <f t="shared" si="4"/>
        <v>1.2222966463414389</v>
      </c>
      <c r="K17" s="24"/>
      <c r="L17" s="26"/>
      <c r="M17" s="27"/>
      <c r="N17" s="27"/>
      <c r="O17" s="27"/>
      <c r="P17" s="27"/>
      <c r="Q17" s="27"/>
      <c r="R17" s="27"/>
      <c r="S17" s="27"/>
    </row>
    <row r="18" spans="3:20" ht="15" customHeight="1">
      <c r="C18" s="707" t="str">
        <f>IF(Indice_index!$Z$1=1,"Diferenças de consolidação","Consolidation differences")</f>
        <v>Consolidation differences</v>
      </c>
      <c r="D18" s="1013">
        <v>39.963791379997609</v>
      </c>
      <c r="E18" s="1013">
        <v>16.567643999995955</v>
      </c>
      <c r="F18" s="1013">
        <v>26.646261759999348</v>
      </c>
      <c r="G18" s="1013">
        <v>123.73305491999011</v>
      </c>
      <c r="H18" s="1014"/>
      <c r="I18" s="1015"/>
      <c r="J18" s="1015"/>
      <c r="K18" s="24"/>
      <c r="L18" s="26"/>
      <c r="M18" s="27"/>
      <c r="N18" s="27"/>
      <c r="O18" s="27"/>
      <c r="P18" s="27"/>
      <c r="Q18" s="27"/>
      <c r="R18" s="27"/>
      <c r="S18" s="27"/>
    </row>
    <row r="19" spans="3:20" s="264" customFormat="1" ht="15" customHeight="1">
      <c r="C19" s="1009" t="str">
        <f>IF(Indice_index!$Z$1=1,"Receita de capital","Capital revenue")</f>
        <v>Capital revenue</v>
      </c>
      <c r="D19" s="1009">
        <f t="shared" ref="D19:E19" si="7">+D20+D21+D24+D25</f>
        <v>1215.0691603200003</v>
      </c>
      <c r="E19" s="1009">
        <f t="shared" si="7"/>
        <v>3672.4989230000001</v>
      </c>
      <c r="F19" s="1009">
        <f t="shared" ref="F19:G19" si="8">+F20+F21+F24+F25</f>
        <v>1021.2160899100002</v>
      </c>
      <c r="G19" s="1009">
        <f t="shared" si="8"/>
        <v>1414.6756693599998</v>
      </c>
      <c r="H19" s="1010">
        <f t="shared" si="5"/>
        <v>38.520791946328906</v>
      </c>
      <c r="I19" s="1010">
        <f>IF(IFERROR((G19-F19)/F19*100,"")&gt;500,"-",IFERROR((G19-F19)/F19*100,""))</f>
        <v>38.52853312217939</v>
      </c>
      <c r="J19" s="1011">
        <f t="shared" ref="J19:J24" si="9">IFERROR((G19-F19)/$F$27*100,"")</f>
        <v>0.52878091449596309</v>
      </c>
      <c r="K19" s="261"/>
      <c r="L19" s="262"/>
      <c r="M19" s="263"/>
      <c r="N19" s="263"/>
      <c r="O19" s="263"/>
      <c r="P19" s="263"/>
      <c r="Q19" s="263"/>
      <c r="R19" s="263"/>
      <c r="S19" s="263"/>
      <c r="T19" s="261"/>
    </row>
    <row r="20" spans="3:20" ht="15" customHeight="1">
      <c r="C20" s="707" t="str">
        <f>IF(Indice_index!$Z$1=1,"Venda de bens de investimento","Sale of investment goods")</f>
        <v>Sale of investment goods</v>
      </c>
      <c r="D20" s="1013">
        <v>155.06244905999998</v>
      </c>
      <c r="E20" s="1013">
        <v>187.87176300000002</v>
      </c>
      <c r="F20" s="1013">
        <v>111.50806892000001</v>
      </c>
      <c r="G20" s="1013">
        <v>127.05507487000001</v>
      </c>
      <c r="H20" s="1014">
        <f t="shared" si="5"/>
        <v>67.628616903967625</v>
      </c>
      <c r="I20" s="1014">
        <f>IF(IFERROR((G20-F20)/F20*100,"")&gt;500,"-",IFERROR((G20-F20)/F20*100,""))</f>
        <v>13.942494117761104</v>
      </c>
      <c r="J20" s="1015">
        <f t="shared" si="9"/>
        <v>2.0894039574298605E-2</v>
      </c>
      <c r="K20" s="24"/>
      <c r="L20" s="26"/>
      <c r="M20" s="26"/>
      <c r="N20" s="27"/>
      <c r="O20" s="27"/>
      <c r="P20" s="27"/>
      <c r="Q20" s="27"/>
      <c r="R20" s="27"/>
      <c r="S20" s="27"/>
    </row>
    <row r="21" spans="3:20" ht="15" customHeight="1">
      <c r="C21" s="707" t="str">
        <f>IF(Indice_index!$Z$1=1,"Transferências de Capital","Capital transfers")</f>
        <v>Capital transfers</v>
      </c>
      <c r="D21" s="1013">
        <f t="shared" ref="D21:E21" si="10">+D22+D23</f>
        <v>1018.6108192299999</v>
      </c>
      <c r="E21" s="1013">
        <f t="shared" si="10"/>
        <v>3431.2003119999999</v>
      </c>
      <c r="F21" s="1013">
        <f t="shared" ref="F21:G21" si="11">+F22+F23</f>
        <v>882.28166740000006</v>
      </c>
      <c r="G21" s="1013">
        <f t="shared" si="11"/>
        <v>1239.2283646999997</v>
      </c>
      <c r="H21" s="1014">
        <f t="shared" si="5"/>
        <v>36.116468058306694</v>
      </c>
      <c r="I21" s="1014">
        <f>IF(IFERROR((G21-F21)/F21*100,"")&gt;500,"-",IFERROR((G21-F21)/F21*100,""))</f>
        <v>40.457227038604074</v>
      </c>
      <c r="J21" s="1015">
        <f t="shared" si="9"/>
        <v>0.47971026982860188</v>
      </c>
      <c r="K21" s="24"/>
      <c r="L21" s="26"/>
      <c r="M21" s="27"/>
      <c r="N21" s="27"/>
      <c r="O21" s="27"/>
      <c r="P21" s="27"/>
      <c r="Q21" s="27"/>
      <c r="R21" s="27"/>
      <c r="S21" s="27"/>
    </row>
    <row r="22" spans="3:20" ht="15" customHeight="1">
      <c r="C22" s="1016" t="str">
        <f>IF(Indice_index!$Z$1=1,"Administrações Públicas","General Government subsectors")</f>
        <v>General Government subsectors</v>
      </c>
      <c r="D22" s="1013">
        <v>8.1522407000000001</v>
      </c>
      <c r="E22" s="1013">
        <v>32.726060000000004</v>
      </c>
      <c r="F22" s="1013">
        <v>6.22157655</v>
      </c>
      <c r="G22" s="1013">
        <v>9.7887388599999987</v>
      </c>
      <c r="H22" s="1014">
        <f t="shared" si="5"/>
        <v>29.911143779605602</v>
      </c>
      <c r="I22" s="1014">
        <f>IF(IFERROR((G22-F22)/F22*100,"")&gt;500,"-",IFERROR((G22-F22)/F22*100,""))</f>
        <v>57.335343884822876</v>
      </c>
      <c r="J22" s="1015">
        <f t="shared" si="9"/>
        <v>4.7940053996754538E-3</v>
      </c>
      <c r="K22" s="24"/>
      <c r="L22" s="26"/>
      <c r="M22" s="27"/>
      <c r="N22" s="27"/>
      <c r="O22" s="27"/>
      <c r="P22" s="27"/>
      <c r="Q22" s="27"/>
      <c r="R22" s="27"/>
      <c r="S22" s="27"/>
    </row>
    <row r="23" spans="3:20" ht="15" customHeight="1">
      <c r="C23" s="1016" t="str">
        <f>IF(Indice_index!$Z$1=1,"Outras","Others")</f>
        <v>Others</v>
      </c>
      <c r="D23" s="1013">
        <v>1010.45857853</v>
      </c>
      <c r="E23" s="1013">
        <v>3398.474252</v>
      </c>
      <c r="F23" s="1013">
        <v>876.06009085000005</v>
      </c>
      <c r="G23" s="1013">
        <v>1229.4396258399997</v>
      </c>
      <c r="H23" s="1014">
        <f t="shared" si="5"/>
        <v>36.176223054109514</v>
      </c>
      <c r="I23" s="1014">
        <f t="shared" si="6"/>
        <v>40.337362548627468</v>
      </c>
      <c r="J23" s="1015">
        <f t="shared" si="9"/>
        <v>0.47491626442892648</v>
      </c>
      <c r="K23" s="24"/>
      <c r="L23" s="26"/>
      <c r="M23" s="27"/>
      <c r="N23" s="27"/>
      <c r="O23" s="27"/>
      <c r="P23" s="27"/>
      <c r="Q23" s="27"/>
      <c r="R23" s="27"/>
      <c r="S23" s="27"/>
    </row>
    <row r="24" spans="3:20" ht="15" customHeight="1">
      <c r="C24" s="707" t="str">
        <f>IF(Indice_index!$Z$1=1,"Outras receitas de capital","Other capital revenue")</f>
        <v>Other capital revenue</v>
      </c>
      <c r="D24" s="1013">
        <v>26.772300769999998</v>
      </c>
      <c r="E24" s="1013">
        <v>44.065900000000006</v>
      </c>
      <c r="F24" s="1013">
        <v>15.30372908</v>
      </c>
      <c r="G24" s="1013">
        <v>47.536217649999998</v>
      </c>
      <c r="H24" s="1014">
        <f t="shared" si="5"/>
        <v>107.8752905307732</v>
      </c>
      <c r="I24" s="1014">
        <f>IF(IFERROR((G24-F24)/F24*100,"")&gt;500,"-",IFERROR((G24-F24)/F24*100,""))</f>
        <v>210.61852572993928</v>
      </c>
      <c r="J24" s="1015">
        <f t="shared" si="9"/>
        <v>4.3318108575092405E-2</v>
      </c>
      <c r="K24" s="24"/>
      <c r="L24" s="26"/>
      <c r="M24" s="26"/>
      <c r="N24" s="27"/>
      <c r="O24" s="27"/>
      <c r="P24" s="27"/>
      <c r="Q24" s="27"/>
      <c r="R24" s="27"/>
      <c r="S24" s="27"/>
    </row>
    <row r="25" spans="3:20" ht="15" customHeight="1">
      <c r="C25" s="707" t="str">
        <f>IF(Indice_index!$Z$1=1,"Diferenças de consolidação","Consolidation differences")</f>
        <v>Consolidation differences</v>
      </c>
      <c r="D25" s="1013">
        <v>14.623591260000369</v>
      </c>
      <c r="E25" s="1013">
        <v>9.3609479999999721</v>
      </c>
      <c r="F25" s="1013">
        <v>12.122624509999987</v>
      </c>
      <c r="G25" s="1013">
        <v>0.85601214000000003</v>
      </c>
      <c r="H25" s="1015"/>
      <c r="I25" s="1015"/>
      <c r="J25" s="1015"/>
      <c r="K25" s="24"/>
      <c r="L25" s="26"/>
      <c r="M25" s="27"/>
      <c r="N25" s="27"/>
      <c r="O25" s="27"/>
      <c r="P25" s="27"/>
      <c r="Q25" s="27"/>
      <c r="R25" s="27"/>
      <c r="S25" s="27"/>
    </row>
    <row r="26" spans="3:20" ht="5.15" customHeight="1">
      <c r="C26" s="1017"/>
      <c r="D26" s="1017"/>
      <c r="E26" s="1017"/>
      <c r="F26" s="1017"/>
      <c r="G26" s="1013"/>
      <c r="H26" s="1015"/>
      <c r="I26" s="1015"/>
      <c r="J26" s="1015"/>
      <c r="K26" s="24"/>
      <c r="L26" s="26"/>
      <c r="M26" s="27"/>
      <c r="N26" s="27"/>
      <c r="O26" s="27"/>
      <c r="P26" s="27"/>
      <c r="Q26" s="27"/>
      <c r="R26" s="27"/>
      <c r="S26" s="27"/>
    </row>
    <row r="27" spans="3:20" s="259" customFormat="1" ht="15" customHeight="1">
      <c r="C27" s="1018" t="str">
        <f>IF(Indice_index!$Z$1=1,"Receita efetiva","Effective revenue")</f>
        <v>Effective revenue</v>
      </c>
      <c r="D27" s="1018">
        <f>+D9+D19</f>
        <v>84171.177965049981</v>
      </c>
      <c r="E27" s="1018">
        <f>+E9+E19</f>
        <v>93342.226305998818</v>
      </c>
      <c r="F27" s="1018">
        <f>+F9+F19</f>
        <v>74408.808764410016</v>
      </c>
      <c r="G27" s="1018">
        <f>+G9+G19</f>
        <v>84338.669073049983</v>
      </c>
      <c r="H27" s="1019">
        <f>IFERROR(IF(G27/E27*100&lt;-500,"-",IF(G27/E27*100&gt;500,"-",G27/E27*100)),"-")</f>
        <v>90.354250600973501</v>
      </c>
      <c r="I27" s="1019">
        <f>IF(IFERROR((G27-F27)/F27*100,"")&gt;500,"-",IFERROR((G27-F27)/F27*100,""))</f>
        <v>13.345006422666254</v>
      </c>
      <c r="J27" s="1020"/>
      <c r="K27" s="261"/>
      <c r="L27" s="262"/>
      <c r="M27" s="263"/>
      <c r="N27" s="263"/>
      <c r="O27" s="263"/>
      <c r="P27" s="263"/>
      <c r="Q27" s="263"/>
      <c r="R27" s="263"/>
      <c r="S27" s="263"/>
      <c r="T27" s="261"/>
    </row>
    <row r="28" spans="3:20" ht="4.4000000000000004" customHeight="1">
      <c r="C28" s="1017"/>
      <c r="D28" s="1017"/>
      <c r="E28" s="1017"/>
      <c r="F28" s="33"/>
      <c r="G28" s="1013"/>
      <c r="H28" s="1015"/>
      <c r="I28" s="1015"/>
      <c r="J28" s="1015"/>
      <c r="K28" s="24"/>
      <c r="L28" s="26"/>
      <c r="M28" s="27"/>
      <c r="N28" s="27"/>
      <c r="O28" s="27"/>
      <c r="P28" s="27"/>
      <c r="Q28" s="27"/>
      <c r="R28" s="27"/>
      <c r="S28" s="27"/>
    </row>
    <row r="29" spans="3:20" s="259" customFormat="1" ht="15" customHeight="1">
      <c r="C29" s="1009" t="str">
        <f>IF(Indice_index!$Z$1=1,"Despesa corrente","Current expenditure")</f>
        <v>Current expenditure</v>
      </c>
      <c r="D29" s="1009">
        <f t="shared" ref="D29:E29" si="12">+D30+D34+D35+D36+D39+D40+D41</f>
        <v>86897.400296310036</v>
      </c>
      <c r="E29" s="1009">
        <f t="shared" si="12"/>
        <v>90194.621481000009</v>
      </c>
      <c r="F29" s="1009">
        <f t="shared" ref="F29:G29" si="13">+F30+F34+F35+F36+F39+F40+F41</f>
        <v>76376.216755359972</v>
      </c>
      <c r="G29" s="1009">
        <f t="shared" si="13"/>
        <v>78398.797794529979</v>
      </c>
      <c r="H29" s="1010">
        <f t="shared" ref="H29:H47" si="14">IFERROR(IF(G29/E29*100&lt;-500,"-",IF(G29/E29*100&gt;500,"-",G29/E29*100)),"-")</f>
        <v>86.921810311100558</v>
      </c>
      <c r="I29" s="1010">
        <f>IF(IFERROR((G29-F29)/F29*100,"")&gt;500,"-",IFERROR((G29-F29)/F29*100,""))</f>
        <v>2.6481817574815465</v>
      </c>
      <c r="J29" s="1011">
        <f>IFERROR((G29-F29)/$F$50*100,"")</f>
        <v>2.5062104715195299</v>
      </c>
      <c r="K29" s="261"/>
      <c r="L29" s="262"/>
      <c r="M29" s="263"/>
      <c r="N29" s="263"/>
      <c r="O29" s="263"/>
      <c r="P29" s="263"/>
      <c r="Q29" s="263"/>
      <c r="R29" s="263"/>
      <c r="S29" s="263"/>
      <c r="T29" s="261"/>
    </row>
    <row r="30" spans="3:20" ht="15" customHeight="1">
      <c r="C30" s="707" t="str">
        <f>IF(Indice_index!$Z$1=1,"Despesas com o pessoal","Employees")</f>
        <v>Employees</v>
      </c>
      <c r="D30" s="1013">
        <f t="shared" ref="D30:E30" si="15">+D31+D32+D33</f>
        <v>19006.993351709996</v>
      </c>
      <c r="E30" s="1013">
        <f t="shared" si="15"/>
        <v>19280.685428000001</v>
      </c>
      <c r="F30" s="1013">
        <f t="shared" ref="F30:G30" si="16">+F31+F32+F33</f>
        <v>17317.782170439987</v>
      </c>
      <c r="G30" s="1013">
        <f t="shared" si="16"/>
        <v>17512.830953089979</v>
      </c>
      <c r="H30" s="1014">
        <f t="shared" si="14"/>
        <v>90.830956287774441</v>
      </c>
      <c r="I30" s="1014">
        <f>IF(IFERROR((G30-F30)/F30*100,"")&gt;500,"-",IFERROR((G30-F30)/F30*100,""))</f>
        <v>1.1262919277442127</v>
      </c>
      <c r="J30" s="1015">
        <f t="shared" ref="J30:J40" si="17">IFERROR((G30-F30)/$F$50*100,"")</f>
        <v>0.24168786914720913</v>
      </c>
      <c r="K30" s="24"/>
      <c r="L30" s="26"/>
      <c r="M30" s="26"/>
      <c r="N30" s="27"/>
      <c r="O30" s="27"/>
      <c r="P30" s="27"/>
      <c r="Q30" s="27"/>
      <c r="R30" s="27"/>
      <c r="S30" s="27"/>
    </row>
    <row r="31" spans="3:20" ht="15" customHeight="1">
      <c r="C31" s="1016" t="str">
        <f>IF(Indice_index!$Z$1=1,"Remunerações Certas e Permanentes","Certain and permanent wages")</f>
        <v>Certain and permanent wages</v>
      </c>
      <c r="D31" s="1013">
        <v>13533.620271419999</v>
      </c>
      <c r="E31" s="1013">
        <v>14143.222876</v>
      </c>
      <c r="F31" s="1013">
        <v>12403.06598272999</v>
      </c>
      <c r="G31" s="1013">
        <v>12568.975572299982</v>
      </c>
      <c r="H31" s="1014">
        <f t="shared" si="14"/>
        <v>88.869246299077986</v>
      </c>
      <c r="I31" s="1014">
        <f>IF(IFERROR((G31-F31)/F31*100,"")&gt;500,"-",IFERROR((G31-F31)/F31*100,""))</f>
        <v>1.3376498182062748</v>
      </c>
      <c r="J31" s="1015">
        <f t="shared" si="17"/>
        <v>0.20558105838688781</v>
      </c>
      <c r="K31" s="24"/>
      <c r="L31" s="26"/>
      <c r="M31" s="26"/>
      <c r="N31" s="27"/>
      <c r="O31" s="27"/>
      <c r="P31" s="27"/>
      <c r="Q31" s="27"/>
      <c r="R31" s="27"/>
      <c r="S31" s="27"/>
    </row>
    <row r="32" spans="3:20" ht="15" customHeight="1">
      <c r="C32" s="1016" t="str">
        <f>IF(Indice_index!$Z$1=1,"Abonos Variáveis ou Eventuais","Variable or contingent bonuses")</f>
        <v>Variable or contingent bonuses</v>
      </c>
      <c r="D32" s="1013">
        <v>1337.0660552600004</v>
      </c>
      <c r="E32" s="1013">
        <v>1294.5149609999999</v>
      </c>
      <c r="F32" s="1013">
        <v>1198.3521624099994</v>
      </c>
      <c r="G32" s="1013">
        <v>1226.9591579400005</v>
      </c>
      <c r="H32" s="1014">
        <f t="shared" si="14"/>
        <v>94.781381050411866</v>
      </c>
      <c r="I32" s="1014">
        <f>IF(IFERROR((G32-F32)/F32*100,"")&gt;500,"-",IFERROR((G32-F32)/F32*100,""))</f>
        <v>2.3871943847015484</v>
      </c>
      <c r="J32" s="1015">
        <f t="shared" si="17"/>
        <v>3.5447356801793298E-2</v>
      </c>
      <c r="K32" s="24"/>
      <c r="L32" s="26"/>
      <c r="M32" s="26"/>
      <c r="N32" s="27"/>
      <c r="O32" s="27"/>
      <c r="P32" s="27"/>
      <c r="Q32" s="27"/>
      <c r="R32" s="27"/>
      <c r="S32" s="27"/>
    </row>
    <row r="33" spans="3:20" ht="15" customHeight="1">
      <c r="C33" s="1016" t="str">
        <f>IF(Indice_index!$Z$1=1,"Segurança social","Social security")</f>
        <v>Social security</v>
      </c>
      <c r="D33" s="1013">
        <v>4136.307025029997</v>
      </c>
      <c r="E33" s="1013">
        <v>3842.9475910000001</v>
      </c>
      <c r="F33" s="1013">
        <v>3716.3640252999976</v>
      </c>
      <c r="G33" s="1013">
        <v>3716.896222849995</v>
      </c>
      <c r="H33" s="1014">
        <f t="shared" si="14"/>
        <v>96.719930075413686</v>
      </c>
      <c r="I33" s="1014">
        <f>IF(IFERROR((G33-F33)/F33*100,"")&gt;500,"-",IFERROR((G33-F33)/F33*100,""))</f>
        <v>1.4320382674417974E-2</v>
      </c>
      <c r="J33" s="1015">
        <f t="shared" si="17"/>
        <v>6.5945395852606858E-4</v>
      </c>
      <c r="K33" s="24"/>
      <c r="L33" s="26"/>
      <c r="M33" s="26"/>
      <c r="N33" s="27"/>
      <c r="O33" s="27"/>
      <c r="P33" s="27"/>
      <c r="Q33" s="27"/>
      <c r="R33" s="27"/>
      <c r="S33" s="27"/>
    </row>
    <row r="34" spans="3:20" ht="15" customHeight="1">
      <c r="C34" s="707" t="str">
        <f>IF(Indice_index!$Z$1=1,"Aquisição de bens e serviços","Purchase of goods and services")</f>
        <v>Purchase of goods and services</v>
      </c>
      <c r="D34" s="1013">
        <v>11472.973301580041</v>
      </c>
      <c r="E34" s="1013">
        <v>12512.920374999998</v>
      </c>
      <c r="F34" s="1013">
        <v>8981.5649302199708</v>
      </c>
      <c r="G34" s="1013">
        <v>9683.5286317499886</v>
      </c>
      <c r="H34" s="1014">
        <f t="shared" si="14"/>
        <v>77.388238249298297</v>
      </c>
      <c r="I34" s="1014">
        <f t="shared" ref="I34:I40" si="18">IF(IFERROR((G34-F34)/F34*100,"")&gt;500,"-",IFERROR((G34-F34)/F34*100,""))</f>
        <v>7.8156057099597858</v>
      </c>
      <c r="J34" s="1015">
        <f t="shared" si="17"/>
        <v>0.86981374062671901</v>
      </c>
      <c r="K34" s="24"/>
      <c r="L34" s="26"/>
      <c r="M34" s="27"/>
      <c r="N34" s="27"/>
      <c r="O34" s="27"/>
      <c r="P34" s="27"/>
      <c r="Q34" s="27"/>
      <c r="R34" s="27"/>
      <c r="S34" s="27"/>
    </row>
    <row r="35" spans="3:20" ht="15" customHeight="1">
      <c r="C35" s="707" t="str">
        <f>IF(Indice_index!$Z$1=1,"Juros e outros encargos","Interests and other charges")</f>
        <v>Interests and other charges</v>
      </c>
      <c r="D35" s="1013">
        <v>6799.7249258299998</v>
      </c>
      <c r="E35" s="1013">
        <v>6637.2324419999995</v>
      </c>
      <c r="F35" s="1013">
        <v>6583.1735467999997</v>
      </c>
      <c r="G35" s="1013">
        <v>6214.1095782400007</v>
      </c>
      <c r="H35" s="1014">
        <f t="shared" si="14"/>
        <v>93.625010613120864</v>
      </c>
      <c r="I35" s="1014">
        <f>IF(IFERROR((G35-F35)/F35*100,"")&gt;500,"-",IFERROR((G35-F35)/F35*100,""))</f>
        <v>-5.6061710349318759</v>
      </c>
      <c r="J35" s="1015">
        <f t="shared" si="17"/>
        <v>-0.4573126934113802</v>
      </c>
      <c r="K35" s="24"/>
      <c r="L35" s="26"/>
      <c r="M35" s="27"/>
      <c r="N35" s="27"/>
      <c r="O35" s="27"/>
      <c r="P35" s="27"/>
      <c r="Q35" s="27"/>
      <c r="R35" s="27"/>
      <c r="S35" s="27"/>
    </row>
    <row r="36" spans="3:20" ht="15" customHeight="1">
      <c r="C36" s="707" t="str">
        <f>IF(Indice_index!$Z$1=1,"Transferências correntes","Current transfers")</f>
        <v>Current transfers</v>
      </c>
      <c r="D36" s="1013">
        <f t="shared" ref="D36:E36" si="19">+D37+D38</f>
        <v>47104.764315169996</v>
      </c>
      <c r="E36" s="1013">
        <f t="shared" si="19"/>
        <v>47484.979677999996</v>
      </c>
      <c r="F36" s="1013">
        <f t="shared" ref="F36:G36" si="20">+F37+F38</f>
        <v>41557.245468189998</v>
      </c>
      <c r="G36" s="1013">
        <f t="shared" si="20"/>
        <v>43008.432169879998</v>
      </c>
      <c r="H36" s="1014">
        <f t="shared" si="14"/>
        <v>90.572708383838687</v>
      </c>
      <c r="I36" s="1014">
        <f>IF(IFERROR((G36-F36)/F36*100,"")&gt;500,"-",IFERROR((G36-F36)/F36*100,""))</f>
        <v>3.4920185044526368</v>
      </c>
      <c r="J36" s="1015">
        <f t="shared" si="17"/>
        <v>1.798187186308168</v>
      </c>
      <c r="K36" s="24"/>
      <c r="L36" s="26"/>
      <c r="M36" s="27"/>
      <c r="N36" s="27"/>
      <c r="O36" s="27"/>
      <c r="P36" s="27"/>
      <c r="Q36" s="27"/>
      <c r="R36" s="27"/>
      <c r="S36" s="27"/>
    </row>
    <row r="37" spans="3:20" ht="15" customHeight="1">
      <c r="C37" s="1016" t="str">
        <f>IF(Indice_index!$Z$1=1,"Administrações Públicas","General Government subsectors")</f>
        <v>General Government subsectors</v>
      </c>
      <c r="D37" s="1013">
        <v>4286.362799350004</v>
      </c>
      <c r="E37" s="1013">
        <v>4733.3789689999994</v>
      </c>
      <c r="F37" s="1013">
        <v>3904.8757804600009</v>
      </c>
      <c r="G37" s="1013">
        <v>4218.402892939991</v>
      </c>
      <c r="H37" s="1014">
        <f t="shared" si="14"/>
        <v>89.120328639800306</v>
      </c>
      <c r="I37" s="1014">
        <f>IF(IFERROR((G37-F37)/F37*100,"")&gt;500,"-",IFERROR((G37-F37)/F37*100,""))</f>
        <v>8.0291187250790372</v>
      </c>
      <c r="J37" s="1015">
        <f t="shared" si="17"/>
        <v>0.3884961428913038</v>
      </c>
      <c r="K37" s="24"/>
      <c r="L37" s="26"/>
      <c r="M37" s="27"/>
      <c r="N37" s="27"/>
      <c r="O37" s="27"/>
      <c r="P37" s="27"/>
      <c r="Q37" s="27"/>
      <c r="R37" s="27"/>
      <c r="S37" s="27"/>
    </row>
    <row r="38" spans="3:20" ht="15" customHeight="1">
      <c r="C38" s="1016" t="str">
        <f>IF(Indice_index!$Z$1=1,"Outras","Others")</f>
        <v>Others</v>
      </c>
      <c r="D38" s="1013">
        <v>42818.401515819991</v>
      </c>
      <c r="E38" s="1013">
        <v>42751.600708999998</v>
      </c>
      <c r="F38" s="1013">
        <v>37652.369687729995</v>
      </c>
      <c r="G38" s="1013">
        <v>38790.029276940004</v>
      </c>
      <c r="H38" s="1014">
        <f t="shared" si="14"/>
        <v>90.73351321035797</v>
      </c>
      <c r="I38" s="1014">
        <f>IF(IFERROR((G38-F38)/F38*100,"")&gt;500,"-",IFERROR((G38-F38)/F38*100,""))</f>
        <v>3.021482043879816</v>
      </c>
      <c r="J38" s="1015">
        <f t="shared" si="17"/>
        <v>1.409691043416863</v>
      </c>
      <c r="K38" s="24"/>
      <c r="L38" s="26"/>
      <c r="M38" s="27"/>
      <c r="N38" s="27"/>
      <c r="O38" s="27"/>
      <c r="P38" s="27"/>
      <c r="Q38" s="27"/>
      <c r="R38" s="27"/>
      <c r="S38" s="27"/>
    </row>
    <row r="39" spans="3:20" ht="15" customHeight="1">
      <c r="C39" s="707" t="str">
        <f>IF(Indice_index!$Z$1=1,"Subsídios","Subsidies")</f>
        <v>Subsidies</v>
      </c>
      <c r="D39" s="1013">
        <v>1651.8126438400002</v>
      </c>
      <c r="E39" s="1013">
        <v>1825.428872</v>
      </c>
      <c r="F39" s="1013">
        <v>1375.0347498600004</v>
      </c>
      <c r="G39" s="1013">
        <v>1336.87605945</v>
      </c>
      <c r="H39" s="1014">
        <f t="shared" si="14"/>
        <v>73.236272305985523</v>
      </c>
      <c r="I39" s="1014">
        <f>IF(IFERROR((G39-F39)/F39*100,"")&gt;500,"-",IFERROR((G39-F39)/F39*100,""))</f>
        <v>-2.7751073501150105</v>
      </c>
      <c r="J39" s="1015">
        <f t="shared" si="17"/>
        <v>-4.7283005047975467E-2</v>
      </c>
      <c r="K39" s="24"/>
      <c r="L39" s="26"/>
      <c r="M39" s="26"/>
      <c r="N39" s="27"/>
      <c r="O39" s="27"/>
      <c r="P39" s="27"/>
      <c r="Q39" s="27"/>
      <c r="R39" s="27"/>
      <c r="S39" s="27"/>
    </row>
    <row r="40" spans="3:20" ht="15" customHeight="1">
      <c r="C40" s="707" t="str">
        <f>IF(Indice_index!$Z$1=1,"Outras despesas correntes","Other current expenditure")</f>
        <v>Other current expenditure</v>
      </c>
      <c r="D40" s="1013">
        <v>647.6559153999998</v>
      </c>
      <c r="E40" s="1013">
        <v>2306.5234060000003</v>
      </c>
      <c r="F40" s="1013">
        <v>512.22902412999997</v>
      </c>
      <c r="G40" s="1013">
        <v>630.28936209999961</v>
      </c>
      <c r="H40" s="1014">
        <f t="shared" si="14"/>
        <v>27.326380493708267</v>
      </c>
      <c r="I40" s="1014">
        <f t="shared" si="18"/>
        <v>23.048349938881397</v>
      </c>
      <c r="J40" s="1015">
        <f t="shared" si="17"/>
        <v>0.14629033376727776</v>
      </c>
      <c r="K40" s="24"/>
      <c r="L40" s="26"/>
      <c r="M40" s="27"/>
      <c r="N40" s="27"/>
      <c r="O40" s="27"/>
      <c r="P40" s="27"/>
      <c r="Q40" s="27"/>
      <c r="R40" s="27"/>
      <c r="S40" s="27"/>
    </row>
    <row r="41" spans="3:20" ht="15" customHeight="1">
      <c r="C41" s="707" t="str">
        <f>IF(Indice_index!$Z$1=1,"Diferenças de consolidação","Consolidation differences")</f>
        <v>Consolidation differences</v>
      </c>
      <c r="D41" s="1013">
        <v>213.47584277999948</v>
      </c>
      <c r="E41" s="1013">
        <v>146.85127999999906</v>
      </c>
      <c r="F41" s="1013">
        <v>49.186865720006793</v>
      </c>
      <c r="G41" s="1013">
        <v>12.731040020001331</v>
      </c>
      <c r="H41" s="1014"/>
      <c r="I41" s="1015"/>
      <c r="J41" s="1015"/>
      <c r="K41" s="24"/>
      <c r="L41" s="26"/>
      <c r="M41" s="27"/>
      <c r="N41" s="27"/>
      <c r="O41" s="27"/>
      <c r="P41" s="27"/>
      <c r="Q41" s="27"/>
      <c r="R41" s="27"/>
      <c r="S41" s="27"/>
    </row>
    <row r="42" spans="3:20" s="259" customFormat="1" ht="15" customHeight="1">
      <c r="C42" s="1009" t="str">
        <f>IF(Indice_index!$Z$1=1,"Despesa de capital","Capital expenditure")</f>
        <v>Capital expenditure</v>
      </c>
      <c r="D42" s="1009">
        <f t="shared" ref="D42:E42" si="21">+D43+D44+D47+D48</f>
        <v>5568.2323646999976</v>
      </c>
      <c r="E42" s="1009">
        <f t="shared" si="21"/>
        <v>8321.1764980000007</v>
      </c>
      <c r="F42" s="1009">
        <f t="shared" ref="F42:G42" si="22">+F43+F44+F47+F48</f>
        <v>4326.5439327199992</v>
      </c>
      <c r="G42" s="1009">
        <f t="shared" si="22"/>
        <v>4348.3300731100007</v>
      </c>
      <c r="H42" s="1010">
        <f t="shared" si="14"/>
        <v>52.256193269727234</v>
      </c>
      <c r="I42" s="1010">
        <f>IF(IFERROR((G42-F42)/F42*100,"")&gt;500,"-",IFERROR((G42-F42)/F42*100,""))</f>
        <v>0.50354603417386412</v>
      </c>
      <c r="J42" s="1011">
        <f t="shared" ref="J42:J47" si="23">IFERROR((G42-F42)/$F$50*100,"")</f>
        <v>2.699553299571246E-2</v>
      </c>
      <c r="K42" s="261"/>
      <c r="L42" s="262"/>
      <c r="M42" s="263"/>
      <c r="N42" s="263"/>
      <c r="O42" s="263"/>
      <c r="P42" s="263"/>
      <c r="Q42" s="263"/>
      <c r="R42" s="263"/>
      <c r="S42" s="263"/>
      <c r="T42" s="261"/>
    </row>
    <row r="43" spans="3:20" ht="15" customHeight="1">
      <c r="C43" s="707" t="str">
        <f>IF(Indice_index!$Z$1=1,"Investimento","Investments")</f>
        <v>Investments</v>
      </c>
      <c r="D43" s="1013">
        <v>3462.5933778499971</v>
      </c>
      <c r="E43" s="1013">
        <v>5891.1099839999997</v>
      </c>
      <c r="F43" s="1013">
        <v>2690.0869512999989</v>
      </c>
      <c r="G43" s="1013">
        <v>3012.7193448900011</v>
      </c>
      <c r="H43" s="1014">
        <f t="shared" si="14"/>
        <v>51.140096740213927</v>
      </c>
      <c r="I43" s="1014">
        <f>IF(IFERROR((G43-F43)/F43*100,"")&gt;500,"-",IFERROR((G43-F43)/F43*100,""))</f>
        <v>11.993381605530946</v>
      </c>
      <c r="J43" s="1015">
        <f t="shared" si="23"/>
        <v>0.39977863314613477</v>
      </c>
      <c r="K43" s="24"/>
      <c r="L43" s="26"/>
      <c r="M43" s="26"/>
      <c r="N43" s="27"/>
      <c r="O43" s="27"/>
      <c r="P43" s="27"/>
      <c r="Q43" s="27"/>
      <c r="R43" s="27"/>
      <c r="S43" s="27"/>
    </row>
    <row r="44" spans="3:20" s="28" customFormat="1" ht="15" customHeight="1">
      <c r="C44" s="707" t="str">
        <f>IF(Indice_index!$Z$1=1,"Transferências de capital","Capital transfers")</f>
        <v>Capital transfers</v>
      </c>
      <c r="D44" s="1013">
        <f t="shared" ref="D44:E44" si="24">+D45+D46</f>
        <v>1904.0961641900003</v>
      </c>
      <c r="E44" s="1013">
        <f t="shared" si="24"/>
        <v>2191.1810970000001</v>
      </c>
      <c r="F44" s="1013">
        <f t="shared" ref="F44:G44" si="25">+F45+F46</f>
        <v>1561.19414379</v>
      </c>
      <c r="G44" s="1013">
        <f t="shared" si="25"/>
        <v>1114.3968503599999</v>
      </c>
      <c r="H44" s="1014">
        <f t="shared" si="14"/>
        <v>50.858272366704327</v>
      </c>
      <c r="I44" s="1014">
        <f>IF(IFERROR((G44-F44)/F44*100,"")&gt;500,"-",IFERROR((G44-F44)/F44*100,""))</f>
        <v>-28.618945004837265</v>
      </c>
      <c r="J44" s="1015">
        <f t="shared" si="23"/>
        <v>-0.55363322099586287</v>
      </c>
      <c r="K44" s="24"/>
      <c r="L44" s="26"/>
      <c r="M44" s="27"/>
      <c r="N44" s="27"/>
      <c r="O44" s="27"/>
      <c r="P44" s="27"/>
      <c r="Q44" s="27"/>
      <c r="R44" s="27"/>
      <c r="S44" s="27"/>
      <c r="T44" s="24"/>
    </row>
    <row r="45" spans="3:20" ht="15" customHeight="1">
      <c r="C45" s="1016" t="str">
        <f>IF(Indice_index!$Z$1=1,"Administrações Públicas","General Government subsectors")</f>
        <v>General Government subsectors</v>
      </c>
      <c r="D45" s="1013">
        <v>607.42973998000014</v>
      </c>
      <c r="E45" s="1013">
        <v>638.36872000000005</v>
      </c>
      <c r="F45" s="1013">
        <v>541.94398742999988</v>
      </c>
      <c r="G45" s="1013">
        <v>462.24941430999996</v>
      </c>
      <c r="H45" s="1014">
        <f t="shared" si="14"/>
        <v>72.411037669577539</v>
      </c>
      <c r="I45" s="1014">
        <f>IF(IFERROR((G45-F45)/F45*100,"")&gt;500,"-",IFERROR((G45-F45)/F45*100,""))</f>
        <v>-14.705315488031623</v>
      </c>
      <c r="J45" s="1015">
        <f t="shared" si="23"/>
        <v>-9.8750739677943927E-2</v>
      </c>
      <c r="K45" s="24"/>
      <c r="L45" s="26"/>
      <c r="M45" s="27"/>
      <c r="N45" s="27"/>
      <c r="O45" s="27"/>
      <c r="P45" s="27"/>
      <c r="Q45" s="27"/>
      <c r="R45" s="27"/>
      <c r="S45" s="27"/>
    </row>
    <row r="46" spans="3:20" ht="15" customHeight="1">
      <c r="C46" s="1016" t="str">
        <f>IF(Indice_index!$Z$1=1,"Outras","Others")</f>
        <v>Others</v>
      </c>
      <c r="D46" s="1013">
        <v>1296.6664242100001</v>
      </c>
      <c r="E46" s="1013">
        <v>1552.8123770000002</v>
      </c>
      <c r="F46" s="1013">
        <v>1019.2501563600001</v>
      </c>
      <c r="G46" s="1013">
        <v>652.14743605000001</v>
      </c>
      <c r="H46" s="1014">
        <f t="shared" si="14"/>
        <v>41.997825732812274</v>
      </c>
      <c r="I46" s="1014">
        <f t="shared" ref="I46" si="26">IF(IFERROR((G46-F46)/F46*100,"")&gt;500,"-",IFERROR((G46-F46)/F46*100,""))</f>
        <v>-36.016940298642361</v>
      </c>
      <c r="J46" s="1015">
        <f t="shared" si="23"/>
        <v>-0.45488248131791881</v>
      </c>
      <c r="K46" s="24"/>
      <c r="L46" s="26"/>
      <c r="M46" s="27"/>
      <c r="N46" s="27"/>
      <c r="O46" s="27"/>
      <c r="P46" s="27"/>
      <c r="Q46" s="27"/>
      <c r="R46" s="27"/>
      <c r="S46" s="27"/>
    </row>
    <row r="47" spans="3:20" ht="15" customHeight="1">
      <c r="C47" s="707" t="str">
        <f>IF(Indice_index!$Z$1=1,"Outras despesas de capital","Other capital expenditure")</f>
        <v>Other capital expenditure</v>
      </c>
      <c r="D47" s="1013">
        <v>149.79872605000003</v>
      </c>
      <c r="E47" s="1013">
        <v>236.364294</v>
      </c>
      <c r="F47" s="1013">
        <v>48.178608920000002</v>
      </c>
      <c r="G47" s="1013">
        <v>182.74174700999998</v>
      </c>
      <c r="H47" s="1014">
        <f t="shared" si="14"/>
        <v>77.313600932465704</v>
      </c>
      <c r="I47" s="1014">
        <f>IF(IFERROR((G47-F47)/F47*100,"")&gt;500,"-",IFERROR((G47-F47)/F47*100,""))</f>
        <v>279.30058817895815</v>
      </c>
      <c r="J47" s="1015">
        <f t="shared" si="23"/>
        <v>0.16673920067008979</v>
      </c>
      <c r="K47" s="24"/>
      <c r="L47" s="26"/>
      <c r="M47" s="26"/>
      <c r="N47" s="27"/>
      <c r="O47" s="27"/>
      <c r="P47" s="27"/>
      <c r="Q47" s="27"/>
      <c r="R47" s="27"/>
      <c r="S47" s="27"/>
    </row>
    <row r="48" spans="3:20" ht="15" customHeight="1">
      <c r="C48" s="707" t="str">
        <f>IF(Indice_index!$Z$1=1,"Diferenças de consolidação","Consolidation differences")</f>
        <v>Consolidation differences</v>
      </c>
      <c r="D48" s="1013">
        <v>51.744096609999815</v>
      </c>
      <c r="E48" s="1013">
        <v>2.5211229999999887</v>
      </c>
      <c r="F48" s="1013">
        <v>27.084228710000048</v>
      </c>
      <c r="G48" s="1013">
        <v>38.472130850000056</v>
      </c>
      <c r="H48" s="1015"/>
      <c r="I48" s="1015"/>
      <c r="J48" s="1015"/>
      <c r="K48" s="24"/>
      <c r="L48" s="26"/>
      <c r="M48" s="27"/>
      <c r="N48" s="27"/>
      <c r="O48" s="27"/>
      <c r="P48" s="27"/>
      <c r="Q48" s="27"/>
      <c r="R48" s="27"/>
      <c r="S48" s="27"/>
    </row>
    <row r="49" spans="3:20" ht="2.5" customHeight="1">
      <c r="C49" s="1013"/>
      <c r="D49" s="1013"/>
      <c r="E49" s="1013"/>
      <c r="F49" s="1013"/>
      <c r="G49" s="1013"/>
      <c r="H49" s="1015"/>
      <c r="I49" s="1015"/>
      <c r="J49" s="1015"/>
      <c r="K49" s="24"/>
      <c r="L49" s="26"/>
      <c r="M49" s="27"/>
      <c r="N49" s="27"/>
      <c r="O49" s="27"/>
      <c r="P49" s="27"/>
      <c r="Q49" s="27"/>
      <c r="R49" s="27"/>
      <c r="S49" s="27"/>
    </row>
    <row r="50" spans="3:20" s="259" customFormat="1" ht="15" customHeight="1">
      <c r="C50" s="1021" t="str">
        <f>IF(Indice_index!$Z$1=1,"Despesa efetiva","Effective Expenditure")</f>
        <v>Effective Expenditure</v>
      </c>
      <c r="D50" s="1021">
        <f t="shared" ref="D50:E50" si="27">+D29+D42</f>
        <v>92465.632661010037</v>
      </c>
      <c r="E50" s="1021">
        <f t="shared" si="27"/>
        <v>98515.79797900001</v>
      </c>
      <c r="F50" s="1021">
        <f t="shared" ref="F50:G50" si="28">+F29+F42</f>
        <v>80702.760688079972</v>
      </c>
      <c r="G50" s="1021">
        <f t="shared" si="28"/>
        <v>82747.127867639982</v>
      </c>
      <c r="H50" s="1022">
        <f>IFERROR(IF(G50/E50*100&lt;-500,"-",IF(G50/E50*100&gt;500,"-",G50/E50*100)),"-")</f>
        <v>83.993765025664885</v>
      </c>
      <c r="I50" s="1022">
        <f t="shared" ref="I50" si="29">IF(IFERROR((G50-F50)/F50*100,"")&gt;500,"-",IFERROR((G50-F50)/F50*100,""))</f>
        <v>2.5332060045152436</v>
      </c>
      <c r="J50" s="1023"/>
      <c r="K50" s="261"/>
      <c r="L50" s="262"/>
      <c r="M50" s="263"/>
      <c r="N50" s="263"/>
      <c r="O50" s="263"/>
      <c r="P50" s="263"/>
      <c r="Q50" s="263"/>
      <c r="R50" s="263"/>
      <c r="S50" s="263"/>
      <c r="T50" s="261"/>
    </row>
    <row r="51" spans="3:20" ht="8.25" customHeight="1">
      <c r="C51" s="1007"/>
      <c r="D51" s="1007"/>
      <c r="E51" s="1007"/>
      <c r="F51" s="33"/>
      <c r="G51" s="1007"/>
      <c r="H51" s="1024"/>
      <c r="I51" s="1024"/>
      <c r="J51" s="1025"/>
      <c r="K51" s="29"/>
      <c r="L51" s="26"/>
      <c r="M51" s="27"/>
      <c r="N51" s="27"/>
      <c r="O51" s="27"/>
      <c r="P51" s="27"/>
      <c r="Q51" s="27"/>
      <c r="R51" s="27"/>
      <c r="S51" s="27"/>
    </row>
    <row r="52" spans="3:20" s="259" customFormat="1" ht="15" customHeight="1">
      <c r="C52" s="1026" t="str">
        <f>IF(Indice_index!$Z$1=1,"Saldo global","Overall balance")</f>
        <v>Overall balance</v>
      </c>
      <c r="D52" s="1026">
        <f t="shared" ref="D52:E52" si="30">+D27-D50</f>
        <v>-8294.4546959600557</v>
      </c>
      <c r="E52" s="1026">
        <f t="shared" si="30"/>
        <v>-5173.5716730011918</v>
      </c>
      <c r="F52" s="1026">
        <f t="shared" ref="F52:G52" si="31">+F27-F50</f>
        <v>-6293.9519236699562</v>
      </c>
      <c r="G52" s="1026">
        <f t="shared" si="31"/>
        <v>1591.5412054100016</v>
      </c>
      <c r="H52" s="1027"/>
      <c r="I52" s="1027"/>
      <c r="J52" s="1027"/>
      <c r="L52" s="265"/>
      <c r="M52" s="265"/>
      <c r="N52" s="263"/>
      <c r="O52" s="263"/>
      <c r="P52" s="263"/>
      <c r="Q52" s="263"/>
      <c r="R52" s="263"/>
      <c r="S52" s="263"/>
      <c r="T52" s="261"/>
    </row>
    <row r="53" spans="3:20" ht="5.15" customHeight="1">
      <c r="C53" s="1028"/>
      <c r="D53" s="1028"/>
      <c r="E53" s="1028"/>
      <c r="F53" s="1008"/>
      <c r="G53" s="1013"/>
      <c r="H53" s="1025"/>
      <c r="I53" s="1025"/>
      <c r="J53" s="1025"/>
      <c r="L53" s="26"/>
      <c r="M53" s="27"/>
      <c r="N53" s="27"/>
      <c r="O53" s="27"/>
      <c r="P53" s="27"/>
      <c r="Q53" s="27"/>
      <c r="R53" s="27"/>
      <c r="S53" s="27"/>
    </row>
    <row r="54" spans="3:20" ht="15" customHeight="1">
      <c r="C54" s="707" t="str">
        <f>IF(Indice_index!$Z$1=1,"Despesa primária","Primary expenditure")</f>
        <v>Primary expenditure</v>
      </c>
      <c r="D54" s="1029">
        <f>+D50-D35</f>
        <v>85665.907735180037</v>
      </c>
      <c r="E54" s="1029">
        <f>+E50-E35</f>
        <v>91878.565537000017</v>
      </c>
      <c r="F54" s="1029">
        <f t="shared" ref="F54" si="32">+F50-F35</f>
        <v>74119.587141279975</v>
      </c>
      <c r="G54" s="1029">
        <f>+G50-G35</f>
        <v>76533.018289399974</v>
      </c>
      <c r="H54" s="1014">
        <f>IFERROR(IF(G54/E54*100&lt;-500,"-",IF(G54/E54*100&gt;500,"-",G54/E54*100)),"-")</f>
        <v>83.298011720241433</v>
      </c>
      <c r="I54" s="1014">
        <f t="shared" ref="I54" si="33">IF(IFERROR((G54-F54)/F54*100,"")&gt;500,"-",IFERROR((G54-F54)/F54*100,""))</f>
        <v>3.2561313968462033</v>
      </c>
      <c r="J54" s="1014">
        <f t="shared" ref="J54" si="34">IFERROR((G54-F54)/$F$50*100,"")</f>
        <v>2.9905186979266114</v>
      </c>
      <c r="K54" s="30"/>
      <c r="L54" s="30"/>
      <c r="M54" s="30"/>
      <c r="N54" s="27"/>
      <c r="O54" s="27"/>
      <c r="P54" s="27"/>
      <c r="Q54" s="27"/>
      <c r="R54" s="27"/>
      <c r="S54" s="27"/>
    </row>
    <row r="55" spans="3:20" ht="15" customHeight="1">
      <c r="C55" s="707" t="str">
        <f>IF(Indice_index!$Z$1=1,"Saldo corrente","Current balance")</f>
        <v>Current balance</v>
      </c>
      <c r="D55" s="1029">
        <f>+D9-D29</f>
        <v>-3941.2914915800502</v>
      </c>
      <c r="E55" s="1029">
        <f>+E9-E29</f>
        <v>-524.89409800119756</v>
      </c>
      <c r="F55" s="1029">
        <f>+F9-F29</f>
        <v>-2988.6240808599541</v>
      </c>
      <c r="G55" s="1029">
        <f>+G9-G29</f>
        <v>4525.1956091600005</v>
      </c>
      <c r="H55" s="1029"/>
      <c r="I55" s="1029"/>
      <c r="J55" s="1029"/>
      <c r="L55" s="30"/>
      <c r="M55" s="27"/>
      <c r="N55" s="27"/>
      <c r="O55" s="27"/>
      <c r="P55" s="27"/>
      <c r="Q55" s="27"/>
      <c r="R55" s="24"/>
    </row>
    <row r="56" spans="3:20" ht="15" customHeight="1">
      <c r="C56" s="707" t="str">
        <f>IF(Indice_index!$Z$1=1,"Saldo de capital","Capital balance")</f>
        <v>Capital balance</v>
      </c>
      <c r="D56" s="1029">
        <f t="shared" ref="D56:E56" si="35">+D19-D42</f>
        <v>-4353.1632043799973</v>
      </c>
      <c r="E56" s="1029">
        <f t="shared" si="35"/>
        <v>-4648.6775750000006</v>
      </c>
      <c r="F56" s="1029">
        <f t="shared" ref="F56:G56" si="36">+F19-F42</f>
        <v>-3305.3278428099993</v>
      </c>
      <c r="G56" s="1029">
        <f t="shared" si="36"/>
        <v>-2933.6544037500007</v>
      </c>
      <c r="H56" s="1029"/>
      <c r="I56" s="1029"/>
      <c r="J56" s="1029"/>
      <c r="L56" s="30"/>
      <c r="M56" s="27"/>
      <c r="N56" s="27"/>
      <c r="O56" s="27"/>
      <c r="P56" s="27"/>
      <c r="Q56" s="27"/>
      <c r="R56" s="24"/>
    </row>
    <row r="57" spans="3:20" ht="15" customHeight="1">
      <c r="C57" s="1030" t="str">
        <f>IF(Indice_index!$Z$1=1,"Saldo primário","Primary balance")</f>
        <v>Primary balance</v>
      </c>
      <c r="D57" s="1031">
        <f t="shared" ref="D57:E57" si="37">+D52+D35</f>
        <v>-1494.7297701300558</v>
      </c>
      <c r="E57" s="1031">
        <f t="shared" si="37"/>
        <v>1463.6607689988077</v>
      </c>
      <c r="F57" s="1031">
        <f t="shared" ref="F57:G57" si="38">+F52+F35</f>
        <v>289.22162313004355</v>
      </c>
      <c r="G57" s="1031">
        <f t="shared" si="38"/>
        <v>7805.6507836500023</v>
      </c>
      <c r="H57" s="1031"/>
      <c r="I57" s="1031"/>
      <c r="J57" s="1031"/>
      <c r="L57" s="30"/>
      <c r="M57" s="27"/>
      <c r="N57" s="27"/>
      <c r="O57" s="27"/>
      <c r="P57" s="27"/>
      <c r="Q57" s="27"/>
      <c r="R57" s="24"/>
    </row>
    <row r="58" spans="3:20" ht="15" customHeight="1">
      <c r="C58" s="1032" t="str">
        <f>IF(Indice_index!$Z$1=1,"Ativos financeiros líquidos de reembolsos","Financial assets net of reimbursements")</f>
        <v>Financial assets net of reimbursements</v>
      </c>
      <c r="D58" s="1033">
        <v>872.45677738999893</v>
      </c>
      <c r="E58" s="1033">
        <v>3912.9654800000026</v>
      </c>
      <c r="F58" s="1033">
        <v>-3080.9905962200019</v>
      </c>
      <c r="G58" s="1003">
        <v>559.4407633399951</v>
      </c>
      <c r="H58" s="1033"/>
      <c r="I58" s="1033"/>
      <c r="J58" s="1033"/>
      <c r="L58" s="22"/>
      <c r="M58" s="26"/>
      <c r="N58" s="27"/>
      <c r="O58" s="26"/>
      <c r="P58" s="27"/>
      <c r="Q58" s="27"/>
      <c r="R58" s="24"/>
    </row>
    <row r="59" spans="3:20" ht="15" customHeight="1">
      <c r="C59" s="1034" t="str">
        <f>IF(Indice_index!$Z$1=1,"dos quais Receitas de:","of which revenue from:")</f>
        <v>of which revenue from:</v>
      </c>
      <c r="D59" s="1034"/>
      <c r="E59" s="1034"/>
      <c r="F59" s="1029"/>
      <c r="G59" s="1013"/>
      <c r="H59" s="1029"/>
      <c r="I59" s="1029"/>
      <c r="J59" s="1029"/>
      <c r="L59" s="22"/>
      <c r="M59" s="26"/>
      <c r="N59" s="27"/>
      <c r="O59" s="26"/>
      <c r="P59" s="27"/>
      <c r="Q59" s="27"/>
      <c r="R59" s="24"/>
    </row>
    <row r="60" spans="3:20" ht="15" customHeight="1">
      <c r="C60" s="1016" t="str">
        <f>IF(Indice_index!$Z$1=1,"Alienação de partes de Capital","Disposal of Capital Shares")</f>
        <v>Disposal of Capital Shares</v>
      </c>
      <c r="D60" s="1029">
        <v>1.3794E-4</v>
      </c>
      <c r="E60" s="1029">
        <v>0</v>
      </c>
      <c r="F60" s="1029">
        <v>1.3794E-4</v>
      </c>
      <c r="G60" s="1029">
        <v>0</v>
      </c>
      <c r="H60" s="1029"/>
      <c r="I60" s="1029"/>
      <c r="J60" s="1029"/>
      <c r="L60" s="22"/>
      <c r="M60" s="26"/>
      <c r="N60" s="27"/>
      <c r="O60" s="27"/>
      <c r="P60" s="27"/>
      <c r="Q60" s="27"/>
      <c r="R60" s="24"/>
    </row>
    <row r="61" spans="3:20" ht="15" customHeight="1">
      <c r="C61" s="1030" t="str">
        <f>IF(Indice_index!$Z$1=1,"Passivos financeiros líquidos de amortizações","Financial liabilities net of amortizations")</f>
        <v>Financial liabilities net of amortizations</v>
      </c>
      <c r="D61" s="1031">
        <v>4116.4405282400039</v>
      </c>
      <c r="E61" s="1031">
        <v>10946.541616999981</v>
      </c>
      <c r="F61" s="1031">
        <v>-2758.1896580399916</v>
      </c>
      <c r="G61" s="1005">
        <v>-3290.9355995399892</v>
      </c>
      <c r="H61" s="1031"/>
      <c r="I61" s="1031"/>
      <c r="J61" s="1031"/>
      <c r="L61" s="22"/>
      <c r="M61" s="26"/>
      <c r="N61" s="27"/>
      <c r="O61" s="27"/>
      <c r="P61" s="27"/>
      <c r="Q61" s="27"/>
      <c r="R61" s="24"/>
    </row>
    <row r="62" spans="3:20" ht="4.5" customHeight="1">
      <c r="L62" s="30"/>
      <c r="M62" s="26"/>
      <c r="N62" s="27"/>
      <c r="O62" s="27"/>
      <c r="P62" s="27"/>
    </row>
    <row r="63" spans="3:20" ht="15" customHeight="1">
      <c r="C63" s="1035" t="str">
        <f>IF(Indice_index!$Z$1=1,"Nota:","Note:")</f>
        <v>Note:</v>
      </c>
      <c r="D63" s="62"/>
      <c r="E63" s="62"/>
      <c r="F63" s="53"/>
      <c r="G63" s="53"/>
      <c r="H63" s="53"/>
      <c r="I63" s="53"/>
      <c r="J63" s="53"/>
      <c r="L63" s="30"/>
      <c r="M63" s="26"/>
      <c r="N63" s="27"/>
      <c r="O63" s="27"/>
      <c r="P63" s="27"/>
    </row>
    <row r="64" spans="3:20" ht="15" customHeight="1">
      <c r="C64" s="1705" t="str">
        <f>IF(Indice_index!$Z$1=1,"Os dados de 2021 são mensalmente revistos e atualizados face ao publicado nas Sínteses de Execução Orçamental de 2021.","2021 cumulative execution is monthly reviewed and updated and therefore may differ from data published in 2021.")</f>
        <v>2021 cumulative execution is monthly reviewed and updated and therefore may differ from data published in 2021.</v>
      </c>
      <c r="D64" s="1705"/>
      <c r="E64" s="1705"/>
      <c r="F64" s="1705"/>
      <c r="G64" s="1705"/>
      <c r="H64" s="1705"/>
      <c r="I64" s="1705"/>
      <c r="J64" s="1705"/>
      <c r="K64" s="62"/>
      <c r="L64" s="22"/>
      <c r="R64" s="24"/>
      <c r="T64" s="22"/>
    </row>
    <row r="65" spans="3:11" ht="15" customHeight="1">
      <c r="C65" s="1036" t="str">
        <f>IF(Indice_index!$Z$1=1,"Fonte: Direção-Geral do Orçamento","Source: Budget General Directorate")</f>
        <v>Source: Budget General Directorate</v>
      </c>
      <c r="D65" s="1036"/>
      <c r="E65" s="1036"/>
      <c r="F65" s="24"/>
      <c r="G65" s="666"/>
      <c r="J65" s="1007"/>
    </row>
    <row r="66" spans="3:11">
      <c r="F66" s="667"/>
      <c r="G66" s="666"/>
      <c r="J66" s="24"/>
    </row>
    <row r="67" spans="3:11" ht="13">
      <c r="C67" s="327"/>
      <c r="D67" s="327"/>
      <c r="E67" s="327"/>
      <c r="F67" s="31"/>
      <c r="G67" s="31"/>
      <c r="J67" s="24"/>
      <c r="K67" s="32"/>
    </row>
    <row r="68" spans="3:11" ht="13">
      <c r="C68" s="33"/>
      <c r="D68" s="33"/>
      <c r="E68" s="33"/>
      <c r="F68" s="34"/>
      <c r="G68" s="34"/>
      <c r="I68" s="32"/>
      <c r="J68" s="24"/>
      <c r="K68" s="32"/>
    </row>
    <row r="69" spans="3:11" ht="13">
      <c r="C69" s="33"/>
      <c r="D69" s="33"/>
      <c r="E69" s="33"/>
      <c r="F69" s="27"/>
      <c r="G69" s="27"/>
      <c r="H69" s="32"/>
      <c r="I69" s="32"/>
      <c r="J69" s="27"/>
    </row>
    <row r="70" spans="3:11" ht="13">
      <c r="C70" s="33"/>
      <c r="D70" s="33"/>
      <c r="E70" s="33"/>
      <c r="F70" s="29"/>
      <c r="G70" s="35"/>
      <c r="H70" s="32"/>
      <c r="I70" s="32"/>
      <c r="J70" s="27"/>
    </row>
    <row r="71" spans="3:11" ht="13">
      <c r="C71" s="33"/>
      <c r="D71" s="33"/>
      <c r="E71" s="33"/>
      <c r="F71" s="27"/>
      <c r="G71" s="27"/>
      <c r="H71" s="32"/>
      <c r="I71" s="32"/>
      <c r="J71" s="27"/>
    </row>
    <row r="72" spans="3:11" ht="13">
      <c r="C72" s="33"/>
      <c r="D72" s="33"/>
      <c r="E72" s="33"/>
      <c r="F72" s="27"/>
      <c r="G72" s="36"/>
      <c r="H72" s="32"/>
      <c r="I72" s="37"/>
      <c r="J72" s="27"/>
    </row>
    <row r="73" spans="3:11" ht="13">
      <c r="C73" s="33"/>
      <c r="D73" s="33"/>
      <c r="E73" s="33"/>
      <c r="F73" s="38"/>
      <c r="G73" s="38"/>
      <c r="H73" s="37"/>
      <c r="I73" s="38"/>
      <c r="J73" s="39"/>
    </row>
    <row r="74" spans="3:11" ht="13">
      <c r="C74" s="33"/>
      <c r="D74" s="33"/>
      <c r="E74" s="33"/>
      <c r="F74" s="38"/>
      <c r="G74" s="26"/>
      <c r="H74" s="37"/>
      <c r="I74" s="33"/>
      <c r="J74" s="26"/>
    </row>
    <row r="75" spans="3:11" ht="13">
      <c r="F75" s="40"/>
      <c r="G75" s="40"/>
      <c r="H75" s="38"/>
    </row>
    <row r="76" spans="3:11" ht="13">
      <c r="F76" s="40"/>
      <c r="H76" s="38"/>
    </row>
    <row r="77" spans="3:11" ht="13">
      <c r="F77" s="40"/>
      <c r="H77" s="33"/>
    </row>
    <row r="81" spans="3:5" ht="11.25" customHeight="1"/>
    <row r="84" spans="3:5">
      <c r="C84" s="41"/>
      <c r="D84" s="41"/>
      <c r="E84" s="41"/>
    </row>
    <row r="85" spans="3:5">
      <c r="C85" s="41"/>
      <c r="D85" s="41"/>
      <c r="E85" s="41"/>
    </row>
    <row r="88" spans="3:5" ht="11.25" customHeight="1"/>
    <row r="96" spans="3:5">
      <c r="C96" s="41"/>
      <c r="D96" s="41"/>
      <c r="E96" s="41"/>
    </row>
  </sheetData>
  <mergeCells count="3">
    <mergeCell ref="F6:G6"/>
    <mergeCell ref="I6:J6"/>
    <mergeCell ref="C64:J64"/>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A6:B7 A62:D62 A67:B67 D67 D63 K6:XFD7 A63:B64 D64 F64:G64 A68:D83 I64:XFD64 I65:XFD1048576 A65:D66 A86:D95 A84:B85 D84:D85 A97:D1048576 A96:B96 D96 I8:XFD63 D9:D10 C7 J6 G6 I1:XFD5 F6 I6 I7:J7 A9:C61 A8:D8 C6:E6 F1:G5 E8:G10 F65:G1048576 D49:G57 D44:G44 D42:G42 D36:G36 D26:G30 D21:G21 D19:G19 D14:G14 F62:G63 H50 A1:D4 A5:C5 D5" unlockedFormula="1"/>
    <ignoredError sqref="E7:G7 D7" numberStoredAsText="1" unlockedFormula="1"/>
    <ignoredError sqref="H7" numberStoredAsText="1"/>
  </ignoredError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o" ma:contentTypeID="0x010100ED200C6C5585014EA355E4441A780B35" ma:contentTypeVersion="3" ma:contentTypeDescription="Criar um novo documento." ma:contentTypeScope="" ma:versionID="39ce4b9ecf3c5625da182453b2dd6f5e">
  <xsd:schema xmlns:xsd="http://www.w3.org/2001/XMLSchema" xmlns:xs="http://www.w3.org/2001/XMLSchema" xmlns:p="http://schemas.microsoft.com/office/2006/metadata/properties" xmlns:ns2="23bc334f-0e17-402a-872b-0123af4c73a8" xmlns:ns3="0765058e-95b3-4ff3-80c4-5ff3bc59ec36" targetNamespace="http://schemas.microsoft.com/office/2006/metadata/properties" ma:root="true" ma:fieldsID="0abda25f79b054e559cdec95c2419faf" ns2:_="" ns3:_="">
    <xsd:import namespace="23bc334f-0e17-402a-872b-0123af4c73a8"/>
    <xsd:import namespace="0765058e-95b3-4ff3-80c4-5ff3bc59ec36"/>
    <xsd:element name="properties">
      <xsd:complexType>
        <xsd:sequence>
          <xsd:element name="documentManagement">
            <xsd:complexType>
              <xsd:all>
                <xsd:element ref="ns2:Ano"/>
                <xsd:element ref="ns2:Mes"/>
                <xsd:element ref="ns3:Ordem"/>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bc334f-0e17-402a-872b-0123af4c73a8" elementFormDefault="qualified">
    <xsd:import namespace="http://schemas.microsoft.com/office/2006/documentManagement/types"/>
    <xsd:import namespace="http://schemas.microsoft.com/office/infopath/2007/PartnerControls"/>
    <xsd:element name="Ano" ma:index="8" ma:displayName="Ano" ma:list="{966f2760-667a-45cb-8ed1-c972f4e2f9db}" ma:internalName="Ano" ma:showField="Title" ma:web="23bc334f-0e17-402a-872b-0123af4c73a8">
      <xsd:simpleType>
        <xsd:restriction base="dms:Lookup"/>
      </xsd:simpleType>
    </xsd:element>
    <xsd:element name="Mes" ma:index="9" ma:displayName="Mes" ma:list="{eace2fa2-25a5-411e-924e-acb9b055deb3}" ma:internalName="Mes" ma:showField="Title" ma:web="23bc334f-0e17-402a-872b-0123af4c73a8">
      <xsd:simpleType>
        <xsd:restriction base="dms:Lookup"/>
      </xsd:simpleType>
    </xsd:element>
    <xsd:element name="_dlc_DocId" ma:index="11" nillable="true" ma:displayName="Valor do ID do Documento" ma:description="O valor do ID do documento atribuído a este item." ma:internalName="_dlc_DocId" ma:readOnly="true">
      <xsd:simpleType>
        <xsd:restriction base="dms:Text"/>
      </xsd:simpleType>
    </xsd:element>
    <xsd:element name="_dlc_DocIdUrl" ma:index="12" nillable="true" ma:displayName="ID do Documento" ma:description="Ligaçã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765058e-95b3-4ff3-80c4-5ff3bc59ec36" elementFormDefault="qualified">
    <xsd:import namespace="http://schemas.microsoft.com/office/2006/documentManagement/types"/>
    <xsd:import namespace="http://schemas.microsoft.com/office/infopath/2007/PartnerControls"/>
    <xsd:element name="Ordem" ma:index="10" ma:displayName="Ordem" ma:internalName="Ordem">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Ano xmlns="23bc334f-0e17-402a-872b-0123af4c73a8">65</Ano>
    <Ordem xmlns="0765058e-95b3-4ff3-80c4-5ff3bc59ec36">4</Ordem>
    <Mes xmlns="23bc334f-0e17-402a-872b-0123af4c73a8">12</Mes>
    <_dlc_DocId xmlns="23bc334f-0e17-402a-872b-0123af4c73a8">X4XX2SRTQWXX-37-1735</_dlc_DocId>
    <_dlc_DocIdUrl xmlns="23bc334f-0e17-402a-872b-0123af4c73a8">
      <Url>https://www.dgo.gov.pt/execucaoorcamental/_layouts/15/DocIdRedir.aspx?ID=X4XX2SRTQWXX-37-1735</Url>
      <Description>X4XX2SRTQWXX-37-1735</Description>
    </_dlc_DocIdUrl>
  </documentManagement>
</p:properties>
</file>

<file path=customXml/itemProps1.xml><?xml version="1.0" encoding="utf-8"?>
<ds:datastoreItem xmlns:ds="http://schemas.openxmlformats.org/officeDocument/2006/customXml" ds:itemID="{EE2C4693-316F-4392-8CE3-7C75C8AF3729}"/>
</file>

<file path=customXml/itemProps2.xml><?xml version="1.0" encoding="utf-8"?>
<ds:datastoreItem xmlns:ds="http://schemas.openxmlformats.org/officeDocument/2006/customXml" ds:itemID="{38FF9783-C25B-4C42-9438-0A7A9AB999AC}"/>
</file>

<file path=customXml/itemProps3.xml><?xml version="1.0" encoding="utf-8"?>
<ds:datastoreItem xmlns:ds="http://schemas.openxmlformats.org/officeDocument/2006/customXml" ds:itemID="{E6164853-4B13-4C48-87F4-C6CB47FC2BD6}"/>
</file>

<file path=customXml/itemProps4.xml><?xml version="1.0" encoding="utf-8"?>
<ds:datastoreItem xmlns:ds="http://schemas.openxmlformats.org/officeDocument/2006/customXml" ds:itemID="{A388B2E0-E5BA-49F0-B1E0-7C7D9C6F168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27</vt:i4>
      </vt:variant>
      <vt:variant>
        <vt:lpstr>Intervalos com Nome</vt:lpstr>
      </vt:variant>
      <vt:variant>
        <vt:i4>82</vt:i4>
      </vt:variant>
    </vt:vector>
  </HeadingPairs>
  <TitlesOfParts>
    <vt:vector size="109" baseType="lpstr">
      <vt:lpstr>Capa EN</vt:lpstr>
      <vt:lpstr>Indice_index</vt:lpstr>
      <vt:lpstr>1 - Saldo Global Rec Desp</vt:lpstr>
      <vt:lpstr>2 - Conta Consol AP</vt:lpstr>
      <vt:lpstr>2.A Conta Consol AP - texto</vt:lpstr>
      <vt:lpstr>Síntese Global</vt:lpstr>
      <vt:lpstr>3 - Medidas COVID-19 AP</vt:lpstr>
      <vt:lpstr>4 - Medidas COVID-19 Subsetores</vt:lpstr>
      <vt:lpstr>5 - Conta AC + SS</vt:lpstr>
      <vt:lpstr>6 - Conta AC</vt:lpstr>
      <vt:lpstr>7 - Estado</vt:lpstr>
      <vt:lpstr>8 - R_Est</vt:lpstr>
      <vt:lpstr>9 - SFA</vt:lpstr>
      <vt:lpstr>10 - EPR</vt:lpstr>
      <vt:lpstr>11 - CGA</vt:lpstr>
      <vt:lpstr>12 - SS</vt:lpstr>
      <vt:lpstr>13 - SS Eco</vt:lpstr>
      <vt:lpstr>14 - Adm R</vt:lpstr>
      <vt:lpstr>15 - Adm Loc</vt:lpstr>
      <vt:lpstr>16 - Despesa Ativos </vt:lpstr>
      <vt:lpstr>17 - SNS exec fin</vt:lpstr>
      <vt:lpstr>18 - Dív não Fin</vt:lpstr>
      <vt:lpstr>19 - CGA Ind</vt:lpstr>
      <vt:lpstr>20 - Ef Temp AC+SS</vt:lpstr>
      <vt:lpstr>21 - Estimativas</vt:lpstr>
      <vt:lpstr>22 - Util. Cond. Dot. Orç</vt:lpstr>
      <vt:lpstr>24 - Lista Entidades AC 2022</vt:lpstr>
      <vt:lpstr>'1 - Saldo Global Rec Desp'!Área_de_Impressão</vt:lpstr>
      <vt:lpstr>'10 - EPR'!Área_de_Impressão</vt:lpstr>
      <vt:lpstr>'11 - CGA'!Área_de_Impressão</vt:lpstr>
      <vt:lpstr>'12 - SS'!Área_de_Impressão</vt:lpstr>
      <vt:lpstr>'13 - SS Eco'!Área_de_Impressão</vt:lpstr>
      <vt:lpstr>'14 - Adm R'!Área_de_Impressão</vt:lpstr>
      <vt:lpstr>'15 - Adm Loc'!Área_de_Impressão</vt:lpstr>
      <vt:lpstr>'16 - Despesa Ativos '!Área_de_Impressão</vt:lpstr>
      <vt:lpstr>'17 - SNS exec fin'!Área_de_Impressão</vt:lpstr>
      <vt:lpstr>'18 - Dív não Fin'!Área_de_Impressão</vt:lpstr>
      <vt:lpstr>'19 - CGA Ind'!Área_de_Impressão</vt:lpstr>
      <vt:lpstr>'2 - Conta Consol AP'!Área_de_Impressão</vt:lpstr>
      <vt:lpstr>'2.A Conta Consol AP - texto'!Área_de_Impressão</vt:lpstr>
      <vt:lpstr>'20 - Ef Temp AC+SS'!Área_de_Impressão</vt:lpstr>
      <vt:lpstr>'21 - Estimativas'!Área_de_Impressão</vt:lpstr>
      <vt:lpstr>'22 - Util. Cond. Dot. Orç'!Área_de_Impressão</vt:lpstr>
      <vt:lpstr>'24 - Lista Entidades AC 2022'!Área_de_Impressão</vt:lpstr>
      <vt:lpstr>'3 - Medidas COVID-19 AP'!Área_de_Impressão</vt:lpstr>
      <vt:lpstr>'4 - Medidas COVID-19 Subsetores'!Área_de_Impressão</vt:lpstr>
      <vt:lpstr>'5 - Conta AC + SS'!Área_de_Impressão</vt:lpstr>
      <vt:lpstr>'6 - Conta AC'!Área_de_Impressão</vt:lpstr>
      <vt:lpstr>'7 - Estado'!Área_de_Impressão</vt:lpstr>
      <vt:lpstr>'8 - R_Est'!Área_de_Impressão</vt:lpstr>
      <vt:lpstr>'9 - SFA'!Área_de_Impressão</vt:lpstr>
      <vt:lpstr>Indice_index!Área_de_Impressão</vt:lpstr>
      <vt:lpstr>'Síntese Global'!Área_de_Impressão</vt:lpstr>
      <vt:lpstr>'1 - Saldo Global Rec Desp'!Print_Area</vt:lpstr>
      <vt:lpstr>'10 - EPR'!Print_Area</vt:lpstr>
      <vt:lpstr>'11 - CGA'!Print_Area</vt:lpstr>
      <vt:lpstr>'12 - SS'!Print_Area</vt:lpstr>
      <vt:lpstr>'13 - SS Eco'!Print_Area</vt:lpstr>
      <vt:lpstr>'14 - Adm R'!Print_Area</vt:lpstr>
      <vt:lpstr>'15 - Adm Loc'!Print_Area</vt:lpstr>
      <vt:lpstr>'16 - Despesa Ativos '!Print_Area</vt:lpstr>
      <vt:lpstr>'17 - SNS exec fin'!Print_Area</vt:lpstr>
      <vt:lpstr>'18 - Dív não Fin'!Print_Area</vt:lpstr>
      <vt:lpstr>'19 - CGA Ind'!Print_Area</vt:lpstr>
      <vt:lpstr>'2 - Conta Consol AP'!Print_Area</vt:lpstr>
      <vt:lpstr>'2.A Conta Consol AP - texto'!Print_Area</vt:lpstr>
      <vt:lpstr>'20 - Ef Temp AC+SS'!Print_Area</vt:lpstr>
      <vt:lpstr>'21 - Estimativas'!Print_Area</vt:lpstr>
      <vt:lpstr>'24 - Lista Entidades AC 2022'!Print_Area</vt:lpstr>
      <vt:lpstr>'3 - Medidas COVID-19 AP'!Print_Area</vt:lpstr>
      <vt:lpstr>'4 - Medidas COVID-19 Subsetores'!Print_Area</vt:lpstr>
      <vt:lpstr>'5 - Conta AC + SS'!Print_Area</vt:lpstr>
      <vt:lpstr>'6 - Conta AC'!Print_Area</vt:lpstr>
      <vt:lpstr>'7 - Estado'!Print_Area</vt:lpstr>
      <vt:lpstr>'8 - R_Est'!Print_Area</vt:lpstr>
      <vt:lpstr>'9 - SFA'!Print_Area</vt:lpstr>
      <vt:lpstr>'Capa EN'!Print_Area</vt:lpstr>
      <vt:lpstr>Indice_index!Print_Area</vt:lpstr>
      <vt:lpstr>'Síntese Global'!Print_Area</vt:lpstr>
      <vt:lpstr>'11 - CGA'!Print_Titles</vt:lpstr>
      <vt:lpstr>'19 - CGA Ind'!Print_Titles</vt:lpstr>
      <vt:lpstr>'2 - Conta Consol AP'!Print_Titles</vt:lpstr>
      <vt:lpstr>'20 - Ef Temp AC+SS'!Print_Titles</vt:lpstr>
      <vt:lpstr>'21 - Estimativas'!Print_Titles</vt:lpstr>
      <vt:lpstr>'24 - Lista Entidades AC 2022'!Print_Titles</vt:lpstr>
      <vt:lpstr>'6 - Conta AC'!Print_Titles</vt:lpstr>
      <vt:lpstr>'1 - Saldo Global Rec Desp'!Títulos_de_Impressão</vt:lpstr>
      <vt:lpstr>'10 - EPR'!Títulos_de_Impressão</vt:lpstr>
      <vt:lpstr>'11 - CGA'!Títulos_de_Impressão</vt:lpstr>
      <vt:lpstr>'12 - SS'!Títulos_de_Impressão</vt:lpstr>
      <vt:lpstr>'13 - SS Eco'!Títulos_de_Impressão</vt:lpstr>
      <vt:lpstr>'14 - Adm R'!Títulos_de_Impressão</vt:lpstr>
      <vt:lpstr>'15 - Adm Loc'!Títulos_de_Impressão</vt:lpstr>
      <vt:lpstr>'16 - Despesa Ativos '!Títulos_de_Impressão</vt:lpstr>
      <vt:lpstr>'17 - SNS exec fin'!Títulos_de_Impressão</vt:lpstr>
      <vt:lpstr>'18 - Dív não Fin'!Títulos_de_Impressão</vt:lpstr>
      <vt:lpstr>'19 - CGA Ind'!Títulos_de_Impressão</vt:lpstr>
      <vt:lpstr>'2 - Conta Consol AP'!Títulos_de_Impressão</vt:lpstr>
      <vt:lpstr>'20 - Ef Temp AC+SS'!Títulos_de_Impressão</vt:lpstr>
      <vt:lpstr>'21 - Estimativas'!Títulos_de_Impressão</vt:lpstr>
      <vt:lpstr>'22 - Util. Cond. Dot. Orç'!Títulos_de_Impressão</vt:lpstr>
      <vt:lpstr>'24 - Lista Entidades AC 2022'!Títulos_de_Impressão</vt:lpstr>
      <vt:lpstr>'3 - Medidas COVID-19 AP'!Títulos_de_Impressão</vt:lpstr>
      <vt:lpstr>'4 - Medidas COVID-19 Subsetores'!Títulos_de_Impressão</vt:lpstr>
      <vt:lpstr>'5 - Conta AC + SS'!Títulos_de_Impressão</vt:lpstr>
      <vt:lpstr>'6 - Conta AC'!Títulos_de_Impressão</vt:lpstr>
      <vt:lpstr>'7 - Estado'!Títulos_de_Impressão</vt:lpstr>
      <vt:lpstr>'8 - R_Est'!Títulos_de_Impressão</vt:lpstr>
      <vt:lpstr>'9 - SFA'!Títulos_de_Impressão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&lt;em&gt;Statistical Annex&lt;/em&gt;</dc:title>
  <dc:creator>Paulo Almeida</dc:creator>
  <cp:lastModifiedBy>DGO</cp:lastModifiedBy>
  <cp:lastPrinted>2022-12-29T12:08:41Z</cp:lastPrinted>
  <dcterms:created xsi:type="dcterms:W3CDTF">2018-09-13T17:26:24Z</dcterms:created>
  <dcterms:modified xsi:type="dcterms:W3CDTF">2022-12-29T19:45:40Z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0x010100ED200C6C5585014EA355E4441A780B35</vt:lpwstr>
  </property>
  <property fmtid="{D5CDD505-2E9C-101B-9397-08002B2CF9AE}" pid="3" name="_dlc_DocIdItemGuid">
    <vt:lpwstr>e53a1778-ef51-4ec8-9060-4ba29fb135d4</vt:lpwstr>
  </property>
</Properties>
</file>